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42451A3-CEA3-4FAC-A8FA-B6C7A4E0F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G11" i="1"/>
  <c r="F11" i="1"/>
  <c r="Q22" i="1"/>
  <c r="Q23" i="1"/>
  <c r="E21" i="1"/>
  <c r="F21" i="1"/>
  <c r="G21" i="1"/>
  <c r="H21" i="1"/>
  <c r="C17" i="1"/>
  <c r="Q21" i="1"/>
  <c r="C12" i="1"/>
  <c r="F15" i="1" l="1"/>
  <c r="C16" i="1"/>
  <c r="D18" i="1" s="1"/>
  <c r="C11" i="1"/>
  <c r="O22" i="1" l="1"/>
  <c r="O21" i="1"/>
  <c r="C15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<sst xmlns="http://schemas.openxmlformats.org/spreadsheetml/2006/main" count="59" uniqueCount="53">
  <si>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</si>
  <si>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</si>
  <si>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</si>
  <si>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</si>
  <si>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</si>
  <si>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</si>
  <si>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</si>
  <si>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</si>
  <si>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</si>
  <si>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</si>
  <si>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</si>
  <si>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</si>
  <si>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</si>
  <si>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</si>
  <si>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</si>
  <si>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</si>
  <si>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</si>
  <si>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</si>
  <si>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</si>
  <si>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</si>
  <si>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</si>
  <si>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</si>
  <si>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</si>
  <si>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</si>
  <si>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</si>
  <si>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</si>
  <si>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</si>
  <si>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</si>
  <si>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</si>
  <si>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</si>
  <si>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</si>
  <si>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</si>
  <si>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</si>
  <si>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</si>
  <si>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</si>
  <si>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</si>
  <si>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</si>
  <si>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</si>
  <si>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</si>
  <si>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G4190-0894</t>
  </si>
  <si>
    <t>EA</t>
  </si>
  <si>
    <t>4190-0894</t>
  </si>
  <si>
    <t>Dra</t>
  </si>
  <si>
    <t>IBVS 5992</t>
  </si>
  <si>
    <t>I</t>
  </si>
  <si>
    <t>IBVS 6029</t>
  </si>
  <si>
    <t>V0491 Dra / GSC 4190-0894</t>
  </si>
  <si>
    <t>CCD</t>
  </si>
  <si>
    <t>Next ToM-P</t>
  </si>
  <si>
    <t>Next ToM-S</t>
  </si>
  <si>
    <t>14.08-14.80</t>
  </si>
  <si>
    <t xml:space="preserve">Mag CV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</si>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</sst>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V0491 Dra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0A-4E33-9CEB-8D63E612CD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4.7279999998863786E-2</c:v>
                </c:pt>
                <c:pt idx="2">
                  <c:v>4.6620000000984874E-2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0A-4E33-9CEB-8D63E612CD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0A-4E33-9CEB-8D63E612CD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0A-4E33-9CEB-8D63E612CD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0A-4E33-9CEB-8D63E612CD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0A-4E33-9CEB-8D63E612CD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0A-4E33-9CEB-8D63E612CD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5.5224976321485625E-2</c:v>
                </c:pt>
                <c:pt idx="1">
                  <c:v>4.7279999998863786E-2</c:v>
                </c:pt>
                <c:pt idx="2">
                  <c:v>4.6620000000984874E-2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0A-4E33-9CEB-8D63E612CDB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12724</c:v>
                </c:pt>
                <c:pt idx="2">
                  <c:v>13781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0A-4E33-9CEB-8D63E612C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864344"/>
        <c:axId val="1"/>
      </c:scatterChart>
      <c:valAx>
        <c:axId val="554864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4864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A0848D-8105-D2E6-7233-A57E0103C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2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46</v>
      </c>
    </row>
    <row r="2" spans="1:7" ht="12.95" customHeight="1" x14ac:dyDescent="0.2">
      <c r="A2" t="s">
        <v>23</v>
      </c>
      <c r="B2" t="s">
        <v>40</v>
      </c>
      <c r="D2" s="2" t="s">
        <v>42</v>
      </c>
      <c r="E2" s="27" t="s">
        <v>39</v>
      </c>
    </row>
    <row r="3" spans="1:7" ht="12.95" customHeight="1" thickBot="1" x14ac:dyDescent="0.25">
      <c r="E3" t="s">
        <v>41</v>
      </c>
    </row>
    <row r="4" spans="1:7" ht="12.95" customHeight="1" thickTop="1" thickBot="1" x14ac:dyDescent="0.25">
      <c r="A4" s="4" t="s">
        <v>0</v>
      </c>
      <c r="C4" s="7" t="s">
        <v>38</v>
      </c>
      <c r="D4" s="8" t="s">
        <v>38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>
        <v>51427.81</v>
      </c>
      <c r="D7" s="26" t="s">
        <v>36</v>
      </c>
    </row>
    <row r="8" spans="1:7" ht="12.95" customHeight="1" x14ac:dyDescent="0.2">
      <c r="A8" t="s">
        <v>3</v>
      </c>
      <c r="C8">
        <v>0.33488000000000001</v>
      </c>
      <c r="D8" s="26" t="s">
        <v>36</v>
      </c>
    </row>
    <row r="9" spans="1:7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15</v>
      </c>
      <c r="B11" s="11"/>
      <c r="C11" s="20">
        <f ca="1">INTERCEPT(INDIRECT($G$11):G992,INDIRECT($F$11):F992)</f>
        <v>5.5224976321485625E-2</v>
      </c>
      <c r="D11" s="2"/>
      <c r="E11" s="11"/>
      <c r="F11" s="21" t="str">
        <f>"F"&amp;E19</f>
        <v>F22</v>
      </c>
      <c r="G11" s="22" t="str">
        <f>"G"&amp;E19</f>
        <v>G22</v>
      </c>
    </row>
    <row r="12" spans="1:7" ht="12.95" customHeight="1" x14ac:dyDescent="0.2">
      <c r="A12" s="11" t="s">
        <v>16</v>
      </c>
      <c r="B12" s="11"/>
      <c r="C12" s="20">
        <f ca="1">SLOPE(INDIRECT($G$11):G992,INDIRECT($F$11):F992)</f>
        <v>-6.2440870187219757E-7</v>
      </c>
      <c r="D12" s="2"/>
      <c r="E12" s="36" t="s">
        <v>51</v>
      </c>
      <c r="F12" s="37" t="s">
        <v>50</v>
      </c>
    </row>
    <row r="13" spans="1:7" ht="12.95" customHeight="1" x14ac:dyDescent="0.2">
      <c r="A13" s="11" t="s">
        <v>18</v>
      </c>
      <c r="B13" s="11"/>
      <c r="C13" s="2" t="s">
        <v>13</v>
      </c>
      <c r="D13" s="15"/>
      <c r="E13" s="33" t="s">
        <v>33</v>
      </c>
      <c r="F13" s="38">
        <v>1</v>
      </c>
    </row>
    <row r="14" spans="1:7" ht="12.95" customHeight="1" x14ac:dyDescent="0.2">
      <c r="A14" s="11"/>
      <c r="B14" s="11"/>
      <c r="C14" s="11"/>
      <c r="D14" s="15"/>
      <c r="E14" s="33" t="s">
        <v>31</v>
      </c>
      <c r="F14" s="39">
        <f ca="1">NOW()+15018.5+$C$9/24</f>
        <v>60536.741880208334</v>
      </c>
    </row>
    <row r="15" spans="1:7" ht="12.95" customHeight="1" x14ac:dyDescent="0.2">
      <c r="A15" s="13" t="s">
        <v>17</v>
      </c>
      <c r="B15" s="11"/>
      <c r="C15" s="14">
        <f ca="1">(C7+C11)+(C8+C12)*INT(MAX(F21:F3533))</f>
        <v>56042.837899999999</v>
      </c>
      <c r="D15" s="15"/>
      <c r="E15" s="33" t="s">
        <v>34</v>
      </c>
      <c r="F15" s="39">
        <f ca="1">ROUND(2*($F$14-$C$7)/$C$8,0)/2+$F$13</f>
        <v>27201.5</v>
      </c>
    </row>
    <row r="16" spans="1:7" ht="12.95" customHeight="1" x14ac:dyDescent="0.2">
      <c r="A16" s="16" t="s">
        <v>4</v>
      </c>
      <c r="B16" s="11"/>
      <c r="C16" s="17">
        <f ca="1">+C8+C12</f>
        <v>0.33487937559129816</v>
      </c>
      <c r="D16" s="15"/>
      <c r="E16" s="33" t="s">
        <v>35</v>
      </c>
      <c r="F16" s="39">
        <f ca="1">ROUND(2*($F$14-$C$15)/$C$16,0)/2+$F$13</f>
        <v>13420.5</v>
      </c>
    </row>
    <row r="17" spans="1:18" ht="12.95" customHeight="1" thickBot="1" x14ac:dyDescent="0.25">
      <c r="A17" s="15" t="s">
        <v>28</v>
      </c>
      <c r="B17" s="11"/>
      <c r="C17" s="11">
        <f>COUNT(C21:C2191)</f>
        <v>3</v>
      </c>
      <c r="D17" s="15"/>
      <c r="E17" s="34" t="s">
        <v>48</v>
      </c>
      <c r="F17" s="40">
        <f ca="1">+$C$15+$C$16*$F$16-15018.5-$C$9/24</f>
        <v>45518.982393456354</v>
      </c>
    </row>
    <row r="18" spans="1:18" ht="12.95" customHeight="1" thickTop="1" thickBot="1" x14ac:dyDescent="0.25">
      <c r="A18" s="16" t="s">
        <v>5</v>
      </c>
      <c r="B18" s="11"/>
      <c r="C18" s="18">
        <f ca="1">+C15</f>
        <v>56042.837899999999</v>
      </c>
      <c r="D18" s="19">
        <f ca="1">+C16</f>
        <v>0.33487937559129816</v>
      </c>
      <c r="E18" s="35" t="s">
        <v>49</v>
      </c>
      <c r="F18" s="41">
        <f ca="1">+($C$15+$C$16*$F$16)-($C$16/2)-15018.5-$C$9/24</f>
        <v>45518.81495376856</v>
      </c>
    </row>
    <row r="19" spans="1:18" ht="12.95" customHeight="1" thickTop="1" x14ac:dyDescent="0.2">
      <c r="A19" s="23" t="s">
        <v>32</v>
      </c>
      <c r="E19" s="24">
        <v>22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52</v>
      </c>
      <c r="J20" s="6" t="s">
        <v>47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37</v>
      </c>
    </row>
    <row r="21" spans="1:18" ht="12.95" customHeight="1" x14ac:dyDescent="0.2">
      <c r="A21" t="s">
        <v>36</v>
      </c>
      <c r="C21" s="9">
        <v>51427.81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5.5224976321485625E-2</v>
      </c>
      <c r="Q21" s="1">
        <f>+C21-15018.5</f>
        <v>36409.31</v>
      </c>
    </row>
    <row r="22" spans="1:18" ht="12.95" customHeight="1" x14ac:dyDescent="0.2">
      <c r="A22" s="28" t="s">
        <v>43</v>
      </c>
      <c r="B22" s="29" t="s">
        <v>44</v>
      </c>
      <c r="C22" s="28">
        <v>55688.8704</v>
      </c>
      <c r="D22" s="28">
        <v>4.0000000000000002E-4</v>
      </c>
      <c r="E22">
        <f>+(C22-C$7)/C$8</f>
        <v>12724.141184902061</v>
      </c>
      <c r="F22">
        <f>ROUND(2*E22,0)/2</f>
        <v>12724</v>
      </c>
      <c r="G22">
        <f>+C22-(C$7+F22*C$8)</f>
        <v>4.7279999998863786E-2</v>
      </c>
      <c r="I22">
        <f>+G22</f>
        <v>4.7279999998863786E-2</v>
      </c>
      <c r="O22">
        <f ca="1">+C$11+C$12*$F22</f>
        <v>4.7279999998863786E-2</v>
      </c>
      <c r="Q22" s="1">
        <f>+C22-15018.5</f>
        <v>40670.3704</v>
      </c>
    </row>
    <row r="23" spans="1:18" ht="12.95" customHeight="1" x14ac:dyDescent="0.2">
      <c r="A23" s="30" t="s">
        <v>45</v>
      </c>
      <c r="B23" s="31" t="s">
        <v>44</v>
      </c>
      <c r="C23" s="30">
        <v>56042.837899999999</v>
      </c>
      <c r="D23" s="30">
        <v>5.0000000000000001E-4</v>
      </c>
      <c r="E23">
        <f>+(C23-C$7)/C$8</f>
        <v>13781.139214046825</v>
      </c>
      <c r="F23">
        <f>ROUND(2*E23,0)/2</f>
        <v>13781</v>
      </c>
      <c r="G23">
        <f>+C23-(C$7+F23*C$8)</f>
        <v>4.6620000000984874E-2</v>
      </c>
      <c r="I23">
        <f>+G23</f>
        <v>4.6620000000984874E-2</v>
      </c>
      <c r="O23">
        <f ca="1">+C$11+C$12*$F23</f>
        <v>4.6620000000984874E-2</v>
      </c>
      <c r="Q23" s="1">
        <f>+C23-15018.5</f>
        <v>41024.337899999999</v>
      </c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ht="12.95" customHeight="1" x14ac:dyDescent="0.2">
      <c r="C26" s="9"/>
      <c r="D26" s="9"/>
      <c r="Q26" s="1"/>
    </row>
    <row r="27" spans="1:18" ht="12.95" customHeight="1" x14ac:dyDescent="0.2">
      <c r="C27" s="9"/>
      <c r="D27" s="9"/>
      <c r="Q27" s="1"/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2024-08-14T05:48:18Z</dcterms:modified>
</cp:coreProperties>
</file>