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BB8318F-92EE-4182-BD0B-800411D0ED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3" i="1"/>
  <c r="Q22" i="1"/>
  <c r="C8" i="1"/>
  <c r="E23" i="1" s="1"/>
  <c r="F23" i="1" s="1"/>
  <c r="G23" i="1" s="1"/>
  <c r="K23" i="1" s="1"/>
  <c r="E22" i="1"/>
  <c r="F22" i="1" s="1"/>
  <c r="G22" i="1" s="1"/>
  <c r="K22" i="1" s="1"/>
  <c r="C9" i="1"/>
  <c r="D9" i="1"/>
  <c r="D8" i="1"/>
  <c r="C17" i="1"/>
  <c r="Q21" i="1"/>
  <c r="F15" i="1" l="1"/>
  <c r="E21" i="1"/>
  <c r="F21" i="1" s="1"/>
  <c r="G21" i="1" s="1"/>
  <c r="C11" i="1"/>
  <c r="C12" i="1"/>
  <c r="C16" i="1" l="1"/>
  <c r="D18" i="1" s="1"/>
  <c r="C15" i="1"/>
  <c r="O22" i="1"/>
  <c r="O21" i="1"/>
  <c r="O23" i="1"/>
  <c r="I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<sst xmlns="http://schemas.openxmlformats.org/spreadsheetml/2006/main" count="60" uniqueCount="56">
  <si>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</si>
  <si>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</si>
  <si>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</si>
  <si>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</si>
  <si>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</si>
  <si>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</si>
  <si>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</si>
  <si>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</si>
  <si>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</si>
  <si>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</si>
  <si>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</si>
  <si>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</si>
  <si>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</si>
  <si>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</si>
  <si>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</si>
  <si>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</si>
  <si>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</si>
  <si>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</si>
  <si>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</si>
  <si>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</si>
  <si>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</si>
  <si>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</si>
  <si>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</si>
  <si>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</si>
  <si>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</si>
  <si>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</si>
  <si>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</si>
  <si>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</si>
  <si>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</si>
  <si>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</si>
  <si>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</si>
  <si>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</si>
  <si>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</si>
  <si>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</si>
  <si>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</si>
  <si>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</si>
  <si>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</si>
  <si>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</si>
  <si>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</si>
  <si>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</si>
  <si>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V0509 Dra  </t>
  </si>
  <si>
    <t>2017K</t>
  </si>
  <si>
    <t>G3899-0384</t>
  </si>
  <si>
    <t xml:space="preserve">EW        </t>
  </si>
  <si>
    <t xml:space="preserve">  12.6  :   </t>
  </si>
  <si>
    <t>pr_6</t>
  </si>
  <si>
    <t xml:space="preserve">       </t>
  </si>
  <si>
    <t>V0509 Dra   / GSC 3899-0384</t>
  </si>
  <si>
    <t>GCVS</t>
  </si>
  <si>
    <t>IBVS 6196</t>
  </si>
  <si>
    <t>I</t>
  </si>
  <si>
    <t>RHN 2018</t>
  </si>
  <si>
    <t>Next ToM-P</t>
  </si>
  <si>
    <t>Next ToM-S</t>
  </si>
  <si>
    <t>12.01-12.65</t>
  </si>
  <si>
    <t xml:space="preserve">Mag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</si>
</sst>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0" fillId="0" borderId="0" xfId="0" applyAlignment="1">
      <alignment horizontal="right"/>
    </xf>
    <xf numFmtId="0" fontId="16" fillId="0" borderId="15" xfId="0" applyFont="1" applyBorder="1" applyAlignment="1">
      <alignment horizontal="right" vertical="center"/>
    </xf>
    <xf numFmtId="0" fontId="33" fillId="0" borderId="15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center"/>
    </xf>
    <xf numFmtId="0" fontId="34" fillId="0" borderId="17" xfId="0" applyFont="1" applyBorder="1" applyAlignment="1">
      <alignment horizontal="right" vertical="center"/>
    </xf>
    <xf numFmtId="0" fontId="16" fillId="26" borderId="12" xfId="0" applyFont="1" applyFill="1" applyBorder="1" applyAlignment="1">
      <alignment horizontal="right" vertical="center"/>
    </xf>
    <xf numFmtId="0" fontId="16" fillId="26" borderId="13" xfId="0" applyFont="1" applyFill="1" applyBorder="1" applyAlignment="1">
      <alignment horizontal="right" vertical="center"/>
    </xf>
    <xf numFmtId="0" fontId="35" fillId="0" borderId="15" xfId="0" applyFont="1" applyBorder="1" applyAlignment="1">
      <alignment horizontal="right" vertical="center"/>
    </xf>
    <xf numFmtId="22" fontId="8" fillId="0" borderId="15" xfId="0" applyNumberFormat="1" applyFont="1" applyBorder="1" applyAlignment="1">
      <alignment horizontal="right" vertical="center"/>
    </xf>
    <xf numFmtId="22" fontId="8" fillId="0" borderId="16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V0509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8.6E-3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8.6E-3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8718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A5-41E4-BB8E-53F8B910827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8718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A5-41E4-BB8E-53F8B910827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8718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A5-41E4-BB8E-53F8B910827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8718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1.3663999998243526E-2</c:v>
                </c:pt>
                <c:pt idx="2">
                  <c:v>2.0303999997850042E-2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A5-41E4-BB8E-53F8B910827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8718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A5-41E4-BB8E-53F8B91082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8718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A5-41E4-BB8E-53F8B91082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8718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A5-41E4-BB8E-53F8B91082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8718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-3.3698734580353551E-5</c:v>
                </c:pt>
                <c:pt idx="1">
                  <c:v>1.3769678260139763E-2</c:v>
                </c:pt>
                <c:pt idx="2">
                  <c:v>2.023202047053416E-2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A5-41E4-BB8E-53F8B910827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8718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A5-41E4-BB8E-53F8B9108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682336"/>
        <c:axId val="1"/>
      </c:scatterChart>
      <c:valAx>
        <c:axId val="711682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682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F01E2AA-7726-2764-3650-DC6B75B46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4" t="s">
        <v>40</v>
      </c>
      <c r="G1" s="29" t="s">
        <v>41</v>
      </c>
      <c r="H1" s="35"/>
      <c r="I1" s="36" t="s">
        <v>42</v>
      </c>
      <c r="J1" s="37" t="s">
        <v>40</v>
      </c>
      <c r="K1" s="38">
        <v>17.152000000000001</v>
      </c>
      <c r="L1" s="31">
        <v>58.283790000000003</v>
      </c>
      <c r="M1" s="32">
        <v>54700.642</v>
      </c>
      <c r="N1" s="32">
        <v>0.409522</v>
      </c>
      <c r="O1" s="30" t="s">
        <v>43</v>
      </c>
      <c r="P1" s="31">
        <v>12</v>
      </c>
      <c r="Q1" s="31" t="s">
        <v>44</v>
      </c>
      <c r="R1" s="39" t="s">
        <v>45</v>
      </c>
      <c r="S1" s="30" t="s">
        <v>46</v>
      </c>
    </row>
    <row r="2" spans="1:19" ht="12.95" customHeight="1" x14ac:dyDescent="0.2">
      <c r="A2" t="s">
        <v>23</v>
      </c>
      <c r="B2" t="s">
        <v>43</v>
      </c>
      <c r="C2" s="28"/>
      <c r="D2" s="3"/>
    </row>
    <row r="3" spans="1:19" ht="12.95" customHeight="1" thickBot="1" x14ac:dyDescent="0.25"/>
    <row r="4" spans="1:19" ht="12.95" customHeight="1" thickTop="1" thickBot="1" x14ac:dyDescent="0.25">
      <c r="A4" s="5" t="s">
        <v>0</v>
      </c>
      <c r="C4" s="25">
        <v>54700.642</v>
      </c>
      <c r="D4" s="26">
        <v>0.409522</v>
      </c>
    </row>
    <row r="5" spans="1:19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ht="12.95" customHeight="1" x14ac:dyDescent="0.2">
      <c r="A6" s="5" t="s">
        <v>1</v>
      </c>
    </row>
    <row r="7" spans="1:19" ht="12.95" customHeight="1" x14ac:dyDescent="0.2">
      <c r="A7" t="s">
        <v>2</v>
      </c>
      <c r="C7" s="43">
        <v>54700.642</v>
      </c>
      <c r="D7" s="27" t="s">
        <v>48</v>
      </c>
    </row>
    <row r="8" spans="1:19" ht="12.95" customHeight="1" x14ac:dyDescent="0.2">
      <c r="A8" t="s">
        <v>3</v>
      </c>
      <c r="C8" s="43">
        <f>N1</f>
        <v>0.409522</v>
      </c>
      <c r="D8" s="27" t="str">
        <f>D7</f>
        <v>GCVS</v>
      </c>
    </row>
    <row r="9" spans="1:19" ht="12.95" customHeight="1" x14ac:dyDescent="0.2">
      <c r="A9" s="23" t="s">
        <v>31</v>
      </c>
      <c r="B9" s="33">
        <v>21</v>
      </c>
      <c r="C9" s="21" t="str">
        <f>"F"&amp;B9</f>
        <v>F21</v>
      </c>
      <c r="D9" s="22" t="str">
        <f>"G"&amp;B9</f>
        <v>G21</v>
      </c>
    </row>
    <row r="10" spans="1:19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9" ht="12.95" customHeight="1" x14ac:dyDescent="0.2">
      <c r="A11" s="10" t="s">
        <v>15</v>
      </c>
      <c r="B11" s="10"/>
      <c r="C11" s="20">
        <f ca="1">INTERCEPT(INDIRECT($D$9):G992,INDIRECT($C$9):F992)</f>
        <v>-3.3698734580353551E-5</v>
      </c>
      <c r="D11" s="3"/>
      <c r="E11" s="10"/>
    </row>
    <row r="12" spans="1:19" ht="12.95" customHeight="1" x14ac:dyDescent="0.2">
      <c r="A12" s="10" t="s">
        <v>16</v>
      </c>
      <c r="B12" s="10"/>
      <c r="C12" s="20">
        <f ca="1">SLOPE(INDIRECT($D$9):G992,INDIRECT($C$9):F992)</f>
        <v>2.3245835289188475E-6</v>
      </c>
      <c r="D12" s="3"/>
      <c r="E12" s="49" t="s">
        <v>55</v>
      </c>
      <c r="F12" s="50" t="s">
        <v>54</v>
      </c>
    </row>
    <row r="13" spans="1:19" ht="12.95" customHeight="1" x14ac:dyDescent="0.2">
      <c r="A13" s="10" t="s">
        <v>18</v>
      </c>
      <c r="B13" s="10"/>
      <c r="C13" s="3" t="s">
        <v>13</v>
      </c>
      <c r="E13" s="47" t="s">
        <v>33</v>
      </c>
      <c r="F13" s="51">
        <v>1</v>
      </c>
    </row>
    <row r="14" spans="1:19" ht="12.95" customHeight="1" x14ac:dyDescent="0.2">
      <c r="A14" s="10"/>
      <c r="B14" s="10"/>
      <c r="C14" s="10"/>
      <c r="E14" s="47" t="s">
        <v>30</v>
      </c>
      <c r="F14" s="44">
        <f ca="1">NOW()+15018.5+$C$5/24</f>
        <v>60536.747634953703</v>
      </c>
    </row>
    <row r="15" spans="1:19" ht="12.95" customHeight="1" x14ac:dyDescent="0.2">
      <c r="A15" s="12" t="s">
        <v>17</v>
      </c>
      <c r="B15" s="10"/>
      <c r="C15" s="13">
        <f ca="1">(C7+C11)+(C8+C12)*INT(MAX(F21:F3533))</f>
        <v>58270.875028020469</v>
      </c>
      <c r="E15" s="47" t="s">
        <v>34</v>
      </c>
      <c r="F15" s="45">
        <f ca="1">ROUND(2*($F$14-$C$7)/$C$8,0)/2+$F$13</f>
        <v>14252</v>
      </c>
    </row>
    <row r="16" spans="1:19" ht="12.95" customHeight="1" x14ac:dyDescent="0.2">
      <c r="A16" s="15" t="s">
        <v>4</v>
      </c>
      <c r="B16" s="10"/>
      <c r="C16" s="16">
        <f ca="1">+C8+C12</f>
        <v>0.40952432458352894</v>
      </c>
      <c r="E16" s="47" t="s">
        <v>35</v>
      </c>
      <c r="F16" s="46">
        <f ca="1">ROUND(2*($F$14-$C$15)/$C$16,0)/2+$F$13</f>
        <v>5534</v>
      </c>
    </row>
    <row r="17" spans="1:21" ht="12.95" customHeight="1" thickBot="1" x14ac:dyDescent="0.25">
      <c r="A17" s="14" t="s">
        <v>27</v>
      </c>
      <c r="B17" s="10"/>
      <c r="C17" s="10">
        <f>COUNT(C21:C2191)</f>
        <v>3</v>
      </c>
      <c r="E17" s="47" t="s">
        <v>52</v>
      </c>
      <c r="F17" s="52">
        <f ca="1">+$C$15+$C$16*$F$16-15018.5-$C$5/24</f>
        <v>45519.078473599053</v>
      </c>
    </row>
    <row r="18" spans="1:21" ht="12.95" customHeight="1" thickTop="1" thickBot="1" x14ac:dyDescent="0.25">
      <c r="A18" s="15" t="s">
        <v>5</v>
      </c>
      <c r="B18" s="10"/>
      <c r="C18" s="18">
        <f ca="1">+C15</f>
        <v>58270.875028020469</v>
      </c>
      <c r="D18" s="19">
        <f ca="1">+C16</f>
        <v>0.40952432458352894</v>
      </c>
      <c r="E18" s="48" t="s">
        <v>53</v>
      </c>
      <c r="F18" s="53">
        <f ca="1">+($C$15+$C$16*$F$16)-($C$16/2)-15018.5-$C$5/24</f>
        <v>45518.873711436761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t="s">
        <v>48</v>
      </c>
      <c r="C21" s="8">
        <v>54700.642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-3.3698734580353551E-5</v>
      </c>
      <c r="Q21" s="2">
        <f>+C21-15018.5</f>
        <v>39682.142</v>
      </c>
    </row>
    <row r="22" spans="1:21" ht="12.95" customHeight="1" x14ac:dyDescent="0.2">
      <c r="A22" s="40" t="s">
        <v>49</v>
      </c>
      <c r="B22" s="41" t="s">
        <v>50</v>
      </c>
      <c r="C22" s="42">
        <v>57132.397299999997</v>
      </c>
      <c r="D22" s="42">
        <v>8.6E-3</v>
      </c>
      <c r="E22">
        <f>+(C22-C$7)/C$8</f>
        <v>5938.0333657288184</v>
      </c>
      <c r="F22">
        <f>ROUND(2*E22,0)/2</f>
        <v>5938</v>
      </c>
      <c r="G22">
        <f>+C22-(C$7+F22*C$8)</f>
        <v>1.3663999998243526E-2</v>
      </c>
      <c r="K22">
        <f>+G22</f>
        <v>1.3663999998243526E-2</v>
      </c>
      <c r="O22">
        <f ca="1">+C$11+C$12*$F22</f>
        <v>1.3769678260139763E-2</v>
      </c>
      <c r="Q22" s="2">
        <f>+C22-15018.5</f>
        <v>42113.897299999997</v>
      </c>
    </row>
    <row r="23" spans="1:21" ht="12.95" customHeight="1" x14ac:dyDescent="0.2">
      <c r="A23" s="5" t="s">
        <v>51</v>
      </c>
      <c r="C23" s="8">
        <v>58270.875099999997</v>
      </c>
      <c r="D23" s="8">
        <v>2.9999999999999997E-4</v>
      </c>
      <c r="E23">
        <f>+(C23-C$7)/C$8</f>
        <v>8718.0495797539515</v>
      </c>
      <c r="F23">
        <f>ROUND(2*E23,0)/2</f>
        <v>8718</v>
      </c>
      <c r="G23">
        <f>+C23-(C$7+F23*C$8)</f>
        <v>2.0303999997850042E-2</v>
      </c>
      <c r="K23">
        <f>+G23</f>
        <v>2.0303999997850042E-2</v>
      </c>
      <c r="O23">
        <f ca="1">+C$11+C$12*$F23</f>
        <v>2.023202047053416E-2</v>
      </c>
      <c r="Q23" s="2">
        <f>+C23-15018.5</f>
        <v>43252.375099999997</v>
      </c>
    </row>
    <row r="24" spans="1:21" ht="12.95" customHeight="1" x14ac:dyDescent="0.2">
      <c r="C24" s="8"/>
      <c r="D24" s="8"/>
      <c r="Q24" s="2"/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2024-08-14T05:56:35Z</dcterms:modified>
</cp:coreProperties>
</file>