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6B2BB9-823F-48DD-9E4F-5F6991AF8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1" i="1"/>
  <c r="F21" i="1"/>
  <c r="G21" i="1"/>
  <c r="H21" i="1"/>
  <c r="Q22" i="1"/>
  <c r="F11" i="1"/>
  <c r="G11" i="1"/>
  <c r="C17" i="1"/>
  <c r="Q21" i="1"/>
  <c r="C12" i="1"/>
  <c r="F15" i="1" l="1"/>
  <c r="C16" i="1"/>
  <c r="D18" i="1" s="1"/>
  <c r="C11" i="1"/>
  <c r="C15" i="1" l="1"/>
  <c r="O22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<sst xmlns="http://schemas.openxmlformats.org/spreadsheetml/2006/main" count="57" uniqueCount="52">
  <si>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</si>
  <si>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</si>
  <si>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</si>
  <si>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</si>
  <si>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</si>
  <si>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</si>
  <si>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</si>
  <si>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</si>
  <si>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</si>
  <si>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</si>
  <si>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</si>
  <si>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</si>
  <si>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</si>
  <si>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</si>
  <si>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</si>
  <si>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</si>
  <si>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</si>
  <si>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</si>
  <si>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</si>
  <si>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</si>
  <si>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</si>
  <si>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</si>
  <si>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</si>
  <si>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</si>
  <si>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</si>
  <si>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</si>
  <si>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</si>
  <si>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</si>
  <si>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</si>
  <si>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</si>
  <si>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</si>
  <si>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</si>
  <si>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</si>
  <si>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</si>
  <si>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</si>
  <si>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</si>
  <si>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</si>
  <si>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</si>
  <si>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</si>
  <si>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G4424-2294</t>
  </si>
  <si>
    <t>Dra</t>
  </si>
  <si>
    <t>IBVS 5992</t>
  </si>
  <si>
    <t>I</t>
  </si>
  <si>
    <t>EB</t>
  </si>
  <si>
    <t>4424-2294</t>
  </si>
  <si>
    <t>CCD</t>
  </si>
  <si>
    <t>V0513 Dra / GSC 4424-2294</t>
  </si>
  <si>
    <t>Next ToM-P</t>
  </si>
  <si>
    <t>Next ToM-S</t>
  </si>
  <si>
    <t>13.60-14.15</t>
  </si>
  <si>
    <t xml:space="preserve">Mag R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</si>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</sst>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15" fillId="2" borderId="5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Dra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A-4AA4-AA62-B940585651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3.973000000405591E-2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9A-4AA4-AA62-B940585651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9A-4AA4-AA62-B940585651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9A-4AA4-AA62-B940585651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9A-4AA4-AA62-B940585651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9A-4AA4-AA62-B940585651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9A-4AA4-AA62-B940585651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3.973000000405591E-2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9A-4AA4-AA62-B9405856512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9A-4AA4-AA62-B94058565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91344"/>
        <c:axId val="1"/>
      </c:scatterChart>
      <c:valAx>
        <c:axId val="79439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91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7D33EA-2F8A-E912-95B7-3102D2F56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1.140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0" t="s">
        <v>46</v>
      </c>
    </row>
    <row r="2" spans="1:7" ht="12.95" customHeight="1" x14ac:dyDescent="0.2">
      <c r="A2" t="s">
        <v>23</v>
      </c>
      <c r="B2" t="s">
        <v>43</v>
      </c>
      <c r="D2" s="2" t="s">
        <v>40</v>
      </c>
      <c r="E2" s="27" t="s">
        <v>39</v>
      </c>
    </row>
    <row r="3" spans="1:7" ht="12.95" customHeight="1" thickBot="1" x14ac:dyDescent="0.25">
      <c r="E3" t="s">
        <v>44</v>
      </c>
    </row>
    <row r="4" spans="1:7" ht="12.95" customHeight="1" thickTop="1" thickBot="1" x14ac:dyDescent="0.25">
      <c r="A4" s="4" t="s">
        <v>0</v>
      </c>
      <c r="C4" s="7" t="s">
        <v>38</v>
      </c>
      <c r="D4" s="8" t="s">
        <v>38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>
        <v>51460.788999999997</v>
      </c>
      <c r="D7" s="26" t="s">
        <v>36</v>
      </c>
    </row>
    <row r="8" spans="1:7" ht="12.95" customHeight="1" x14ac:dyDescent="0.2">
      <c r="A8" t="s">
        <v>3</v>
      </c>
      <c r="C8">
        <v>0.50622999999999996</v>
      </c>
      <c r="D8" s="26" t="s">
        <v>36</v>
      </c>
    </row>
    <row r="9" spans="1:7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15</v>
      </c>
      <c r="B11" s="11"/>
      <c r="C11" s="20">
        <f ca="1">INTERCEPT(INDIRECT($G$11):G992,INDIRECT($F$11):F992)</f>
        <v>0</v>
      </c>
      <c r="D11" s="2"/>
      <c r="E11" s="11"/>
      <c r="F11" s="21" t="str">
        <f>"F"&amp;E19</f>
        <v>F21</v>
      </c>
      <c r="G11" s="22" t="str">
        <f>"G"&amp;E19</f>
        <v>G21</v>
      </c>
    </row>
    <row r="12" spans="1:7" ht="12.95" customHeight="1" x14ac:dyDescent="0.2">
      <c r="A12" s="11" t="s">
        <v>16</v>
      </c>
      <c r="B12" s="11"/>
      <c r="C12" s="20">
        <f ca="1">SLOPE(INDIRECT($G$11):G992,INDIRECT($F$11):F992)</f>
        <v>4.7190877781275578E-6</v>
      </c>
      <c r="D12" s="2"/>
      <c r="E12" s="31" t="s">
        <v>50</v>
      </c>
      <c r="F12" s="35" t="s">
        <v>49</v>
      </c>
    </row>
    <row r="13" spans="1:7" ht="12.95" customHeight="1" x14ac:dyDescent="0.2">
      <c r="A13" s="11" t="s">
        <v>18</v>
      </c>
      <c r="B13" s="11"/>
      <c r="C13" s="2" t="s">
        <v>13</v>
      </c>
      <c r="D13" s="15"/>
      <c r="E13" s="32" t="s">
        <v>33</v>
      </c>
      <c r="F13" s="36">
        <v>1</v>
      </c>
    </row>
    <row r="14" spans="1:7" ht="12.95" customHeight="1" x14ac:dyDescent="0.2">
      <c r="A14" s="11"/>
      <c r="B14" s="11"/>
      <c r="C14" s="11"/>
      <c r="D14" s="15"/>
      <c r="E14" s="32" t="s">
        <v>31</v>
      </c>
      <c r="F14" s="37">
        <f ca="1">NOW()+15018.5+$C$9/24</f>
        <v>60536.753239120371</v>
      </c>
    </row>
    <row r="15" spans="1:7" ht="12.95" customHeight="1" x14ac:dyDescent="0.2">
      <c r="A15" s="13" t="s">
        <v>17</v>
      </c>
      <c r="B15" s="11"/>
      <c r="C15" s="14">
        <f ca="1">(C7+C11)+(C8+C12)*INT(MAX(F21:F3533))</f>
        <v>55722.7791</v>
      </c>
      <c r="D15" s="15"/>
      <c r="E15" s="32" t="s">
        <v>34</v>
      </c>
      <c r="F15" s="37">
        <f ca="1">ROUND(2*($F$14-$C$7)/$C$8,0)/2+$F$13</f>
        <v>17929.5</v>
      </c>
    </row>
    <row r="16" spans="1:7" ht="12.95" customHeight="1" x14ac:dyDescent="0.2">
      <c r="A16" s="16" t="s">
        <v>4</v>
      </c>
      <c r="B16" s="11"/>
      <c r="C16" s="17">
        <f ca="1">+C8+C12</f>
        <v>0.50623471908777806</v>
      </c>
      <c r="D16" s="15"/>
      <c r="E16" s="32" t="s">
        <v>35</v>
      </c>
      <c r="F16" s="37">
        <f ca="1">ROUND(2*($F$14-$C$15)/$C$16,0)/2+$F$13</f>
        <v>9510.5</v>
      </c>
    </row>
    <row r="17" spans="1:18" ht="12.95" customHeight="1" thickBot="1" x14ac:dyDescent="0.25">
      <c r="A17" s="15" t="s">
        <v>28</v>
      </c>
      <c r="B17" s="11"/>
      <c r="C17" s="11">
        <f>COUNT(C21:C2191)</f>
        <v>2</v>
      </c>
      <c r="D17" s="15"/>
      <c r="E17" s="33" t="s">
        <v>47</v>
      </c>
      <c r="F17" s="38">
        <f ca="1">+$C$15+$C$16*$F$16-15018.5-$C$9/24</f>
        <v>45519.220229217652</v>
      </c>
    </row>
    <row r="18" spans="1:18" ht="12.95" customHeight="1" thickTop="1" thickBot="1" x14ac:dyDescent="0.25">
      <c r="A18" s="16" t="s">
        <v>5</v>
      </c>
      <c r="B18" s="11"/>
      <c r="C18" s="18">
        <f ca="1">+C15</f>
        <v>55722.7791</v>
      </c>
      <c r="D18" s="19">
        <f ca="1">+C16</f>
        <v>0.50623471908777806</v>
      </c>
      <c r="E18" s="34" t="s">
        <v>48</v>
      </c>
      <c r="F18" s="39">
        <f ca="1">+($C$15+$C$16*$F$16)-($C$16/2)-15018.5-$C$9/24</f>
        <v>45518.96711185811</v>
      </c>
    </row>
    <row r="19" spans="1:18" ht="12.95" customHeight="1" thickTop="1" x14ac:dyDescent="0.2">
      <c r="A19" s="23" t="s">
        <v>32</v>
      </c>
      <c r="E19" s="24">
        <v>21</v>
      </c>
    </row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51</v>
      </c>
      <c r="J20" s="6" t="s">
        <v>45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37</v>
      </c>
    </row>
    <row r="21" spans="1:18" ht="12.95" customHeight="1" x14ac:dyDescent="0.2">
      <c r="A21" t="s">
        <v>36</v>
      </c>
      <c r="C21" s="9">
        <v>51460.788999999997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36442.288999999997</v>
      </c>
    </row>
    <row r="22" spans="1:18" ht="12.95" customHeight="1" x14ac:dyDescent="0.2">
      <c r="A22" s="28" t="s">
        <v>41</v>
      </c>
      <c r="B22" s="29" t="s">
        <v>42</v>
      </c>
      <c r="C22" s="28">
        <v>55722.7791</v>
      </c>
      <c r="D22" s="28">
        <v>5.0000000000000001E-4</v>
      </c>
      <c r="E22">
        <f>+(C22-C$7)/C$8</f>
        <v>8419.07848211288</v>
      </c>
      <c r="F22">
        <f>ROUND(2*E22,0)/2</f>
        <v>8419</v>
      </c>
      <c r="G22">
        <f>+C22-(C$7+F22*C$8)</f>
        <v>3.973000000405591E-2</v>
      </c>
      <c r="I22">
        <f>+G22</f>
        <v>3.973000000405591E-2</v>
      </c>
      <c r="O22">
        <f ca="1">+C$11+C$12*$F22</f>
        <v>3.973000000405591E-2</v>
      </c>
      <c r="Q22" s="1">
        <f>+C22-15018.5</f>
        <v>40704.2791</v>
      </c>
    </row>
    <row r="23" spans="1:18" ht="12.95" customHeight="1" x14ac:dyDescent="0.2">
      <c r="C23" s="9"/>
      <c r="D23" s="9"/>
      <c r="Q23" s="1"/>
    </row>
    <row r="24" spans="1:18" ht="12.95" customHeight="1" x14ac:dyDescent="0.2">
      <c r="C24" s="9"/>
      <c r="D24" s="9"/>
      <c r="Q24" s="1"/>
    </row>
    <row r="25" spans="1:18" ht="12.95" customHeight="1" x14ac:dyDescent="0.2">
      <c r="C25" s="9"/>
      <c r="D25" s="9"/>
      <c r="Q25" s="1"/>
    </row>
    <row r="26" spans="1:18" ht="12.95" customHeight="1" x14ac:dyDescent="0.2">
      <c r="C26" s="9"/>
      <c r="D26" s="9"/>
      <c r="Q26" s="1"/>
    </row>
    <row r="27" spans="1:18" ht="12.95" customHeight="1" x14ac:dyDescent="0.2">
      <c r="C27" s="9"/>
      <c r="D27" s="9"/>
      <c r="Q27" s="1"/>
    </row>
    <row r="28" spans="1:18" ht="12.95" customHeight="1" x14ac:dyDescent="0.2">
      <c r="C28" s="9"/>
      <c r="D28" s="9"/>
      <c r="Q28" s="1"/>
    </row>
    <row r="29" spans="1:18" ht="12.95" customHeight="1" x14ac:dyDescent="0.2">
      <c r="C29" s="9"/>
      <c r="D29" s="9"/>
      <c r="Q29" s="1"/>
    </row>
    <row r="30" spans="1:18" ht="12.95" customHeight="1" x14ac:dyDescent="0.2">
      <c r="C30" s="9"/>
      <c r="D30" s="9"/>
      <c r="Q30" s="1"/>
    </row>
    <row r="31" spans="1:18" ht="12.95" customHeight="1" x14ac:dyDescent="0.2">
      <c r="C31" s="9"/>
      <c r="D31" s="9"/>
      <c r="Q31" s="1"/>
    </row>
    <row r="32" spans="1:18" ht="12.95" customHeight="1" x14ac:dyDescent="0.2">
      <c r="C32" s="9"/>
      <c r="D32" s="9"/>
      <c r="Q32" s="1"/>
    </row>
    <row r="33" spans="3:17" ht="12.95" customHeight="1" x14ac:dyDescent="0.2">
      <c r="C33" s="9"/>
      <c r="D33" s="9"/>
      <c r="Q33" s="1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2024-08-14T06:04:39Z</dcterms:modified>
</cp:coreProperties>
</file>