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7FE42B-99F0-4FC1-A6A4-AC7E46DCBA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C24" i="1"/>
  <c r="A24" i="1"/>
  <c r="F14" i="1"/>
  <c r="D9" i="1"/>
  <c r="C9" i="1"/>
  <c r="G13" i="2"/>
  <c r="C13" i="2"/>
  <c r="G12" i="2"/>
  <c r="C12" i="2"/>
  <c r="E12" i="2"/>
  <c r="G11" i="2"/>
  <c r="C11" i="2"/>
  <c r="H13" i="2"/>
  <c r="D13" i="2"/>
  <c r="B13" i="2"/>
  <c r="A13" i="2"/>
  <c r="H12" i="2"/>
  <c r="B12" i="2"/>
  <c r="D12" i="2"/>
  <c r="A12" i="2"/>
  <c r="H11" i="2"/>
  <c r="D11" i="2"/>
  <c r="B11" i="2"/>
  <c r="A11" i="2"/>
  <c r="E22" i="1"/>
  <c r="F22" i="1" s="1"/>
  <c r="G22" i="1" s="1"/>
  <c r="I22" i="1" s="1"/>
  <c r="E23" i="1"/>
  <c r="F23" i="1" s="1"/>
  <c r="G23" i="1" s="1"/>
  <c r="I23" i="1" s="1"/>
  <c r="Q22" i="1"/>
  <c r="Q23" i="1"/>
  <c r="Q21" i="1"/>
  <c r="E21" i="1"/>
  <c r="F21" i="1" s="1"/>
  <c r="G21" i="1" s="1"/>
  <c r="H21" i="1" s="1"/>
  <c r="E11" i="2"/>
  <c r="C12" i="1"/>
  <c r="C11" i="1"/>
  <c r="O24" i="1" l="1"/>
  <c r="E13" i="2"/>
  <c r="F15" i="1"/>
  <c r="C15" i="1"/>
  <c r="O22" i="1"/>
  <c r="O21" i="1"/>
  <c r="O23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<sst xmlns="http://schemas.openxmlformats.org/spreadsheetml/2006/main" count="89" uniqueCount="73">
  <si>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</si>
  <si>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</si>
  <si>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</si>
  <si>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</si>
  <si>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</si>
  <si>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</si>
  <si>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</si>
  <si>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</si>
  <si>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</si>
  <si>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</si>
  <si>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</si>
  <si>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</si>
  <si>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</si>
  <si>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</si>
  <si>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</si>
  <si>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</si>
  <si>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</si>
  <si>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</si>
  <si>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</si>
  <si>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</si>
  <si>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</si>
  <si>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</si>
  <si>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</si>
  <si>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</si>
  <si>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</si>
  <si>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</si>
  <si>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</si>
  <si>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</si>
  <si>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</si>
  <si>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</si>
  <si>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</t>
  </si>
  <si>
    <t>BBSAG Bull.70</t>
  </si>
  <si>
    <t>BBSAG Bull.82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</si>
  <si>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</si>
  <si>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</si>
  <si>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</si>
  <si>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</si>
  <si>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</si>
  <si>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</si>
  <si>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</si>
  <si>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</si>
  <si>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</si>
  <si>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</si>
  <si>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</si>
  <si>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2444637.341 </t>
  </si>
  <si>
    <t> 01.02.1981 20:11 </t>
  </si>
  <si>
    <t> 0.000 </t>
  </si>
  <si>
    <t>V </t>
  </si>
  <si>
    <t> K.Locher </t>
  </si>
  <si>
    <t> BBS 53 </t>
  </si>
  <si>
    <t>2445697.308 </t>
  </si>
  <si>
    <t> 28.12.1983 19:23 </t>
  </si>
  <si>
    <t> -0.044 </t>
  </si>
  <si>
    <t> BBS 70 </t>
  </si>
  <si>
    <t>2446770.447 </t>
  </si>
  <si>
    <t> 05.12.1986 22:43 </t>
  </si>
  <si>
    <t> -0.067 </t>
  </si>
  <si>
    <t> BBS 82 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</si>
  <si>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</si>
  <si>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</si>
  <si>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</si>
  <si>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</si>
  <si>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</si>
  <si>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</si>
  <si>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</si>
  <si>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AK Eri / GSC 5893-1064</t>
  </si>
  <si>
    <t>E/SD:</t>
  </si>
  <si>
    <t>BAD?</t>
  </si>
  <si>
    <t xml:space="preserve">Mag </t>
  </si>
  <si>
    <t>Next ToM-P</t>
  </si>
  <si>
    <t>Next ToM-S</t>
  </si>
  <si>
    <t>11.97-13.10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</si>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</sst>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7" fillId="0" borderId="0" xfId="0" applyFont="1">
      <alignment vertical="top"/>
    </xf>
    <xf numFmtId="22" fontId="10" fillId="0" borderId="0" xfId="0" applyNumberFormat="1" applyFont="1">
      <alignment vertical="top"/>
    </xf>
    <xf numFmtId="0" fontId="18" fillId="0" borderId="1" xfId="0" applyFont="1" applyBorder="1" applyAlignment="1">
      <alignment vertical="center"/>
    </xf>
    <xf numFmtId="0" fontId="10" fillId="0" borderId="0" xfId="0" applyFont="1">
      <alignment vertical="top"/>
    </xf>
    <xf numFmtId="0" fontId="19" fillId="0" borderId="5" xfId="0" applyFont="1" applyBorder="1" applyAlignment="1">
      <alignment horizontal="center"/>
    </xf>
    <xf numFmtId="0" fontId="15" fillId="0" borderId="0" xfId="0" applyFont="1" applyAlignment="1">
      <alignment horizontal="right" vertical="top"/>
    </xf>
    <xf numFmtId="0" fontId="6" fillId="0" borderId="0" xfId="0" applyFont="1" applyAlignment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Eri - O-C Diagr.</a:t>
            </a:r>
          </a:p>
        </c:rich>
      </c:tx>
      <c:layout>
        <c:manualLayout>
          <c:xMode val="edge"/>
          <c:yMode val="edge"/>
          <c:x val="0.3905053598774885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6263399693722"/>
          <c:y val="0.15"/>
          <c:w val="0.82848392036753449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0.25088264000078198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DF-4401-B83F-672F4DEEF8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0.1723810599942226</c:v>
                </c:pt>
                <c:pt idx="2">
                  <c:v>0.11395017999893753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DF-4401-B83F-672F4DEEF8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DF-4401-B83F-672F4DEEF8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DF-4401-B83F-672F4DEEF8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DF-4401-B83F-672F4DEEF8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DF-4401-B83F-672F4DEEF8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DF-4401-B83F-672F4DEEF8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0.20632850511501724</c:v>
                </c:pt>
                <c:pt idx="1">
                  <c:v>0.182816079718531</c:v>
                </c:pt>
                <c:pt idx="2">
                  <c:v>0.15901193688536377</c:v>
                </c:pt>
                <c:pt idx="3">
                  <c:v>-1.094264172496992E-2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DF-4401-B83F-672F4DEEF8DD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-3724</c:v>
                </c:pt>
                <c:pt idx="1">
                  <c:v>-3321</c:v>
                </c:pt>
                <c:pt idx="2">
                  <c:v>-2913</c:v>
                </c:pt>
                <c:pt idx="3">
                  <c:v>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DF-4401-B83F-672F4DEEF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29424"/>
        <c:axId val="1"/>
      </c:scatterChart>
      <c:valAx>
        <c:axId val="79432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078101071973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04594180704443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2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70444104134761"/>
          <c:y val="0.91874999999999996"/>
          <c:w val="0.7503828483920367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466725</xdr:colOff>
      <xdr:row>18</xdr:row>
      <xdr:rowOff>142874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9EF0F9-DB4C-1B4B-D9B7-CCBC6B3BF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65</v>
      </c>
    </row>
    <row r="2" spans="1:6" ht="12.95" customHeight="1">
      <c r="A2" t="s">
        <v>25</v>
      </c>
      <c r="B2" s="35" t="s">
        <v>66</v>
      </c>
    </row>
    <row r="3" spans="1:6" ht="12.95" customHeight="1"/>
    <row r="4" spans="1:6" ht="12.95" customHeight="1">
      <c r="A4" s="8" t="s">
        <v>0</v>
      </c>
      <c r="C4" s="3">
        <v>44637.341</v>
      </c>
      <c r="D4" s="4">
        <v>2.6303000000000001</v>
      </c>
    </row>
    <row r="5" spans="1:6" ht="12.95" customHeight="1">
      <c r="A5" s="27" t="s">
        <v>58</v>
      </c>
      <c r="B5" s="14"/>
      <c r="C5" s="38">
        <v>-9.5</v>
      </c>
      <c r="D5" s="28" t="s">
        <v>59</v>
      </c>
    </row>
    <row r="6" spans="1:6" ht="12.95" customHeight="1">
      <c r="A6" s="8" t="s">
        <v>1</v>
      </c>
    </row>
    <row r="7" spans="1:6" ht="12.95" customHeight="1">
      <c r="A7" t="s">
        <v>2</v>
      </c>
      <c r="C7">
        <v>54432.647060000003</v>
      </c>
      <c r="D7" s="39" t="s">
        <v>72</v>
      </c>
    </row>
    <row r="8" spans="1:6" ht="12.95" customHeight="1">
      <c r="A8" t="s">
        <v>3</v>
      </c>
      <c r="C8">
        <v>2.6303858600000001</v>
      </c>
      <c r="D8" s="39" t="s">
        <v>72</v>
      </c>
    </row>
    <row r="9" spans="1:6" ht="12.95" customHeight="1">
      <c r="A9" s="29" t="s">
        <v>60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ht="12.95" customHeight="1" thickBot="1">
      <c r="C10" s="7" t="s">
        <v>20</v>
      </c>
      <c r="D10" s="7" t="s">
        <v>21</v>
      </c>
    </row>
    <row r="11" spans="1:6" ht="12.95" customHeight="1">
      <c r="A11" t="s">
        <v>16</v>
      </c>
      <c r="C11" s="36">
        <f ca="1">INTERCEPT(INDIRECT($D$9):G978,INDIRECT($C$9):F978)</f>
        <v>-1.094264172496992E-2</v>
      </c>
      <c r="D11" s="6"/>
    </row>
    <row r="12" spans="1:6" ht="12.95" customHeight="1">
      <c r="A12" t="s">
        <v>17</v>
      </c>
      <c r="C12" s="36">
        <f ca="1">SLOPE(INDIRECT($D$9):G978,INDIRECT($C$9):F978)</f>
        <v>-5.8343487336194193E-5</v>
      </c>
      <c r="D12" s="6"/>
      <c r="E12" s="42" t="s">
        <v>68</v>
      </c>
      <c r="F12" s="43" t="s">
        <v>71</v>
      </c>
    </row>
    <row r="13" spans="1:6" ht="12.95" customHeight="1">
      <c r="A13" t="s">
        <v>19</v>
      </c>
      <c r="C13" s="6" t="s">
        <v>14</v>
      </c>
      <c r="D13" s="6"/>
      <c r="E13" s="44" t="s">
        <v>61</v>
      </c>
      <c r="F13" s="45">
        <v>1</v>
      </c>
    </row>
    <row r="14" spans="1:6" ht="12.95" customHeight="1">
      <c r="A14" t="s">
        <v>24</v>
      </c>
      <c r="E14" s="44" t="s">
        <v>62</v>
      </c>
      <c r="F14" s="46">
        <f ca="1">NOW()+15018.5+$C$5/24</f>
        <v>60520.852551851851</v>
      </c>
    </row>
    <row r="15" spans="1:6" ht="12.95" customHeight="1">
      <c r="A15" s="5" t="s">
        <v>18</v>
      </c>
      <c r="C15" s="11">
        <f ca="1">(C7+C11)+(C8+C12)*INT(MAX(F21:F3533))</f>
        <v>54432.636117358277</v>
      </c>
      <c r="E15" s="44" t="s">
        <v>63</v>
      </c>
      <c r="F15" s="46">
        <f ca="1">ROUND(2*($F$14-$C$7)/$C$8,0)/2+$F$13</f>
        <v>2315.5</v>
      </c>
    </row>
    <row r="16" spans="1:6" ht="12.95" customHeight="1">
      <c r="A16" s="8" t="s">
        <v>4</v>
      </c>
      <c r="C16" s="12">
        <f ca="1">+C8+C12</f>
        <v>2.6303275165126641</v>
      </c>
      <c r="E16" s="44" t="s">
        <v>64</v>
      </c>
      <c r="F16" s="46">
        <f ca="1">ROUND(2*($F$14-$C$15)/$C$16,0)/2+$F$13</f>
        <v>2315.5</v>
      </c>
    </row>
    <row r="17" spans="1:30" ht="12.95" customHeight="1" thickBot="1">
      <c r="E17" s="44" t="s">
        <v>69</v>
      </c>
      <c r="F17" s="47">
        <f ca="1">+$C$15+$C$16*$F$16-15018.5-$C$5/24</f>
        <v>45505.055315176687</v>
      </c>
    </row>
    <row r="18" spans="1:30" ht="12.95" customHeight="1">
      <c r="A18" s="8" t="s">
        <v>5</v>
      </c>
      <c r="C18" s="3">
        <f ca="1">+C15</f>
        <v>54432.636117358277</v>
      </c>
      <c r="D18" s="4">
        <f ca="1">+C16</f>
        <v>2.6303275165126641</v>
      </c>
      <c r="E18" s="49" t="s">
        <v>70</v>
      </c>
      <c r="F18" s="48">
        <f ca="1">+($C$15+$C$16*$F$16)-($C$16/2)-15018.5-$C$5/24</f>
        <v>45503.740151418431</v>
      </c>
    </row>
    <row r="19" spans="1:30" ht="12.95" customHeight="1" thickTop="1">
      <c r="E19" s="33"/>
      <c r="F19" s="34"/>
    </row>
    <row r="20" spans="1:30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43</v>
      </c>
      <c r="J20" s="10" t="s">
        <v>72</v>
      </c>
      <c r="K20" s="10" t="s">
        <v>35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37" t="s">
        <v>67</v>
      </c>
    </row>
    <row r="21" spans="1:30" ht="12.95" customHeight="1">
      <c r="A21" t="s">
        <v>12</v>
      </c>
      <c r="C21" s="40">
        <v>44637.341</v>
      </c>
      <c r="D21" s="40" t="s">
        <v>14</v>
      </c>
      <c r="E21">
        <f>+(C21-C$7)/C$8</f>
        <v>-3723.9046213546794</v>
      </c>
      <c r="F21">
        <f>ROUND(2*E21,0)/2</f>
        <v>-3724</v>
      </c>
      <c r="G21">
        <f>+C21-(C$7+F21*C$8)</f>
        <v>0.25088264000078198</v>
      </c>
      <c r="H21">
        <f>+G21</f>
        <v>0.25088264000078198</v>
      </c>
      <c r="O21">
        <f ca="1">+C$11+C$12*$F21</f>
        <v>0.20632850511501724</v>
      </c>
      <c r="Q21" s="2">
        <f>+C21-15018.5</f>
        <v>29618.841</v>
      </c>
    </row>
    <row r="22" spans="1:30" ht="12.95" customHeight="1">
      <c r="A22" t="s">
        <v>31</v>
      </c>
      <c r="C22" s="41">
        <v>45697.307999999997</v>
      </c>
      <c r="D22" s="40"/>
      <c r="E22">
        <f>+(C22-C$7)/C$8</f>
        <v>-3320.9344654856095</v>
      </c>
      <c r="F22">
        <f>ROUND(2*E22,0)/2</f>
        <v>-3321</v>
      </c>
      <c r="G22">
        <f>+C22-(C$7+F22*C$8)</f>
        <v>0.1723810599942226</v>
      </c>
      <c r="I22">
        <f>+G22</f>
        <v>0.1723810599942226</v>
      </c>
      <c r="O22">
        <f ca="1">+C$11+C$12*$F22</f>
        <v>0.182816079718531</v>
      </c>
      <c r="Q22" s="2">
        <f>+C22-15018.5</f>
        <v>30678.807999999997</v>
      </c>
      <c r="AA22">
        <v>6</v>
      </c>
      <c r="AB22" t="s">
        <v>29</v>
      </c>
      <c r="AD22" t="s">
        <v>30</v>
      </c>
    </row>
    <row r="23" spans="1:30" ht="12.95" customHeight="1">
      <c r="A23" t="s">
        <v>32</v>
      </c>
      <c r="C23" s="41">
        <v>46770.447</v>
      </c>
      <c r="D23" s="40"/>
      <c r="E23">
        <f>+(C23-C$7)/C$8</f>
        <v>-2912.9566792911528</v>
      </c>
      <c r="F23">
        <f>ROUND(2*E23,0)/2</f>
        <v>-2913</v>
      </c>
      <c r="G23">
        <f>+C23-(C$7+F23*C$8)</f>
        <v>0.11395017999893753</v>
      </c>
      <c r="I23">
        <f>+G23</f>
        <v>0.11395017999893753</v>
      </c>
      <c r="O23">
        <f ca="1">+C$11+C$12*$F23</f>
        <v>0.15901193688536377</v>
      </c>
      <c r="Q23" s="2">
        <f>+C23-15018.5</f>
        <v>31751.947</v>
      </c>
      <c r="AA23">
        <v>4</v>
      </c>
      <c r="AB23" t="s">
        <v>29</v>
      </c>
      <c r="AD23" t="s">
        <v>30</v>
      </c>
    </row>
    <row r="24" spans="1:30" ht="12.95" customHeight="1">
      <c r="A24" t="str">
        <f>$D$7</f>
        <v>VSX</v>
      </c>
      <c r="C24" s="40">
        <f>$C$7</f>
        <v>54432.647060000003</v>
      </c>
      <c r="D24" s="40"/>
      <c r="E24">
        <f>+(C24-C$7)/C$8</f>
        <v>0</v>
      </c>
      <c r="F24">
        <f>ROUND(2*E24,0)/2</f>
        <v>0</v>
      </c>
      <c r="G24">
        <f>+C24-(C$7+F24*C$8)</f>
        <v>0</v>
      </c>
      <c r="J24">
        <f>+G24</f>
        <v>0</v>
      </c>
      <c r="O24">
        <f ca="1">+C$11+C$12*$F24</f>
        <v>-1.094264172496992E-2</v>
      </c>
      <c r="Q24" s="2">
        <f>+C24-15018.5</f>
        <v>39414.147060000003</v>
      </c>
    </row>
    <row r="25" spans="1:30" ht="12.95" customHeight="1">
      <c r="C25" s="40"/>
      <c r="D25" s="40"/>
      <c r="Q25" s="2"/>
    </row>
    <row r="26" spans="1:30" ht="12.95" customHeight="1">
      <c r="C26" s="40"/>
      <c r="D26" s="40"/>
      <c r="Q26" s="2"/>
    </row>
    <row r="27" spans="1:30" ht="12.95" customHeight="1">
      <c r="C27" s="40"/>
      <c r="D27" s="40"/>
    </row>
    <row r="28" spans="1:30" ht="12.95" customHeight="1">
      <c r="C28" s="40"/>
      <c r="D28" s="40"/>
    </row>
    <row r="29" spans="1:30" ht="12.95" customHeight="1">
      <c r="C29" s="40"/>
      <c r="D29" s="40"/>
    </row>
    <row r="30" spans="1:30" ht="12.95" customHeight="1">
      <c r="C30" s="40"/>
      <c r="D30" s="40"/>
    </row>
    <row r="31" spans="1:30" ht="12.95" customHeight="1">
      <c r="C31" s="40"/>
      <c r="D31" s="40"/>
    </row>
    <row r="32" spans="1:30" ht="12.95" customHeight="1">
      <c r="C32" s="40"/>
      <c r="D32" s="40"/>
    </row>
    <row r="33" spans="3:4">
      <c r="C33" s="40"/>
      <c r="D33" s="40"/>
    </row>
    <row r="34" spans="3:4">
      <c r="C34" s="40"/>
      <c r="D34" s="40"/>
    </row>
    <row r="35" spans="3:4">
      <c r="C35" s="40"/>
      <c r="D35" s="40"/>
    </row>
    <row r="36" spans="3:4">
      <c r="D36" s="6"/>
    </row>
    <row r="37" spans="3:4">
      <c r="D37" s="6"/>
    </row>
    <row r="38" spans="3:4">
      <c r="D38" s="6"/>
    </row>
    <row r="39" spans="3:4">
      <c r="D39" s="6"/>
    </row>
    <row r="40" spans="3:4">
      <c r="D40" s="6"/>
    </row>
    <row r="41" spans="3:4">
      <c r="D41" s="6"/>
    </row>
    <row r="42" spans="3:4">
      <c r="D42" s="6"/>
    </row>
    <row r="43" spans="3:4">
      <c r="D43" s="6"/>
    </row>
    <row r="44" spans="3:4">
      <c r="D44" s="6"/>
    </row>
    <row r="45" spans="3:4">
      <c r="D45" s="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5"/>
  <sheetViews>
    <sheetView workbookViewId="0">
      <selection activeCell="A11" sqref="A11:IV448"/>
    </sheetView>
  </sheetViews>
  <sheetFormatPr defaultRowHeight="12.75"/>
  <cols>
    <col min="1" max="1" width="19.7109375" style="15" customWidth="1"/>
    <col min="2" max="2" width="4.42578125" style="14" customWidth="1"/>
    <col min="3" max="3" width="12.7109375" style="15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5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13" t="s">
        <v>33</v>
      </c>
      <c r="I1" s="16" t="s">
        <v>34</v>
      </c>
      <c r="J1" s="17" t="s">
        <v>35</v>
      </c>
    </row>
    <row r="2" spans="1:16">
      <c r="I2" s="18" t="s">
        <v>36</v>
      </c>
      <c r="J2" s="19" t="s">
        <v>37</v>
      </c>
    </row>
    <row r="3" spans="1:16">
      <c r="A3" s="20" t="s">
        <v>38</v>
      </c>
      <c r="I3" s="18" t="s">
        <v>39</v>
      </c>
      <c r="J3" s="19" t="s">
        <v>40</v>
      </c>
    </row>
    <row r="4" spans="1:16">
      <c r="I4" s="18" t="s">
        <v>41</v>
      </c>
      <c r="J4" s="19" t="s">
        <v>40</v>
      </c>
    </row>
    <row r="5" spans="1:16" ht="13.5" thickBot="1">
      <c r="I5" s="21" t="s">
        <v>42</v>
      </c>
      <c r="J5" s="22" t="s">
        <v>43</v>
      </c>
    </row>
    <row r="10" spans="1:16" ht="13.5" thickBot="1"/>
    <row r="11" spans="1:16" ht="12.75" customHeight="1" thickBot="1">
      <c r="A11" s="15" t="str">
        <f>P11</f>
        <v> BBS 53 </v>
      </c>
      <c r="B11" s="6" t="str">
        <f>IF(H11=INT(H11),"I","II")</f>
        <v>I</v>
      </c>
      <c r="C11" s="15">
        <f>1*G11</f>
        <v>44637.341</v>
      </c>
      <c r="D11" s="14" t="str">
        <f>VLOOKUP(F11,I$1:J$5,2,FALSE)</f>
        <v>vis</v>
      </c>
      <c r="E11" s="23">
        <f>VLOOKUP(C11,Active!C$21:E$973,3,FALSE)</f>
        <v>-3723.9046213546794</v>
      </c>
      <c r="F11" s="6" t="s">
        <v>42</v>
      </c>
      <c r="G11" s="14" t="str">
        <f>MID(I11,3,LEN(I11)-3)</f>
        <v>44637.341</v>
      </c>
      <c r="H11" s="15">
        <f>1*K11</f>
        <v>0</v>
      </c>
      <c r="I11" s="24" t="s">
        <v>44</v>
      </c>
      <c r="J11" s="25" t="s">
        <v>45</v>
      </c>
      <c r="K11" s="24">
        <v>0</v>
      </c>
      <c r="L11" s="24" t="s">
        <v>46</v>
      </c>
      <c r="M11" s="25" t="s">
        <v>47</v>
      </c>
      <c r="N11" s="25"/>
      <c r="O11" s="26" t="s">
        <v>48</v>
      </c>
      <c r="P11" s="26" t="s">
        <v>49</v>
      </c>
    </row>
    <row r="12" spans="1:16" ht="12.75" customHeight="1" thickBot="1">
      <c r="A12" s="15" t="str">
        <f>P12</f>
        <v> BBS 70 </v>
      </c>
      <c r="B12" s="6" t="str">
        <f>IF(H12=INT(H12),"I","II")</f>
        <v>I</v>
      </c>
      <c r="C12" s="15">
        <f>1*G12</f>
        <v>45697.307999999997</v>
      </c>
      <c r="D12" s="14" t="str">
        <f>VLOOKUP(F12,I$1:J$5,2,FALSE)</f>
        <v>vis</v>
      </c>
      <c r="E12" s="23">
        <f>VLOOKUP(C12,Active!C$21:E$973,3,FALSE)</f>
        <v>-3320.9344654856095</v>
      </c>
      <c r="F12" s="6" t="s">
        <v>42</v>
      </c>
      <c r="G12" s="14" t="str">
        <f>MID(I12,3,LEN(I12)-3)</f>
        <v>45697.308</v>
      </c>
      <c r="H12" s="15">
        <f>1*K12</f>
        <v>403</v>
      </c>
      <c r="I12" s="24" t="s">
        <v>50</v>
      </c>
      <c r="J12" s="25" t="s">
        <v>51</v>
      </c>
      <c r="K12" s="24">
        <v>403</v>
      </c>
      <c r="L12" s="24" t="s">
        <v>52</v>
      </c>
      <c r="M12" s="25" t="s">
        <v>47</v>
      </c>
      <c r="N12" s="25"/>
      <c r="O12" s="26" t="s">
        <v>48</v>
      </c>
      <c r="P12" s="26" t="s">
        <v>53</v>
      </c>
    </row>
    <row r="13" spans="1:16" ht="12.75" customHeight="1" thickBot="1">
      <c r="A13" s="15" t="str">
        <f>P13</f>
        <v> BBS 82 </v>
      </c>
      <c r="B13" s="6" t="str">
        <f>IF(H13=INT(H13),"I","II")</f>
        <v>I</v>
      </c>
      <c r="C13" s="15">
        <f>1*G13</f>
        <v>46770.447</v>
      </c>
      <c r="D13" s="14" t="str">
        <f>VLOOKUP(F13,I$1:J$5,2,FALSE)</f>
        <v>vis</v>
      </c>
      <c r="E13" s="23">
        <f>VLOOKUP(C13,Active!C$21:E$973,3,FALSE)</f>
        <v>-2912.9566792911528</v>
      </c>
      <c r="F13" s="6" t="s">
        <v>42</v>
      </c>
      <c r="G13" s="14" t="str">
        <f>MID(I13,3,LEN(I13)-3)</f>
        <v>46770.447</v>
      </c>
      <c r="H13" s="15">
        <f>1*K13</f>
        <v>811</v>
      </c>
      <c r="I13" s="24" t="s">
        <v>54</v>
      </c>
      <c r="J13" s="25" t="s">
        <v>55</v>
      </c>
      <c r="K13" s="24">
        <v>811</v>
      </c>
      <c r="L13" s="24" t="s">
        <v>56</v>
      </c>
      <c r="M13" s="25" t="s">
        <v>47</v>
      </c>
      <c r="N13" s="25"/>
      <c r="O13" s="26" t="s">
        <v>48</v>
      </c>
      <c r="P13" s="26" t="s">
        <v>57</v>
      </c>
    </row>
    <row r="14" spans="1:16">
      <c r="B14" s="6"/>
      <c r="F14" s="6"/>
    </row>
    <row r="15" spans="1:16">
      <c r="B15" s="6"/>
      <c r="F15" s="6"/>
    </row>
    <row r="16" spans="1:16">
      <c r="B16" s="6"/>
      <c r="F16" s="6"/>
    </row>
    <row r="17" spans="2:6">
      <c r="B17" s="6"/>
      <c r="F17" s="6"/>
    </row>
    <row r="18" spans="2:6">
      <c r="B18" s="6"/>
      <c r="F18" s="6"/>
    </row>
    <row r="19" spans="2:6">
      <c r="B19" s="6"/>
      <c r="F19" s="6"/>
    </row>
    <row r="20" spans="2:6">
      <c r="B20" s="6"/>
      <c r="F20" s="6"/>
    </row>
    <row r="21" spans="2:6">
      <c r="B21" s="6"/>
      <c r="F21" s="6"/>
    </row>
    <row r="22" spans="2:6">
      <c r="B22" s="6"/>
      <c r="F22" s="6"/>
    </row>
    <row r="23" spans="2:6">
      <c r="B23" s="6"/>
      <c r="F23" s="6"/>
    </row>
    <row r="24" spans="2:6">
      <c r="B24" s="6"/>
      <c r="F24" s="6"/>
    </row>
    <row r="25" spans="2:6">
      <c r="B25" s="6"/>
      <c r="F25" s="6"/>
    </row>
    <row r="26" spans="2:6">
      <c r="B26" s="6"/>
      <c r="F26" s="6"/>
    </row>
    <row r="27" spans="2:6">
      <c r="B27" s="6"/>
      <c r="F27" s="6"/>
    </row>
    <row r="28" spans="2:6">
      <c r="B28" s="6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2024-07-29T08:27:40Z</dcterms:modified>
</cp:coreProperties>
</file>