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B1FE5CD-8490-4580-A7AC-067793E79D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2" i="1"/>
  <c r="C9" i="1"/>
  <c r="D9" i="1"/>
  <c r="C17" i="1"/>
  <c r="Q21" i="1"/>
  <c r="E22" i="1"/>
  <c r="F22" i="1" s="1"/>
  <c r="G22" i="1" s="1"/>
  <c r="K22" i="1" s="1"/>
  <c r="E21" i="1"/>
  <c r="F21" i="1" s="1"/>
  <c r="G21" i="1" s="1"/>
  <c r="I21" i="1" s="1"/>
  <c r="C11" i="1"/>
  <c r="C12" i="1"/>
  <c r="F15" i="1" l="1"/>
  <c r="C15" i="1"/>
  <c r="O22" i="1"/>
  <c r="O21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<sst xmlns="http://schemas.openxmlformats.org/spreadsheetml/2006/main" count="59" uniqueCount="55">
  <si>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</si>
  <si>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</si>
  <si>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</si>
  <si>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</si>
  <si>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</si>
  <si>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</si>
  <si>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</si>
  <si>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</si>
  <si>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</si>
  <si>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</si>
  <si>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</si>
  <si>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</si>
  <si>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</si>
  <si>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</si>
  <si>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</si>
  <si>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</si>
  <si>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</si>
  <si>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</si>
  <si>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</si>
  <si>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</si>
  <si>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</si>
  <si>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</si>
  <si>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</si>
  <si>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</si>
  <si>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</si>
  <si>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</si>
  <si>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</si>
  <si>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</si>
  <si>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</si>
  <si>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</si>
  <si>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</si>
  <si>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</si>
  <si>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</si>
  <si>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</si>
  <si>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</si>
  <si>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</si>
  <si>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</si>
  <si>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</si>
  <si>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</si>
  <si>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</si>
  <si>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BAD?</t>
  </si>
  <si>
    <t>AN Eri</t>
  </si>
  <si>
    <t>G5891-1637</t>
  </si>
  <si>
    <t>E</t>
  </si>
  <si>
    <t>pr_0</t>
  </si>
  <si>
    <t>~</t>
  </si>
  <si>
    <t>AN Eri / GSC 5891-1637</t>
  </si>
  <si>
    <t>as of 2017-11-29</t>
  </si>
  <si>
    <t>GCVS</t>
  </si>
  <si>
    <t>OEJV 0179</t>
  </si>
  <si>
    <t>Next ToM-P</t>
  </si>
  <si>
    <t>Next ToM-S</t>
  </si>
  <si>
    <t>VSX</t>
  </si>
  <si>
    <t>13.98 (0.56)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</si>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</sst>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5" fillId="0" borderId="0"/>
    <xf numFmtId="0" fontId="16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righ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6" fillId="24" borderId="5" xfId="0" applyFont="1" applyFill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26" borderId="11" xfId="0" applyFont="1" applyFill="1" applyBorder="1" applyAlignment="1">
      <alignment horizontal="right" vertical="center"/>
    </xf>
    <xf numFmtId="0" fontId="5" fillId="26" borderId="12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right"/>
    </xf>
    <xf numFmtId="0" fontId="0" fillId="0" borderId="14" xfId="0" applyBorder="1" applyAlignment="1"/>
    <xf numFmtId="0" fontId="35" fillId="0" borderId="14" xfId="0" applyFont="1" applyBorder="1" applyAlignment="1">
      <alignment horizontal="right" vertical="center"/>
    </xf>
    <xf numFmtId="22" fontId="35" fillId="0" borderId="14" xfId="0" applyNumberFormat="1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0" fontId="34" fillId="0" borderId="16" xfId="0" applyFont="1" applyBorder="1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Eri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75283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74-46CD-9E3B-E93E56380F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75283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74-46CD-9E3B-E93E56380F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75283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74-46CD-9E3B-E93E56380F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75283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-5.8118599998124409E-2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74-46CD-9E3B-E93E56380F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75283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74-46CD-9E3B-E93E56380F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75283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74-46CD-9E3B-E93E56380F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75283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74-46CD-9E3B-E93E56380F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75283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-5.8118599998124409E-2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74-46CD-9E3B-E93E56380F9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75283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74-46CD-9E3B-E93E56380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78744"/>
        <c:axId val="1"/>
      </c:scatterChart>
      <c:valAx>
        <c:axId val="794378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78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24C046-7824-3B6A-A082-40CA6A414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28" t="s">
        <v>41</v>
      </c>
      <c r="G1" s="29">
        <v>0</v>
      </c>
      <c r="H1" s="30"/>
      <c r="I1" s="31" t="s">
        <v>42</v>
      </c>
      <c r="J1" s="32" t="s">
        <v>41</v>
      </c>
      <c r="K1" s="33">
        <v>4.3156499999999998</v>
      </c>
      <c r="L1" s="34">
        <v>-17.202000000000002</v>
      </c>
      <c r="M1" s="35">
        <v>24772.84</v>
      </c>
      <c r="N1" s="35">
        <v>0.42820999999999998</v>
      </c>
      <c r="O1" s="34" t="s">
        <v>43</v>
      </c>
      <c r="P1">
        <v>14.4</v>
      </c>
      <c r="Q1">
        <v>15.4</v>
      </c>
      <c r="R1" t="s">
        <v>44</v>
      </c>
      <c r="S1" t="s">
        <v>45</v>
      </c>
    </row>
    <row r="2" spans="1:19" x14ac:dyDescent="0.2">
      <c r="A2" t="s">
        <v>24</v>
      </c>
      <c r="B2" t="s">
        <v>43</v>
      </c>
      <c r="C2" s="27"/>
      <c r="D2" s="3"/>
    </row>
    <row r="3" spans="1:19" ht="13.5" thickBot="1" x14ac:dyDescent="0.25">
      <c r="C3" s="36" t="s">
        <v>47</v>
      </c>
      <c r="D3" s="36"/>
    </row>
    <row r="4" spans="1:19" ht="14.25" thickTop="1" thickBot="1" x14ac:dyDescent="0.25">
      <c r="A4" s="5" t="s">
        <v>1</v>
      </c>
      <c r="C4" s="25">
        <v>24772.84</v>
      </c>
      <c r="D4" s="26">
        <v>0.42820999999999998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41">
        <v>24772.84</v>
      </c>
      <c r="D7" s="42" t="s">
        <v>52</v>
      </c>
    </row>
    <row r="8" spans="1:19" x14ac:dyDescent="0.2">
      <c r="A8" t="s">
        <v>4</v>
      </c>
      <c r="C8" s="41">
        <v>0.4282242</v>
      </c>
      <c r="D8" s="42" t="s">
        <v>52</v>
      </c>
    </row>
    <row r="9" spans="1:19" x14ac:dyDescent="0.2">
      <c r="A9" s="23" t="s">
        <v>32</v>
      </c>
      <c r="B9" s="37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0">
        <f ca="1">INTERCEPT(INDIRECT($D$9):G992,INDIRECT($C$9):F992)</f>
        <v>0</v>
      </c>
      <c r="D11" s="3"/>
      <c r="E11" s="10"/>
    </row>
    <row r="12" spans="1:19" x14ac:dyDescent="0.2">
      <c r="A12" s="10" t="s">
        <v>17</v>
      </c>
      <c r="B12" s="10"/>
      <c r="C12" s="20">
        <f ca="1">SLOPE(INDIRECT($D$9):G992,INDIRECT($C$9):F992)</f>
        <v>-7.720016470932934E-7</v>
      </c>
      <c r="D12" s="3"/>
      <c r="E12" s="43" t="s">
        <v>54</v>
      </c>
      <c r="F12" s="44" t="s">
        <v>53</v>
      </c>
    </row>
    <row r="13" spans="1:19" x14ac:dyDescent="0.2">
      <c r="A13" s="10" t="s">
        <v>19</v>
      </c>
      <c r="B13" s="10"/>
      <c r="C13" s="3" t="s">
        <v>14</v>
      </c>
      <c r="E13" s="45" t="s">
        <v>33</v>
      </c>
      <c r="F13" s="46">
        <v>1</v>
      </c>
    </row>
    <row r="14" spans="1:19" x14ac:dyDescent="0.2">
      <c r="A14" s="10"/>
      <c r="B14" s="10"/>
      <c r="C14" s="10"/>
      <c r="E14" s="45" t="s">
        <v>31</v>
      </c>
      <c r="F14" s="47">
        <f ca="1">NOW()+15018.5+$C$5/24</f>
        <v>60520.853003819444</v>
      </c>
    </row>
    <row r="15" spans="1:19" x14ac:dyDescent="0.2">
      <c r="A15" s="12" t="s">
        <v>18</v>
      </c>
      <c r="B15" s="10"/>
      <c r="C15" s="13">
        <f ca="1">(C7+C11)+(C8+C12)*INT(MAX(F21:F3533))</f>
        <v>57010.784330000002</v>
      </c>
      <c r="E15" s="45" t="s">
        <v>34</v>
      </c>
      <c r="F15" s="47">
        <f ca="1">ROUND(2*($F$14-$C$7)/$C$8,0)/2+$F$13</f>
        <v>83480.5</v>
      </c>
    </row>
    <row r="16" spans="1:19" x14ac:dyDescent="0.2">
      <c r="A16" s="15" t="s">
        <v>5</v>
      </c>
      <c r="B16" s="10"/>
      <c r="C16" s="16">
        <f ca="1">+C8+C12</f>
        <v>0.42822342799835289</v>
      </c>
      <c r="E16" s="45" t="s">
        <v>35</v>
      </c>
      <c r="F16" s="47">
        <f ca="1">ROUND(2*($F$14-$C$15)/$C$16,0)/2+$F$13</f>
        <v>8198</v>
      </c>
    </row>
    <row r="17" spans="1:21" ht="13.5" thickBot="1" x14ac:dyDescent="0.25">
      <c r="A17" s="14" t="s">
        <v>28</v>
      </c>
      <c r="B17" s="10"/>
      <c r="C17" s="10">
        <f>COUNT(C21:C2191)</f>
        <v>2</v>
      </c>
      <c r="E17" s="45" t="s">
        <v>50</v>
      </c>
      <c r="F17" s="48">
        <f ca="1">+$C$15+$C$16*$F$16-15018.5-$C$5/24</f>
        <v>45503.255826063833</v>
      </c>
    </row>
    <row r="18" spans="1:21" ht="14.25" thickTop="1" thickBot="1" x14ac:dyDescent="0.25">
      <c r="A18" s="15" t="s">
        <v>6</v>
      </c>
      <c r="B18" s="10"/>
      <c r="C18" s="18">
        <f ca="1">+C15</f>
        <v>57010.784330000002</v>
      </c>
      <c r="D18" s="19">
        <f ca="1">+C16</f>
        <v>0.42822342799835289</v>
      </c>
      <c r="E18" s="50" t="s">
        <v>51</v>
      </c>
      <c r="F18" s="49">
        <f ca="1">+($C$15+$C$16*$F$16)-($C$16/2)-15018.5-$C$5/24</f>
        <v>45503.041714349834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4" t="s">
        <v>40</v>
      </c>
    </row>
    <row r="21" spans="1:21" x14ac:dyDescent="0.2">
      <c r="A21" t="s">
        <v>48</v>
      </c>
      <c r="C21" s="8">
        <v>24772.84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9754.34</v>
      </c>
    </row>
    <row r="22" spans="1:21" x14ac:dyDescent="0.2">
      <c r="A22" s="38" t="s">
        <v>49</v>
      </c>
      <c r="B22" s="39" t="s">
        <v>0</v>
      </c>
      <c r="C22" s="40">
        <v>57010.784330000002</v>
      </c>
      <c r="D22" s="40">
        <v>5.0000000000000001E-4</v>
      </c>
      <c r="E22">
        <f>+(C22-C$7)/C$8</f>
        <v>75282.864279972971</v>
      </c>
      <c r="F22">
        <f>ROUND(2*E22,0)/2</f>
        <v>75283</v>
      </c>
      <c r="G22">
        <f>+C22-(C$7+F22*C$8)</f>
        <v>-5.8118599998124409E-2</v>
      </c>
      <c r="K22">
        <f>+G22</f>
        <v>-5.8118599998124409E-2</v>
      </c>
      <c r="O22">
        <f ca="1">+C$11+C$12*$F22</f>
        <v>-5.8118599998124409E-2</v>
      </c>
      <c r="Q22" s="2">
        <f>+C22-15018.5</f>
        <v>41992.284330000002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51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2024-07-29T08:28:19Z</dcterms:modified>
</cp:coreProperties>
</file>