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8EF8B95-67BF-4CE4-90FE-BABF78B2B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H27" i="1" s="1"/>
  <c r="Q27" i="1"/>
  <c r="E29" i="1"/>
  <c r="F29" i="1" s="1"/>
  <c r="G29" i="1" s="1"/>
  <c r="I29" i="1" s="1"/>
  <c r="Q29" i="1"/>
  <c r="C29" i="1"/>
  <c r="A29" i="1"/>
  <c r="F14" i="1"/>
  <c r="E28" i="1"/>
  <c r="F28" i="1" s="1"/>
  <c r="G28" i="1" s="1"/>
  <c r="J28" i="1" s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E15" i="2" s="1"/>
  <c r="E26" i="1"/>
  <c r="F26" i="1" s="1"/>
  <c r="G26" i="1" s="1"/>
  <c r="H26" i="1" s="1"/>
  <c r="Q21" i="1"/>
  <c r="Q22" i="1"/>
  <c r="Q23" i="1"/>
  <c r="Q24" i="1"/>
  <c r="Q25" i="1"/>
  <c r="Q26" i="1"/>
  <c r="G16" i="2"/>
  <c r="C16" i="2"/>
  <c r="G15" i="2"/>
  <c r="C15" i="2"/>
  <c r="G14" i="2"/>
  <c r="C14" i="2"/>
  <c r="G13" i="2"/>
  <c r="C13" i="2"/>
  <c r="G12" i="2"/>
  <c r="C12" i="2"/>
  <c r="E12" i="2"/>
  <c r="G11" i="2"/>
  <c r="C11" i="2"/>
  <c r="E11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E9" i="1"/>
  <c r="Q28" i="1"/>
  <c r="C17" i="1"/>
  <c r="F25" i="1" l="1"/>
  <c r="G25" i="1" s="1"/>
  <c r="E13" i="2"/>
  <c r="E14" i="2"/>
  <c r="E16" i="2"/>
  <c r="F15" i="1"/>
  <c r="C11" i="1"/>
  <c r="C12" i="1"/>
  <c r="C16" i="1" l="1"/>
  <c r="D18" i="1" s="1"/>
  <c r="O21" i="1"/>
  <c r="O24" i="1"/>
  <c r="O27" i="1"/>
  <c r="O23" i="1"/>
  <c r="O28" i="1"/>
  <c r="C15" i="1"/>
  <c r="O22" i="1"/>
  <c r="O26" i="1"/>
  <c r="O29" i="1"/>
  <c r="O25" i="1"/>
  <c r="H2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<sst xmlns="http://schemas.openxmlformats.org/spreadsheetml/2006/main" count="127" uniqueCount="83">
  <si>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</si>
  <si>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</si>
  <si>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</si>
  <si>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</si>
  <si>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</si>
  <si>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</si>
  <si>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</si>
  <si>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</si>
  <si>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</si>
  <si>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</si>
  <si>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</si>
  <si>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</si>
  <si>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</si>
  <si>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</si>
  <si>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</si>
  <si>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</si>
  <si>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</si>
  <si>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</si>
  <si>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</si>
  <si>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</si>
  <si>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</si>
  <si>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</si>
  <si>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</si>
  <si>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</si>
  <si>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</si>
  <si>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</si>
  <si>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</si>
  <si>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</si>
  <si>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</si>
  <si>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</si>
  <si>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</si>
  <si>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</si>
  <si>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</si>
  <si>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</si>
  <si>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</si>
  <si>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</si>
  <si>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</si>
  <si>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</si>
  <si>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</si>
  <si>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</si>
  <si>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</si>
  <si>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</si>
  <si>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</si>
  <si>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</si>
  <si>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</si>
  <si>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</si>
  <si>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AO Eri</t>
  </si>
  <si>
    <t>EA/DS</t>
  </si>
  <si>
    <t>AO Eri / GSC 52503.09</t>
  </si>
  <si>
    <t>Kreiner</t>
  </si>
  <si>
    <t>2425586.40 </t>
  </si>
  <si>
    <t> 05.12.1928 21:36 </t>
  </si>
  <si>
    <t> -0.03 </t>
  </si>
  <si>
    <t>P </t>
  </si>
  <si>
    <t> E.M.Hughes </t>
  </si>
  <si>
    <t> HA 90 (4) </t>
  </si>
  <si>
    <t>2428459.46 </t>
  </si>
  <si>
    <t> 17.10.1936 23:02 </t>
  </si>
  <si>
    <t> -0.12 </t>
  </si>
  <si>
    <t>V </t>
  </si>
  <si>
    <t> N.Guriev </t>
  </si>
  <si>
    <t> CTAD 25.6 </t>
  </si>
  <si>
    <t>2428478.25 </t>
  </si>
  <si>
    <t> 05.11.1936 18:00 </t>
  </si>
  <si>
    <t> 0.08 </t>
  </si>
  <si>
    <t>2428487.37 </t>
  </si>
  <si>
    <t> 14.11.1936 20:52 </t>
  </si>
  <si>
    <t> -0.10 </t>
  </si>
  <si>
    <t>2428506.25 </t>
  </si>
  <si>
    <t> 03.12.1936 18:00 </t>
  </si>
  <si>
    <t> 0.18 </t>
  </si>
  <si>
    <t>2428524.38 </t>
  </si>
  <si>
    <t> 21.12.1936 21:07 </t>
  </si>
  <si>
    <t> -0.28 </t>
  </si>
  <si>
    <t>I</t>
  </si>
  <si>
    <t>BAD?</t>
  </si>
  <si>
    <t xml:space="preserve">Mag </t>
  </si>
  <si>
    <t>Next ToM-P</t>
  </si>
  <si>
    <t>Next ToM-S</t>
  </si>
  <si>
    <t>GCVS 4</t>
  </si>
  <si>
    <t>VSX</t>
  </si>
  <si>
    <t>10.86-11.70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</si>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</sst>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6" fillId="0" borderId="0" xfId="0" applyFont="1" applyAlignmen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16" xfId="0" applyFill="1" applyBorder="1" applyAlignment="1">
      <alignment horizontal="right" vertical="center"/>
    </xf>
    <xf numFmtId="0" fontId="6" fillId="5" borderId="17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right" vertical="center"/>
    </xf>
    <xf numFmtId="0" fontId="22" fillId="0" borderId="19" xfId="0" applyFont="1" applyBorder="1" applyAlignment="1">
      <alignment vertical="center"/>
    </xf>
    <xf numFmtId="0" fontId="21" fillId="0" borderId="19" xfId="0" applyFont="1" applyBorder="1" applyAlignment="1">
      <alignment horizontal="right" vertical="center"/>
    </xf>
    <xf numFmtId="22" fontId="21" fillId="0" borderId="19" xfId="0" applyNumberFormat="1" applyFont="1" applyBorder="1" applyAlignment="1">
      <alignment horizontal="right" vertical="center"/>
    </xf>
    <xf numFmtId="22" fontId="21" fillId="0" borderId="20" xfId="0" applyNumberFormat="1" applyFont="1" applyBorder="1" applyAlignment="1">
      <alignment horizontal="right" vertical="center"/>
    </xf>
    <xf numFmtId="0" fontId="20" fillId="0" borderId="21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AO Eri - O-C Diagr.</a:t>
            </a:r>
          </a:p>
        </c:rich>
      </c:tx>
      <c:layout>
        <c:manualLayout>
          <c:xMode val="edge"/>
          <c:yMode val="edge"/>
          <c:x val="0.4174311926605504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6422018348624"/>
          <c:y val="0.14035127795846455"/>
          <c:w val="0.8635321100917431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-2991</c:v>
                </c:pt>
                <c:pt idx="1">
                  <c:v>-2682</c:v>
                </c:pt>
                <c:pt idx="2">
                  <c:v>-2680</c:v>
                </c:pt>
                <c:pt idx="3">
                  <c:v>-2679</c:v>
                </c:pt>
                <c:pt idx="4">
                  <c:v>-2677</c:v>
                </c:pt>
                <c:pt idx="5">
                  <c:v>-2675</c:v>
                </c:pt>
                <c:pt idx="6">
                  <c:v>-2556</c:v>
                </c:pt>
                <c:pt idx="7">
                  <c:v>-96</c:v>
                </c:pt>
                <c:pt idx="8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-0.63007999999535969</c:v>
                </c:pt>
                <c:pt idx="1">
                  <c:v>-0.47285999999803607</c:v>
                </c:pt>
                <c:pt idx="2">
                  <c:v>-0.27769999999509309</c:v>
                </c:pt>
                <c:pt idx="3">
                  <c:v>-0.4551199999950768</c:v>
                </c:pt>
                <c:pt idx="4">
                  <c:v>-0.16995999999562628</c:v>
                </c:pt>
                <c:pt idx="5">
                  <c:v>-0.63479999999617576</c:v>
                </c:pt>
                <c:pt idx="6">
                  <c:v>-0.25777999999263557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44-4ADE-8B4C-A0F902F7BC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-2991</c:v>
                </c:pt>
                <c:pt idx="1">
                  <c:v>-2682</c:v>
                </c:pt>
                <c:pt idx="2">
                  <c:v>-2680</c:v>
                </c:pt>
                <c:pt idx="3">
                  <c:v>-2679</c:v>
                </c:pt>
                <c:pt idx="4">
                  <c:v>-2677</c:v>
                </c:pt>
                <c:pt idx="5">
                  <c:v>-2675</c:v>
                </c:pt>
                <c:pt idx="6">
                  <c:v>-2556</c:v>
                </c:pt>
                <c:pt idx="7">
                  <c:v>-96</c:v>
                </c:pt>
                <c:pt idx="8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44-4ADE-8B4C-A0F902F7BC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-2991</c:v>
                </c:pt>
                <c:pt idx="1">
                  <c:v>-2682</c:v>
                </c:pt>
                <c:pt idx="2">
                  <c:v>-2680</c:v>
                </c:pt>
                <c:pt idx="3">
                  <c:v>-2679</c:v>
                </c:pt>
                <c:pt idx="4">
                  <c:v>-2677</c:v>
                </c:pt>
                <c:pt idx="5">
                  <c:v>-2675</c:v>
                </c:pt>
                <c:pt idx="6">
                  <c:v>-2556</c:v>
                </c:pt>
                <c:pt idx="7">
                  <c:v>-96</c:v>
                </c:pt>
                <c:pt idx="8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2.9020000001764856E-2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44-4ADE-8B4C-A0F902F7BC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-2991</c:v>
                </c:pt>
                <c:pt idx="1">
                  <c:v>-2682</c:v>
                </c:pt>
                <c:pt idx="2">
                  <c:v>-2680</c:v>
                </c:pt>
                <c:pt idx="3">
                  <c:v>-2679</c:v>
                </c:pt>
                <c:pt idx="4">
                  <c:v>-2677</c:v>
                </c:pt>
                <c:pt idx="5">
                  <c:v>-2675</c:v>
                </c:pt>
                <c:pt idx="6">
                  <c:v>-2556</c:v>
                </c:pt>
                <c:pt idx="7">
                  <c:v>-96</c:v>
                </c:pt>
                <c:pt idx="8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44-4ADE-8B4C-A0F902F7BC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-2991</c:v>
                </c:pt>
                <c:pt idx="1">
                  <c:v>-2682</c:v>
                </c:pt>
                <c:pt idx="2">
                  <c:v>-2680</c:v>
                </c:pt>
                <c:pt idx="3">
                  <c:v>-2679</c:v>
                </c:pt>
                <c:pt idx="4">
                  <c:v>-2677</c:v>
                </c:pt>
                <c:pt idx="5">
                  <c:v>-2675</c:v>
                </c:pt>
                <c:pt idx="6">
                  <c:v>-2556</c:v>
                </c:pt>
                <c:pt idx="7">
                  <c:v>-96</c:v>
                </c:pt>
                <c:pt idx="8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44-4ADE-8B4C-A0F902F7BC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-2991</c:v>
                </c:pt>
                <c:pt idx="1">
                  <c:v>-2682</c:v>
                </c:pt>
                <c:pt idx="2">
                  <c:v>-2680</c:v>
                </c:pt>
                <c:pt idx="3">
                  <c:v>-2679</c:v>
                </c:pt>
                <c:pt idx="4">
                  <c:v>-2677</c:v>
                </c:pt>
                <c:pt idx="5">
                  <c:v>-2675</c:v>
                </c:pt>
                <c:pt idx="6">
                  <c:v>-2556</c:v>
                </c:pt>
                <c:pt idx="7">
                  <c:v>-96</c:v>
                </c:pt>
                <c:pt idx="8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44-4ADE-8B4C-A0F902F7BC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-2991</c:v>
                </c:pt>
                <c:pt idx="1">
                  <c:v>-2682</c:v>
                </c:pt>
                <c:pt idx="2">
                  <c:v>-2680</c:v>
                </c:pt>
                <c:pt idx="3">
                  <c:v>-2679</c:v>
                </c:pt>
                <c:pt idx="4">
                  <c:v>-2677</c:v>
                </c:pt>
                <c:pt idx="5">
                  <c:v>-2675</c:v>
                </c:pt>
                <c:pt idx="6">
                  <c:v>-2556</c:v>
                </c:pt>
                <c:pt idx="7">
                  <c:v>-96</c:v>
                </c:pt>
                <c:pt idx="8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44-4ADE-8B4C-A0F902F7BC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-2991</c:v>
                </c:pt>
                <c:pt idx="1">
                  <c:v>-2682</c:v>
                </c:pt>
                <c:pt idx="2">
                  <c:v>-2680</c:v>
                </c:pt>
                <c:pt idx="3">
                  <c:v>-2679</c:v>
                </c:pt>
                <c:pt idx="4">
                  <c:v>-2677</c:v>
                </c:pt>
                <c:pt idx="5">
                  <c:v>-2675</c:v>
                </c:pt>
                <c:pt idx="6">
                  <c:v>-2556</c:v>
                </c:pt>
                <c:pt idx="7">
                  <c:v>-96</c:v>
                </c:pt>
                <c:pt idx="8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-0.4653158761979701</c:v>
                </c:pt>
                <c:pt idx="1">
                  <c:v>-0.41363048590024243</c:v>
                </c:pt>
                <c:pt idx="2">
                  <c:v>-0.41329595262970692</c:v>
                </c:pt>
                <c:pt idx="3">
                  <c:v>-0.41312868599443919</c:v>
                </c:pt>
                <c:pt idx="4">
                  <c:v>-0.41279415272390374</c:v>
                </c:pt>
                <c:pt idx="5">
                  <c:v>-0.41245961945336829</c:v>
                </c:pt>
                <c:pt idx="6">
                  <c:v>-0.39255488985650877</c:v>
                </c:pt>
                <c:pt idx="7">
                  <c:v>1.8921032902099955E-2</c:v>
                </c:pt>
                <c:pt idx="8">
                  <c:v>3.497862988780176E-2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44-4ADE-8B4C-A0F902F7BCF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-2991</c:v>
                </c:pt>
                <c:pt idx="1">
                  <c:v>-2682</c:v>
                </c:pt>
                <c:pt idx="2">
                  <c:v>-2680</c:v>
                </c:pt>
                <c:pt idx="3">
                  <c:v>-2679</c:v>
                </c:pt>
                <c:pt idx="4">
                  <c:v>-2677</c:v>
                </c:pt>
                <c:pt idx="5">
                  <c:v>-2675</c:v>
                </c:pt>
                <c:pt idx="6">
                  <c:v>-2556</c:v>
                </c:pt>
                <c:pt idx="7">
                  <c:v>-96</c:v>
                </c:pt>
                <c:pt idx="8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44-4ADE-8B4C-A0F902F7B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225312"/>
        <c:axId val="1"/>
      </c:scatterChart>
      <c:valAx>
        <c:axId val="55322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88990825688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225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555045871559631"/>
          <c:y val="0.92397937099967764"/>
          <c:w val="0.5516055045871559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20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7464AE3-DB78-72DD-ED29-2AA4EB306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48</v>
      </c>
      <c r="F1" s="46" t="s">
        <v>46</v>
      </c>
      <c r="G1" s="31">
        <v>4.3201800000000006</v>
      </c>
      <c r="H1" s="32">
        <v>-17.44417</v>
      </c>
      <c r="I1" s="33">
        <v>52503.09</v>
      </c>
      <c r="J1" s="33">
        <v>9.2975899999999996</v>
      </c>
      <c r="K1" s="30" t="s">
        <v>47</v>
      </c>
      <c r="L1" s="32"/>
      <c r="M1" s="33">
        <v>52503.09</v>
      </c>
      <c r="N1" s="33">
        <v>9.2975899999999996</v>
      </c>
      <c r="O1" s="32" t="s">
        <v>47</v>
      </c>
    </row>
    <row r="2" spans="1:15" x14ac:dyDescent="0.2">
      <c r="A2" t="s">
        <v>23</v>
      </c>
      <c r="B2" t="s">
        <v>47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6">
        <v>29631.15</v>
      </c>
      <c r="D4" s="27">
        <v>9.2981999999999996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  <c r="E6" s="49" t="s">
        <v>49</v>
      </c>
    </row>
    <row r="7" spans="1:15" x14ac:dyDescent="0.2">
      <c r="A7" t="s">
        <v>2</v>
      </c>
      <c r="C7" s="47">
        <v>53395.613299999997</v>
      </c>
      <c r="D7" s="28" t="s">
        <v>80</v>
      </c>
      <c r="E7" s="50">
        <v>52503.09</v>
      </c>
    </row>
    <row r="8" spans="1:15" x14ac:dyDescent="0.2">
      <c r="A8" t="s">
        <v>3</v>
      </c>
      <c r="C8" s="47">
        <v>9.2974200000000007</v>
      </c>
      <c r="D8" s="28" t="s">
        <v>80</v>
      </c>
      <c r="E8" s="51">
        <v>9.2975899999999996</v>
      </c>
    </row>
    <row r="9" spans="1:15" x14ac:dyDescent="0.2">
      <c r="A9" s="23" t="s">
        <v>31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0">
        <f ca="1">INTERCEPT(INDIRECT($E$9):G992,INDIRECT($D$9):F992)</f>
        <v>3.497862988780176E-2</v>
      </c>
      <c r="D11" s="3"/>
      <c r="E11" s="10"/>
    </row>
    <row r="12" spans="1:15" x14ac:dyDescent="0.2">
      <c r="A12" s="10" t="s">
        <v>16</v>
      </c>
      <c r="B12" s="10"/>
      <c r="C12" s="20">
        <f ca="1">SLOPE(INDIRECT($E$9):G992,INDIRECT($D$9):F992)</f>
        <v>1.6726663526772713E-4</v>
      </c>
      <c r="D12" s="3"/>
      <c r="E12" s="52" t="s">
        <v>76</v>
      </c>
      <c r="F12" s="53" t="s">
        <v>81</v>
      </c>
    </row>
    <row r="13" spans="1:15" x14ac:dyDescent="0.2">
      <c r="A13" s="10" t="s">
        <v>18</v>
      </c>
      <c r="B13" s="10"/>
      <c r="C13" s="3" t="s">
        <v>13</v>
      </c>
      <c r="E13" s="54" t="s">
        <v>32</v>
      </c>
      <c r="F13" s="55">
        <v>1</v>
      </c>
    </row>
    <row r="14" spans="1:15" x14ac:dyDescent="0.2">
      <c r="A14" s="10"/>
      <c r="B14" s="10"/>
      <c r="C14" s="10"/>
      <c r="E14" s="54" t="s">
        <v>30</v>
      </c>
      <c r="F14" s="56">
        <f ca="1">NOW()+15018.5+$C$5/24</f>
        <v>60520.853225462961</v>
      </c>
    </row>
    <row r="15" spans="1:15" x14ac:dyDescent="0.2">
      <c r="A15" s="12" t="s">
        <v>17</v>
      </c>
      <c r="B15" s="10"/>
      <c r="C15" s="13">
        <f ca="1">(C7+C11)+(C8+C12)*INT(MAX(F21:F3533))</f>
        <v>53395.648278629887</v>
      </c>
      <c r="E15" s="54" t="s">
        <v>33</v>
      </c>
      <c r="F15" s="56">
        <f ca="1">ROUND(2*($F$14-$C$7)/$C$8,0)/2+$F$13</f>
        <v>767.5</v>
      </c>
    </row>
    <row r="16" spans="1:15" x14ac:dyDescent="0.2">
      <c r="A16" s="15" t="s">
        <v>4</v>
      </c>
      <c r="B16" s="10"/>
      <c r="C16" s="16">
        <f ca="1">+C8+C12</f>
        <v>9.2975872666352686</v>
      </c>
      <c r="E16" s="54" t="s">
        <v>34</v>
      </c>
      <c r="F16" s="56">
        <f ca="1">ROUND(2*($F$14-$C$15)/$C$16,0)/2+$F$13</f>
        <v>767.5</v>
      </c>
    </row>
    <row r="17" spans="1:21" ht="13.5" thickBot="1" x14ac:dyDescent="0.25">
      <c r="A17" s="14" t="s">
        <v>27</v>
      </c>
      <c r="B17" s="10"/>
      <c r="C17" s="10">
        <f>COUNT(C21:C2191)</f>
        <v>9</v>
      </c>
      <c r="E17" s="54" t="s">
        <v>77</v>
      </c>
      <c r="F17" s="57">
        <f ca="1">+$C$15+$C$16*$F$16-15018.5-$C$5/24</f>
        <v>45513.442339105794</v>
      </c>
    </row>
    <row r="18" spans="1:21" ht="14.25" thickTop="1" thickBot="1" x14ac:dyDescent="0.25">
      <c r="A18" s="15" t="s">
        <v>5</v>
      </c>
      <c r="B18" s="10"/>
      <c r="C18" s="18">
        <f ca="1">+C15</f>
        <v>53395.648278629887</v>
      </c>
      <c r="D18" s="19">
        <f ca="1">+C16</f>
        <v>9.2975872666352686</v>
      </c>
      <c r="E18" s="59" t="s">
        <v>78</v>
      </c>
      <c r="F18" s="58">
        <f ca="1">+($C$15+$C$16*$F$16)-($C$16/2)-15018.5-$C$5/24</f>
        <v>45508.793545472479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80</v>
      </c>
      <c r="J20" s="7" t="s">
        <v>82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5" t="s">
        <v>75</v>
      </c>
    </row>
    <row r="21" spans="1:21" x14ac:dyDescent="0.2">
      <c r="A21" t="s">
        <v>55</v>
      </c>
      <c r="B21" t="s">
        <v>74</v>
      </c>
      <c r="C21" s="8">
        <v>25586.400000000001</v>
      </c>
      <c r="D21" s="8" t="s">
        <v>36</v>
      </c>
      <c r="E21">
        <f t="shared" ref="E21:E29" si="0">+(C21-C$7)/C$8</f>
        <v>-2991.0677693381599</v>
      </c>
      <c r="F21">
        <f t="shared" ref="F21:F29" si="1">ROUND(2*E21,0)/2</f>
        <v>-2991</v>
      </c>
      <c r="G21">
        <f t="shared" ref="G21:G29" si="2">+C21-(C$7+F21*C$8)</f>
        <v>-0.63007999999535969</v>
      </c>
      <c r="H21">
        <f t="shared" ref="H21:H27" si="3">+G21</f>
        <v>-0.63007999999535969</v>
      </c>
      <c r="O21">
        <f t="shared" ref="O21:O29" ca="1" si="4">+C$11+C$12*$F21</f>
        <v>-0.4653158761979701</v>
      </c>
      <c r="Q21" s="2">
        <f t="shared" ref="Q21:Q29" si="5">+C21-15018.5</f>
        <v>10567.900000000001</v>
      </c>
      <c r="R21" s="2"/>
      <c r="S21" s="2"/>
      <c r="T21" s="2"/>
    </row>
    <row r="22" spans="1:21" x14ac:dyDescent="0.2">
      <c r="A22" t="s">
        <v>61</v>
      </c>
      <c r="B22" t="s">
        <v>74</v>
      </c>
      <c r="C22" s="8">
        <v>28459.46</v>
      </c>
      <c r="D22" s="8" t="s">
        <v>36</v>
      </c>
      <c r="E22">
        <f t="shared" si="0"/>
        <v>-2682.050859270636</v>
      </c>
      <c r="F22">
        <f t="shared" si="1"/>
        <v>-2682</v>
      </c>
      <c r="G22">
        <f t="shared" si="2"/>
        <v>-0.47285999999803607</v>
      </c>
      <c r="H22">
        <f t="shared" si="3"/>
        <v>-0.47285999999803607</v>
      </c>
      <c r="O22">
        <f t="shared" ca="1" si="4"/>
        <v>-0.41363048590024243</v>
      </c>
      <c r="Q22" s="2">
        <f t="shared" si="5"/>
        <v>13440.96</v>
      </c>
      <c r="R22" s="2"/>
      <c r="S22" s="2"/>
      <c r="T22" s="2"/>
    </row>
    <row r="23" spans="1:21" x14ac:dyDescent="0.2">
      <c r="A23" t="s">
        <v>61</v>
      </c>
      <c r="B23" t="s">
        <v>74</v>
      </c>
      <c r="C23" s="8">
        <v>28478.25</v>
      </c>
      <c r="D23" s="8" t="s">
        <v>36</v>
      </c>
      <c r="E23">
        <f t="shared" si="0"/>
        <v>-2680.0298685011535</v>
      </c>
      <c r="F23">
        <f t="shared" si="1"/>
        <v>-2680</v>
      </c>
      <c r="G23">
        <f t="shared" si="2"/>
        <v>-0.27769999999509309</v>
      </c>
      <c r="H23">
        <f t="shared" si="3"/>
        <v>-0.27769999999509309</v>
      </c>
      <c r="O23">
        <f t="shared" ca="1" si="4"/>
        <v>-0.41329595262970692</v>
      </c>
      <c r="Q23" s="2">
        <f t="shared" si="5"/>
        <v>13459.75</v>
      </c>
      <c r="R23" s="2"/>
      <c r="S23" s="2"/>
      <c r="T23" s="2"/>
    </row>
    <row r="24" spans="1:21" x14ac:dyDescent="0.2">
      <c r="A24" t="s">
        <v>61</v>
      </c>
      <c r="B24" t="s">
        <v>74</v>
      </c>
      <c r="C24" s="8">
        <v>28487.37</v>
      </c>
      <c r="D24" s="8" t="s">
        <v>36</v>
      </c>
      <c r="E24">
        <f t="shared" si="0"/>
        <v>-2679.0489512144227</v>
      </c>
      <c r="F24">
        <f t="shared" si="1"/>
        <v>-2679</v>
      </c>
      <c r="G24">
        <f t="shared" si="2"/>
        <v>-0.4551199999950768</v>
      </c>
      <c r="H24">
        <f t="shared" si="3"/>
        <v>-0.4551199999950768</v>
      </c>
      <c r="O24">
        <f t="shared" ca="1" si="4"/>
        <v>-0.41312868599443919</v>
      </c>
      <c r="Q24" s="2">
        <f t="shared" si="5"/>
        <v>13468.869999999999</v>
      </c>
      <c r="R24" s="2"/>
      <c r="S24" s="2"/>
      <c r="T24" s="2"/>
    </row>
    <row r="25" spans="1:21" x14ac:dyDescent="0.2">
      <c r="A25" t="s">
        <v>61</v>
      </c>
      <c r="B25" t="s">
        <v>74</v>
      </c>
      <c r="C25" s="8">
        <v>28506.25</v>
      </c>
      <c r="D25" s="8" t="s">
        <v>36</v>
      </c>
      <c r="E25">
        <f t="shared" si="0"/>
        <v>-2677.0182803401367</v>
      </c>
      <c r="F25">
        <f t="shared" si="1"/>
        <v>-2677</v>
      </c>
      <c r="G25">
        <f t="shared" si="2"/>
        <v>-0.16995999999562628</v>
      </c>
      <c r="H25">
        <f t="shared" si="3"/>
        <v>-0.16995999999562628</v>
      </c>
      <c r="O25">
        <f t="shared" ca="1" si="4"/>
        <v>-0.41279415272390374</v>
      </c>
      <c r="Q25" s="2">
        <f t="shared" si="5"/>
        <v>13487.75</v>
      </c>
      <c r="R25" s="2"/>
      <c r="S25" s="2"/>
      <c r="T25" s="2"/>
    </row>
    <row r="26" spans="1:21" x14ac:dyDescent="0.2">
      <c r="A26" t="s">
        <v>61</v>
      </c>
      <c r="B26" t="s">
        <v>74</v>
      </c>
      <c r="C26" s="8">
        <v>28524.38</v>
      </c>
      <c r="D26" s="8" t="s">
        <v>36</v>
      </c>
      <c r="E26">
        <f t="shared" si="0"/>
        <v>-2675.0682770058784</v>
      </c>
      <c r="F26">
        <f t="shared" si="1"/>
        <v>-2675</v>
      </c>
      <c r="G26">
        <f t="shared" si="2"/>
        <v>-0.63479999999617576</v>
      </c>
      <c r="H26">
        <f t="shared" si="3"/>
        <v>-0.63479999999617576</v>
      </c>
      <c r="O26">
        <f t="shared" ca="1" si="4"/>
        <v>-0.41245961945336829</v>
      </c>
      <c r="Q26" s="2">
        <f t="shared" si="5"/>
        <v>13505.880000000001</v>
      </c>
      <c r="R26" s="2"/>
      <c r="S26" s="2"/>
      <c r="T26" s="2"/>
    </row>
    <row r="27" spans="1:21" x14ac:dyDescent="0.2">
      <c r="A27" s="48" t="s">
        <v>79</v>
      </c>
      <c r="C27" s="8">
        <v>29631.15</v>
      </c>
      <c r="D27" s="8"/>
      <c r="E27">
        <f t="shared" si="0"/>
        <v>-2556.0277259712902</v>
      </c>
      <c r="F27">
        <f t="shared" si="1"/>
        <v>-2556</v>
      </c>
      <c r="G27">
        <f t="shared" si="2"/>
        <v>-0.25777999999263557</v>
      </c>
      <c r="H27">
        <f t="shared" si="3"/>
        <v>-0.25777999999263557</v>
      </c>
      <c r="O27">
        <f t="shared" ca="1" si="4"/>
        <v>-0.39255488985650877</v>
      </c>
      <c r="Q27" s="2">
        <f t="shared" si="5"/>
        <v>14612.650000000001</v>
      </c>
      <c r="R27" s="2"/>
      <c r="S27" s="2"/>
      <c r="T27" s="2"/>
    </row>
    <row r="28" spans="1:21" x14ac:dyDescent="0.2">
      <c r="A28" t="s">
        <v>49</v>
      </c>
      <c r="C28" s="8">
        <v>52503.09</v>
      </c>
      <c r="D28" s="8" t="s">
        <v>13</v>
      </c>
      <c r="E28">
        <f t="shared" si="0"/>
        <v>-95.996878703984621</v>
      </c>
      <c r="F28">
        <f t="shared" si="1"/>
        <v>-96</v>
      </c>
      <c r="G28">
        <f t="shared" si="2"/>
        <v>2.9020000001764856E-2</v>
      </c>
      <c r="J28">
        <f>+G28</f>
        <v>2.9020000001764856E-2</v>
      </c>
      <c r="O28">
        <f t="shared" ca="1" si="4"/>
        <v>1.8921032902099955E-2</v>
      </c>
      <c r="Q28" s="2">
        <f t="shared" si="5"/>
        <v>37484.589999999997</v>
      </c>
      <c r="R28" s="2"/>
      <c r="S28" s="2"/>
      <c r="T28" s="2"/>
    </row>
    <row r="29" spans="1:21" x14ac:dyDescent="0.2">
      <c r="A29" t="str">
        <f>$D$7</f>
        <v>VSX</v>
      </c>
      <c r="C29" s="8">
        <f>$C$7</f>
        <v>53395.613299999997</v>
      </c>
      <c r="D29" s="8"/>
      <c r="E29">
        <f t="shared" si="0"/>
        <v>0</v>
      </c>
      <c r="F29">
        <f t="shared" si="1"/>
        <v>0</v>
      </c>
      <c r="G29">
        <f t="shared" si="2"/>
        <v>0</v>
      </c>
      <c r="I29">
        <f>+G29</f>
        <v>0</v>
      </c>
      <c r="O29">
        <f t="shared" ca="1" si="4"/>
        <v>3.497862988780176E-2</v>
      </c>
      <c r="Q29" s="2">
        <f t="shared" si="5"/>
        <v>38377.113299999997</v>
      </c>
      <c r="R29" s="2"/>
      <c r="S29" s="2"/>
      <c r="T29" s="2"/>
    </row>
    <row r="30" spans="1:21" x14ac:dyDescent="0.2">
      <c r="C30" s="8"/>
      <c r="D30" s="8"/>
      <c r="Q30" s="2"/>
      <c r="R30" s="2"/>
      <c r="S30" s="2"/>
      <c r="T30" s="2"/>
    </row>
    <row r="31" spans="1:21" x14ac:dyDescent="0.2">
      <c r="C31" s="8"/>
      <c r="D31" s="8"/>
      <c r="Q31" s="2"/>
      <c r="R31" s="2"/>
      <c r="S31" s="2"/>
      <c r="T31" s="2"/>
    </row>
    <row r="32" spans="1:21" x14ac:dyDescent="0.2">
      <c r="C32" s="8"/>
      <c r="D32" s="8"/>
      <c r="Q32" s="2"/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33">
    <sortCondition ref="C21:C33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06"/>
  <sheetViews>
    <sheetView workbookViewId="0">
      <selection activeCell="A11" sqref="A11:D1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4" t="s">
        <v>39</v>
      </c>
      <c r="I1" s="35" t="s">
        <v>40</v>
      </c>
      <c r="J1" s="36" t="s">
        <v>38</v>
      </c>
    </row>
    <row r="2" spans="1:16" x14ac:dyDescent="0.2">
      <c r="I2" s="37" t="s">
        <v>41</v>
      </c>
      <c r="J2" s="38" t="s">
        <v>37</v>
      </c>
    </row>
    <row r="3" spans="1:16" x14ac:dyDescent="0.2">
      <c r="A3" s="39" t="s">
        <v>42</v>
      </c>
      <c r="I3" s="37" t="s">
        <v>43</v>
      </c>
      <c r="J3" s="38" t="s">
        <v>35</v>
      </c>
    </row>
    <row r="4" spans="1:16" x14ac:dyDescent="0.2">
      <c r="I4" s="37" t="s">
        <v>44</v>
      </c>
      <c r="J4" s="38" t="s">
        <v>35</v>
      </c>
    </row>
    <row r="5" spans="1:16" ht="13.5" thickBot="1" x14ac:dyDescent="0.25">
      <c r="I5" s="40" t="s">
        <v>45</v>
      </c>
      <c r="J5" s="41" t="s">
        <v>36</v>
      </c>
    </row>
    <row r="10" spans="1:16" ht="13.5" thickBot="1" x14ac:dyDescent="0.25"/>
    <row r="11" spans="1:16" ht="12.75" customHeight="1" thickBot="1" x14ac:dyDescent="0.25">
      <c r="A11" s="8" t="str">
        <f t="shared" ref="A11:A16" si="0">P11</f>
        <v> HA 90 (4) </v>
      </c>
      <c r="B11" s="3" t="str">
        <f t="shared" ref="B11:B16" si="1">IF(H11=INT(H11),"I","II")</f>
        <v>I</v>
      </c>
      <c r="C11" s="8">
        <f t="shared" ref="C11:C16" si="2">1*G11</f>
        <v>25586.400000000001</v>
      </c>
      <c r="D11" s="10" t="str">
        <f t="shared" ref="D11:D16" si="3">VLOOKUP(F11,I$1:J$5,2,FALSE)</f>
        <v>vis</v>
      </c>
      <c r="E11" s="42">
        <f>VLOOKUP(C11,Active!C$21:E$973,3,FALSE)</f>
        <v>-2991.0677693381599</v>
      </c>
      <c r="F11" s="3" t="s">
        <v>45</v>
      </c>
      <c r="G11" s="10" t="str">
        <f t="shared" ref="G11:G16" si="4">MID(I11,3,LEN(I11)-3)</f>
        <v>25586.40</v>
      </c>
      <c r="H11" s="8">
        <f t="shared" ref="H11:H16" si="5">1*K11</f>
        <v>-435</v>
      </c>
      <c r="I11" s="43" t="s">
        <v>50</v>
      </c>
      <c r="J11" s="44" t="s">
        <v>51</v>
      </c>
      <c r="K11" s="43">
        <v>-435</v>
      </c>
      <c r="L11" s="43" t="s">
        <v>52</v>
      </c>
      <c r="M11" s="44" t="s">
        <v>53</v>
      </c>
      <c r="N11" s="44"/>
      <c r="O11" s="45" t="s">
        <v>54</v>
      </c>
      <c r="P11" s="45" t="s">
        <v>55</v>
      </c>
    </row>
    <row r="12" spans="1:16" ht="12.75" customHeight="1" thickBot="1" x14ac:dyDescent="0.25">
      <c r="A12" s="8" t="str">
        <f t="shared" si="0"/>
        <v> CTAD 25.6 </v>
      </c>
      <c r="B12" s="3" t="str">
        <f t="shared" si="1"/>
        <v>I</v>
      </c>
      <c r="C12" s="8">
        <f t="shared" si="2"/>
        <v>28459.46</v>
      </c>
      <c r="D12" s="10" t="str">
        <f t="shared" si="3"/>
        <v>vis</v>
      </c>
      <c r="E12" s="42">
        <f>VLOOKUP(C12,Active!C$21:E$973,3,FALSE)</f>
        <v>-2682.050859270636</v>
      </c>
      <c r="F12" s="3" t="s">
        <v>45</v>
      </c>
      <c r="G12" s="10" t="str">
        <f t="shared" si="4"/>
        <v>28459.46</v>
      </c>
      <c r="H12" s="8">
        <f t="shared" si="5"/>
        <v>-126</v>
      </c>
      <c r="I12" s="43" t="s">
        <v>56</v>
      </c>
      <c r="J12" s="44" t="s">
        <v>57</v>
      </c>
      <c r="K12" s="43">
        <v>-126</v>
      </c>
      <c r="L12" s="43" t="s">
        <v>58</v>
      </c>
      <c r="M12" s="44" t="s">
        <v>59</v>
      </c>
      <c r="N12" s="44"/>
      <c r="O12" s="45" t="s">
        <v>60</v>
      </c>
      <c r="P12" s="45" t="s">
        <v>61</v>
      </c>
    </row>
    <row r="13" spans="1:16" ht="12.75" customHeight="1" thickBot="1" x14ac:dyDescent="0.25">
      <c r="A13" s="8" t="str">
        <f t="shared" si="0"/>
        <v> CTAD 25.6 </v>
      </c>
      <c r="B13" s="3" t="str">
        <f t="shared" si="1"/>
        <v>I</v>
      </c>
      <c r="C13" s="8">
        <f t="shared" si="2"/>
        <v>28478.25</v>
      </c>
      <c r="D13" s="10" t="str">
        <f t="shared" si="3"/>
        <v>vis</v>
      </c>
      <c r="E13" s="42">
        <f>VLOOKUP(C13,Active!C$21:E$973,3,FALSE)</f>
        <v>-2680.0298685011535</v>
      </c>
      <c r="F13" s="3" t="s">
        <v>45</v>
      </c>
      <c r="G13" s="10" t="str">
        <f t="shared" si="4"/>
        <v>28478.25</v>
      </c>
      <c r="H13" s="8">
        <f t="shared" si="5"/>
        <v>-124</v>
      </c>
      <c r="I13" s="43" t="s">
        <v>62</v>
      </c>
      <c r="J13" s="44" t="s">
        <v>63</v>
      </c>
      <c r="K13" s="43">
        <v>-124</v>
      </c>
      <c r="L13" s="43" t="s">
        <v>64</v>
      </c>
      <c r="M13" s="44" t="s">
        <v>59</v>
      </c>
      <c r="N13" s="44"/>
      <c r="O13" s="45" t="s">
        <v>60</v>
      </c>
      <c r="P13" s="45" t="s">
        <v>61</v>
      </c>
    </row>
    <row r="14" spans="1:16" ht="12.75" customHeight="1" thickBot="1" x14ac:dyDescent="0.25">
      <c r="A14" s="8" t="str">
        <f t="shared" si="0"/>
        <v> CTAD 25.6 </v>
      </c>
      <c r="B14" s="3" t="str">
        <f t="shared" si="1"/>
        <v>I</v>
      </c>
      <c r="C14" s="8">
        <f t="shared" si="2"/>
        <v>28487.37</v>
      </c>
      <c r="D14" s="10" t="str">
        <f t="shared" si="3"/>
        <v>vis</v>
      </c>
      <c r="E14" s="42">
        <f>VLOOKUP(C14,Active!C$21:E$973,3,FALSE)</f>
        <v>-2679.0489512144227</v>
      </c>
      <c r="F14" s="3" t="s">
        <v>45</v>
      </c>
      <c r="G14" s="10" t="str">
        <f t="shared" si="4"/>
        <v>28487.37</v>
      </c>
      <c r="H14" s="8">
        <f t="shared" si="5"/>
        <v>-123</v>
      </c>
      <c r="I14" s="43" t="s">
        <v>65</v>
      </c>
      <c r="J14" s="44" t="s">
        <v>66</v>
      </c>
      <c r="K14" s="43">
        <v>-123</v>
      </c>
      <c r="L14" s="43" t="s">
        <v>67</v>
      </c>
      <c r="M14" s="44" t="s">
        <v>59</v>
      </c>
      <c r="N14" s="44"/>
      <c r="O14" s="45" t="s">
        <v>60</v>
      </c>
      <c r="P14" s="45" t="s">
        <v>61</v>
      </c>
    </row>
    <row r="15" spans="1:16" ht="12.75" customHeight="1" thickBot="1" x14ac:dyDescent="0.25">
      <c r="A15" s="8" t="str">
        <f t="shared" si="0"/>
        <v> CTAD 25.6 </v>
      </c>
      <c r="B15" s="3" t="str">
        <f t="shared" si="1"/>
        <v>I</v>
      </c>
      <c r="C15" s="8">
        <f t="shared" si="2"/>
        <v>28506.25</v>
      </c>
      <c r="D15" s="10" t="str">
        <f t="shared" si="3"/>
        <v>vis</v>
      </c>
      <c r="E15" s="42">
        <f>VLOOKUP(C15,Active!C$21:E$973,3,FALSE)</f>
        <v>-2677.0182803401367</v>
      </c>
      <c r="F15" s="3" t="s">
        <v>45</v>
      </c>
      <c r="G15" s="10" t="str">
        <f t="shared" si="4"/>
        <v>28506.25</v>
      </c>
      <c r="H15" s="8">
        <f t="shared" si="5"/>
        <v>-121</v>
      </c>
      <c r="I15" s="43" t="s">
        <v>68</v>
      </c>
      <c r="J15" s="44" t="s">
        <v>69</v>
      </c>
      <c r="K15" s="43">
        <v>-121</v>
      </c>
      <c r="L15" s="43" t="s">
        <v>70</v>
      </c>
      <c r="M15" s="44" t="s">
        <v>59</v>
      </c>
      <c r="N15" s="44"/>
      <c r="O15" s="45" t="s">
        <v>60</v>
      </c>
      <c r="P15" s="45" t="s">
        <v>61</v>
      </c>
    </row>
    <row r="16" spans="1:16" ht="12.75" customHeight="1" thickBot="1" x14ac:dyDescent="0.25">
      <c r="A16" s="8" t="str">
        <f t="shared" si="0"/>
        <v> CTAD 25.6 </v>
      </c>
      <c r="B16" s="3" t="str">
        <f t="shared" si="1"/>
        <v>I</v>
      </c>
      <c r="C16" s="8">
        <f t="shared" si="2"/>
        <v>28524.38</v>
      </c>
      <c r="D16" s="10" t="str">
        <f t="shared" si="3"/>
        <v>vis</v>
      </c>
      <c r="E16" s="42">
        <f>VLOOKUP(C16,Active!C$21:E$973,3,FALSE)</f>
        <v>-2675.0682770058784</v>
      </c>
      <c r="F16" s="3" t="s">
        <v>45</v>
      </c>
      <c r="G16" s="10" t="str">
        <f t="shared" si="4"/>
        <v>28524.38</v>
      </c>
      <c r="H16" s="8">
        <f t="shared" si="5"/>
        <v>-119</v>
      </c>
      <c r="I16" s="43" t="s">
        <v>71</v>
      </c>
      <c r="J16" s="44" t="s">
        <v>72</v>
      </c>
      <c r="K16" s="43">
        <v>-119</v>
      </c>
      <c r="L16" s="43" t="s">
        <v>73</v>
      </c>
      <c r="M16" s="44" t="s">
        <v>59</v>
      </c>
      <c r="N16" s="44"/>
      <c r="O16" s="45" t="s">
        <v>60</v>
      </c>
      <c r="P16" s="45" t="s">
        <v>61</v>
      </c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2024-07-29T08:28:38Z</dcterms:modified>
</cp:coreProperties>
</file>