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0F32B0AD-0141-4AB6-8E59-E086ED8AF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C21" i="1"/>
  <c r="G21" i="1"/>
  <c r="H21" i="1"/>
  <c r="E21" i="1"/>
  <c r="F21" i="1"/>
  <c r="Q22" i="1"/>
  <c r="Q23" i="1"/>
  <c r="F11" i="1"/>
  <c r="A21" i="1"/>
  <c r="H20" i="1"/>
  <c r="G11" i="1"/>
  <c r="C17" i="1"/>
  <c r="Q21" i="1"/>
  <c r="C12" i="1"/>
  <c r="F15" i="1" l="1"/>
  <c r="C16" i="1"/>
  <c r="D18" i="1" s="1"/>
  <c r="C11" i="1"/>
  <c r="O22" i="1" l="1"/>
  <c r="S22" i="1" s="1"/>
  <c r="O21" i="1"/>
  <c r="S21" i="1" s="1"/>
  <c r="C15" i="1"/>
  <c r="O23" i="1"/>
  <c r="S23" i="1" s="1"/>
  <c r="F16" i="1" l="1"/>
  <c r="F18" i="1" s="1"/>
  <c r="C18" i="1"/>
  <c r="S19" i="1"/>
  <c r="F17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<sst xmlns="http://schemas.openxmlformats.org/spreadsheetml/2006/main" count="58" uniqueCount="54">
  <si>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</si>
  <si>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</si>
  <si>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</si>
  <si>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</si>
  <si>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</si>
  <si>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</si>
  <si>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</si>
  <si>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</si>
  <si>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</si>
  <si>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</si>
  <si>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</si>
  <si>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</si>
  <si>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</si>
  <si>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</si>
  <si>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</si>
  <si>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</si>
  <si>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</si>
  <si>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</si>
  <si>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</si>
  <si>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</si>
  <si>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</si>
  <si>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</si>
  <si>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</si>
  <si>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</si>
  <si>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</si>
  <si>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</si>
  <si>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</si>
  <si>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</si>
  <si>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</si>
  <si>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</si>
  <si>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</si>
  <si>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</si>
  <si>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</si>
  <si>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</si>
  <si>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</si>
  <si>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</si>
  <si>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</si>
  <si>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</si>
  <si>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</si>
  <si>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</si>
  <si>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G5863-0584</t>
  </si>
  <si>
    <t>G5863-0584_Eri.xls</t>
  </si>
  <si>
    <t>EC</t>
  </si>
  <si>
    <t>Eri</t>
  </si>
  <si>
    <t>VSX</t>
  </si>
  <si>
    <t>IBVS 5960</t>
  </si>
  <si>
    <t>I</t>
  </si>
  <si>
    <t>IBVS 6011</t>
  </si>
  <si>
    <t>CCD</t>
  </si>
  <si>
    <t>MU Eri / GSC 5863-0584</t>
  </si>
  <si>
    <t xml:space="preserve">Mag </t>
  </si>
  <si>
    <t>Next ToM-P</t>
  </si>
  <si>
    <t>Next ToM-S</t>
  </si>
  <si>
    <t>12.75-13.40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</si>
</sst>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6" fillId="0" borderId="0" xfId="0" applyFont="1" applyAlignment="1"/>
    <xf numFmtId="0" fontId="0" fillId="3" borderId="5" xfId="0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MU Eri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58-43E7-8D8E-DBDDDEC1A87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5.9099999925820157E-3</c:v>
                </c:pt>
                <c:pt idx="2">
                  <c:v>6.1899999927845784E-3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58-43E7-8D8E-DBDDDEC1A87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58-43E7-8D8E-DBDDDEC1A87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58-43E7-8D8E-DBDDDEC1A87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58-43E7-8D8E-DBDDDEC1A87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58-43E7-8D8E-DBDDDEC1A87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58-43E7-8D8E-DBDDDEC1A87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4.6415015775859089E-5</c:v>
                </c:pt>
                <c:pt idx="1">
                  <c:v>5.5777282985016085E-3</c:v>
                </c:pt>
                <c:pt idx="2">
                  <c:v>6.4758566710891256E-3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58-43E7-8D8E-DBDDDEC1A87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5161</c:v>
                </c:pt>
                <c:pt idx="2">
                  <c:v>5999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58-43E7-8D8E-DBDDDEC1A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735984"/>
        <c:axId val="1"/>
      </c:scatterChart>
      <c:valAx>
        <c:axId val="963735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3735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9525</xdr:rowOff>
    </xdr:from>
    <xdr:to>
      <xdr:col>17</xdr:col>
      <xdr:colOff>152400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490275D-DD96-79BD-21EA-513A37264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2" t="s">
        <v>49</v>
      </c>
      <c r="E1" t="s">
        <v>41</v>
      </c>
    </row>
    <row r="2" spans="1:7" x14ac:dyDescent="0.2">
      <c r="A2" t="s">
        <v>23</v>
      </c>
      <c r="B2" t="s">
        <v>42</v>
      </c>
      <c r="C2" s="27" t="s">
        <v>39</v>
      </c>
      <c r="D2" s="2" t="s">
        <v>43</v>
      </c>
      <c r="E2" s="28" t="s">
        <v>40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4" t="s">
        <v>38</v>
      </c>
      <c r="D4" s="25" t="s">
        <v>38</v>
      </c>
    </row>
    <row r="6" spans="1:7" x14ac:dyDescent="0.2">
      <c r="A6" s="4" t="s">
        <v>1</v>
      </c>
    </row>
    <row r="7" spans="1:7" x14ac:dyDescent="0.2">
      <c r="A7" t="s">
        <v>2</v>
      </c>
      <c r="C7" s="31">
        <v>53651.711000000003</v>
      </c>
      <c r="D7" s="26" t="s">
        <v>44</v>
      </c>
    </row>
    <row r="8" spans="1:7" x14ac:dyDescent="0.2">
      <c r="A8" t="s">
        <v>3</v>
      </c>
      <c r="C8" s="31">
        <v>0.36659000000000003</v>
      </c>
      <c r="D8" s="26" t="s">
        <v>44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8">
        <f ca="1">INTERCEPT(INDIRECT($G$11):G992,INDIRECT($F$11):F992)</f>
        <v>4.6415015775859089E-5</v>
      </c>
      <c r="D11" s="2"/>
      <c r="E11" s="9"/>
      <c r="F11" s="19" t="str">
        <f>"F"&amp;E19</f>
        <v>F21</v>
      </c>
      <c r="G11" s="20" t="str">
        <f>"G"&amp;E19</f>
        <v>G21</v>
      </c>
    </row>
    <row r="12" spans="1:7" x14ac:dyDescent="0.2">
      <c r="A12" s="9" t="s">
        <v>16</v>
      </c>
      <c r="B12" s="9"/>
      <c r="C12" s="18">
        <f ca="1">SLOPE(INDIRECT($G$11):G992,INDIRECT($F$11):F992)</f>
        <v>1.0717522345913097E-6</v>
      </c>
      <c r="D12" s="2"/>
      <c r="E12" s="33" t="s">
        <v>50</v>
      </c>
      <c r="F12" s="34" t="s">
        <v>53</v>
      </c>
    </row>
    <row r="13" spans="1:7" x14ac:dyDescent="0.2">
      <c r="A13" s="9" t="s">
        <v>18</v>
      </c>
      <c r="B13" s="9"/>
      <c r="C13" s="2" t="s">
        <v>13</v>
      </c>
      <c r="D13" s="13"/>
      <c r="E13" s="35" t="s">
        <v>35</v>
      </c>
      <c r="F13" s="36">
        <v>1</v>
      </c>
    </row>
    <row r="14" spans="1:7" x14ac:dyDescent="0.2">
      <c r="A14" s="9"/>
      <c r="B14" s="9"/>
      <c r="C14" s="9"/>
      <c r="D14" s="13"/>
      <c r="E14" s="35" t="s">
        <v>32</v>
      </c>
      <c r="F14" s="37">
        <f ca="1">NOW()+15018.5+$C$9/24</f>
        <v>60520.863962962962</v>
      </c>
    </row>
    <row r="15" spans="1:7" x14ac:dyDescent="0.2">
      <c r="A15" s="11" t="s">
        <v>17</v>
      </c>
      <c r="B15" s="9"/>
      <c r="C15" s="12">
        <f ca="1">(C7+C11)+(C8+C12)*INT(MAX(F21:F3533))</f>
        <v>55850.890885856672</v>
      </c>
      <c r="D15" s="13"/>
      <c r="E15" s="35" t="s">
        <v>36</v>
      </c>
      <c r="F15" s="37">
        <f ca="1">ROUND(2*($F$14-$C$7)/$C$8,0)/2+$F$13</f>
        <v>18739</v>
      </c>
    </row>
    <row r="16" spans="1:7" x14ac:dyDescent="0.2">
      <c r="A16" s="14" t="s">
        <v>4</v>
      </c>
      <c r="B16" s="9"/>
      <c r="C16" s="15">
        <f ca="1">+C8+C12</f>
        <v>0.3665910717522346</v>
      </c>
      <c r="D16" s="13"/>
      <c r="E16" s="35" t="s">
        <v>37</v>
      </c>
      <c r="F16" s="37">
        <f ca="1">ROUND(2*($F$14-$C$15)/$C$16,0)/2+$F$13</f>
        <v>12740</v>
      </c>
    </row>
    <row r="17" spans="1:19" ht="13.5" thickBot="1" x14ac:dyDescent="0.25">
      <c r="A17" s="13" t="s">
        <v>29</v>
      </c>
      <c r="B17" s="9"/>
      <c r="C17" s="9">
        <f>COUNT(C21:C2191)</f>
        <v>3</v>
      </c>
      <c r="D17" s="13"/>
      <c r="E17" s="38" t="s">
        <v>51</v>
      </c>
      <c r="F17" s="39">
        <f ca="1">+$C$15+$C$16*$F$16-15018.5-$C$9/24</f>
        <v>45503.156973313475</v>
      </c>
    </row>
    <row r="18" spans="1:19" ht="14.25" thickTop="1" thickBot="1" x14ac:dyDescent="0.25">
      <c r="A18" s="14" t="s">
        <v>5</v>
      </c>
      <c r="B18" s="9"/>
      <c r="C18" s="16">
        <f ca="1">+C15</f>
        <v>55850.890885856672</v>
      </c>
      <c r="D18" s="17">
        <f ca="1">+C16</f>
        <v>0.3665910717522346</v>
      </c>
      <c r="E18" s="41" t="s">
        <v>52</v>
      </c>
      <c r="F18" s="40">
        <f ca="1">+($C$15+$C$16*$F$16)-($C$16/2)-15018.5-$C$9/24</f>
        <v>45502.973677777598</v>
      </c>
    </row>
    <row r="19" spans="1:19" ht="13.5" thickTop="1" x14ac:dyDescent="0.2">
      <c r="A19" s="21" t="s">
        <v>33</v>
      </c>
      <c r="E19" s="22">
        <v>21</v>
      </c>
      <c r="S19">
        <f ca="1">SQRT(SUM(S21:S50)/(COUNT(S21:S50)-1))</f>
        <v>3.1166718860656982E-4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48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34</v>
      </c>
    </row>
    <row r="21" spans="1:19" x14ac:dyDescent="0.2">
      <c r="A21" t="str">
        <f>D7</f>
        <v>VSX</v>
      </c>
      <c r="C21" s="7">
        <f>C$7</f>
        <v>53651.711000000003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4.6415015775859089E-5</v>
      </c>
      <c r="Q21" s="1">
        <f>+C21-15018.5</f>
        <v>38633.211000000003</v>
      </c>
      <c r="S21">
        <f ca="1">+(O21-G21)^2</f>
        <v>2.1543536894732483E-9</v>
      </c>
    </row>
    <row r="22" spans="1:19" x14ac:dyDescent="0.2">
      <c r="A22" s="29" t="s">
        <v>45</v>
      </c>
      <c r="B22" s="30" t="s">
        <v>46</v>
      </c>
      <c r="C22" s="29">
        <v>55543.687899999997</v>
      </c>
      <c r="D22" s="29">
        <v>5.0000000000000001E-4</v>
      </c>
      <c r="E22">
        <f>+(C22-C$7)/C$8</f>
        <v>5161.0161215526723</v>
      </c>
      <c r="F22">
        <f>ROUND(2*E22,0)/2</f>
        <v>5161</v>
      </c>
      <c r="G22">
        <f>+C22-(C$7+F22*C$8)</f>
        <v>5.9099999925820157E-3</v>
      </c>
      <c r="I22">
        <f>+G22</f>
        <v>5.9099999925820157E-3</v>
      </c>
      <c r="O22">
        <f ca="1">+C$11+C$12*$F22</f>
        <v>5.5777282985016085E-3</v>
      </c>
      <c r="Q22" s="1">
        <f>+C22-15018.5</f>
        <v>40525.187899999997</v>
      </c>
      <c r="S22">
        <f ca="1">+(O22-G22)^2</f>
        <v>1.1040447868706368E-7</v>
      </c>
    </row>
    <row r="23" spans="1:19" x14ac:dyDescent="0.2">
      <c r="A23" s="29" t="s">
        <v>47</v>
      </c>
      <c r="B23" s="30" t="s">
        <v>46</v>
      </c>
      <c r="C23" s="29">
        <v>55850.890599999999</v>
      </c>
      <c r="D23" s="29">
        <v>2.9999999999999997E-4</v>
      </c>
      <c r="E23">
        <f>+(C23-C$7)/C$8</f>
        <v>5999.016885348743</v>
      </c>
      <c r="F23">
        <f>ROUND(2*E23,0)/2</f>
        <v>5999</v>
      </c>
      <c r="G23">
        <f>+C23-(C$7+F23*C$8)</f>
        <v>6.1899999927845784E-3</v>
      </c>
      <c r="I23">
        <f>+G23</f>
        <v>6.1899999927845784E-3</v>
      </c>
      <c r="O23">
        <f ca="1">+C$11+C$12*$F23</f>
        <v>6.4758566710891256E-3</v>
      </c>
      <c r="Q23" s="1">
        <f>+C23-15018.5</f>
        <v>40832.390599999999</v>
      </c>
      <c r="S23">
        <f ca="1">+(O23-G23)^2</f>
        <v>8.1714040531309396E-8</v>
      </c>
    </row>
    <row r="24" spans="1:19" x14ac:dyDescent="0.2">
      <c r="C24" s="7"/>
      <c r="D24" s="7"/>
      <c r="Q24" s="1"/>
    </row>
    <row r="25" spans="1:19" x14ac:dyDescent="0.2">
      <c r="C25" s="7"/>
      <c r="D25" s="7"/>
      <c r="Q25" s="1"/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2024-07-29T08:44:06Z</dcterms:modified>
</cp:coreProperties>
</file>