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65F0EC1-9766-4AD2-8A27-653B7B2076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G24" i="1" l="1"/>
  <c r="I24" i="1" s="1"/>
  <c r="F14" i="1"/>
  <c r="F11" i="2"/>
  <c r="E22" i="2"/>
  <c r="F22" i="2"/>
  <c r="G22" i="2"/>
  <c r="E23" i="2"/>
  <c r="F23" i="2"/>
  <c r="G23" i="2"/>
  <c r="I23" i="2"/>
  <c r="E24" i="2"/>
  <c r="F24" i="2"/>
  <c r="G24" i="2"/>
  <c r="I24" i="2"/>
  <c r="G11" i="2"/>
  <c r="E14" i="2"/>
  <c r="C17" i="2"/>
  <c r="A21" i="2"/>
  <c r="H20" i="2"/>
  <c r="C21" i="2"/>
  <c r="E21" i="2"/>
  <c r="F21" i="2"/>
  <c r="Q21" i="2"/>
  <c r="I22" i="2"/>
  <c r="Q22" i="2"/>
  <c r="Q23" i="2"/>
  <c r="Q24" i="2"/>
  <c r="E22" i="1"/>
  <c r="F22" i="1" s="1"/>
  <c r="G22" i="1" s="1"/>
  <c r="I22" i="1" s="1"/>
  <c r="E23" i="1"/>
  <c r="F23" i="1"/>
  <c r="G23" i="1" s="1"/>
  <c r="I23" i="1" s="1"/>
  <c r="E24" i="1"/>
  <c r="F24" i="1" s="1"/>
  <c r="F11" i="1"/>
  <c r="Q22" i="1"/>
  <c r="Q23" i="1"/>
  <c r="Q24" i="1"/>
  <c r="C21" i="1"/>
  <c r="Q21" i="1"/>
  <c r="E21" i="1"/>
  <c r="F21" i="1"/>
  <c r="G21" i="1"/>
  <c r="H21" i="1"/>
  <c r="A21" i="1"/>
  <c r="H20" i="1"/>
  <c r="G11" i="1"/>
  <c r="C17" i="1"/>
  <c r="G21" i="2"/>
  <c r="H21" i="2"/>
  <c r="C11" i="2"/>
  <c r="C12" i="1"/>
  <c r="F15" i="1" l="1"/>
  <c r="C16" i="1"/>
  <c r="D18" i="1" s="1"/>
  <c r="E15" i="2"/>
  <c r="C12" i="2"/>
  <c r="C11" i="1"/>
  <c r="C15" i="1" l="1"/>
  <c r="O22" i="1"/>
  <c r="S22" i="1" s="1"/>
  <c r="O23" i="1"/>
  <c r="S23" i="1" s="1"/>
  <c r="O21" i="1"/>
  <c r="S21" i="1" s="1"/>
  <c r="O24" i="1"/>
  <c r="S24" i="1" s="1"/>
  <c r="C16" i="2"/>
  <c r="D18" i="2" s="1"/>
  <c r="C15" i="2"/>
  <c r="O22" i="2"/>
  <c r="S22" i="2" s="1"/>
  <c r="O23" i="2"/>
  <c r="S23" i="2" s="1"/>
  <c r="O24" i="2"/>
  <c r="S24" i="2" s="1"/>
  <c r="O21" i="2"/>
  <c r="S21" i="2" s="1"/>
  <c r="F16" i="1" l="1"/>
  <c r="F18" i="1" s="1"/>
  <c r="S19" i="1"/>
  <c r="C18" i="2"/>
  <c r="E16" i="2"/>
  <c r="E17" i="2" s="1"/>
  <c r="S19" i="2"/>
  <c r="C18" i="1"/>
  <c r="F17" i="1" l="1"/>
</calcChain>
</file>

<file path=xl/sharedStrings.xml><?xml version="1.0" encoding="utf-8"?>
<sst xmlns="http://schemas.openxmlformats.org/spreadsheetml/2006/main" count="120" uniqueCount="61">
  <si>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</si>
  <si>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</si>
  <si>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</si>
  <si>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</si>
  <si>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</si>
  <si>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</si>
  <si>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</si>
  <si>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</si>
  <si>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</si>
  <si>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</si>
  <si>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</si>
  <si>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</si>
  <si>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</si>
  <si>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</si>
  <si>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</si>
  <si>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</si>
  <si>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</si>
  <si>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</si>
  <si>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</si>
  <si>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</si>
  <si>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</si>
  <si>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</si>
  <si>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</si>
  <si>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</si>
  <si>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</si>
  <si>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</si>
  <si>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</si>
  <si>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</si>
  <si>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</si>
  <si>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</si>
  <si>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</si>
  <si>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</si>
  <si>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</si>
  <si>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</si>
  <si>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</si>
  <si>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</si>
  <si>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</si>
  <si>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</si>
  <si>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</si>
  <si>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</si>
  <si>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</si>
  <si>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</si>
  <si>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G5303-0939</t>
  </si>
  <si>
    <t>G5303-0939_Eri.xls</t>
  </si>
  <si>
    <t>EC</t>
  </si>
  <si>
    <t>Eri</t>
  </si>
  <si>
    <t>VSX</t>
  </si>
  <si>
    <t>IBVS 5960</t>
  </si>
  <si>
    <t>II</t>
  </si>
  <si>
    <t>IBVS 6011</t>
  </si>
  <si>
    <t>I</t>
  </si>
  <si>
    <t>IBVS 6042</t>
  </si>
  <si>
    <t>Period</t>
  </si>
  <si>
    <t>rms dev'n</t>
  </si>
  <si>
    <t>NQ Eri / GSC 5303-0939</t>
  </si>
  <si>
    <t>CCD</t>
  </si>
  <si>
    <t>Next ToM-P</t>
  </si>
  <si>
    <t>Next ToM-S</t>
  </si>
  <si>
    <t>12.10 (0.43)</t>
  </si>
  <si>
    <t xml:space="preserve">Mag CV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</si>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</sst>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2" xfId="0" applyBorder="1" applyAlignment="1"/>
    <xf numFmtId="0" fontId="17" fillId="0" borderId="0" xfId="0" applyFont="1" applyAlignment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6" fillId="3" borderId="5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NQ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774.5</c:v>
                </c:pt>
                <c:pt idx="2">
                  <c:v>1417</c:v>
                </c:pt>
                <c:pt idx="3">
                  <c:v>2059.5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2-4A36-85B4-D73B4D74241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774.5</c:v>
                </c:pt>
                <c:pt idx="2">
                  <c:v>1417</c:v>
                </c:pt>
                <c:pt idx="3">
                  <c:v>2059.5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-1.0775500210002065E-2</c:v>
                </c:pt>
                <c:pt idx="2">
                  <c:v>-1.9883000211848412E-2</c:v>
                </c:pt>
                <c:pt idx="3">
                  <c:v>-2.1590500211459585E-2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62-4A36-85B4-D73B4D74241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774.5</c:v>
                </c:pt>
                <c:pt idx="2">
                  <c:v>1417</c:v>
                </c:pt>
                <c:pt idx="3">
                  <c:v>2059.5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62-4A36-85B4-D73B4D74241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774.5</c:v>
                </c:pt>
                <c:pt idx="2">
                  <c:v>1417</c:v>
                </c:pt>
                <c:pt idx="3">
                  <c:v>2059.5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62-4A36-85B4-D73B4D74241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774.5</c:v>
                </c:pt>
                <c:pt idx="2">
                  <c:v>1417</c:v>
                </c:pt>
                <c:pt idx="3">
                  <c:v>2059.5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62-4A36-85B4-D73B4D74241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774.5</c:v>
                </c:pt>
                <c:pt idx="2">
                  <c:v>1417</c:v>
                </c:pt>
                <c:pt idx="3">
                  <c:v>2059.5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62-4A36-85B4-D73B4D74241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774.5</c:v>
                </c:pt>
                <c:pt idx="2">
                  <c:v>1417</c:v>
                </c:pt>
                <c:pt idx="3">
                  <c:v>2059.5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62-4A36-85B4-D73B4D74241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774.5</c:v>
                </c:pt>
                <c:pt idx="2">
                  <c:v>1417</c:v>
                </c:pt>
                <c:pt idx="3">
                  <c:v>2059.5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-1.4581384748752167E-3</c:v>
                </c:pt>
                <c:pt idx="1">
                  <c:v>-9.9148634796588486E-3</c:v>
                </c:pt>
                <c:pt idx="2">
                  <c:v>-1.6930287386144948E-2</c:v>
                </c:pt>
                <c:pt idx="3">
                  <c:v>-2.3945711292631046E-2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62-4A36-85B4-D73B4D74241A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774.5</c:v>
                </c:pt>
                <c:pt idx="2">
                  <c:v>1417</c:v>
                </c:pt>
                <c:pt idx="3">
                  <c:v>2059.5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62-4A36-85B4-D73B4D742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36624"/>
        <c:axId val="1"/>
      </c:scatterChart>
      <c:valAx>
        <c:axId val="79433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3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NQ Eri - O-C Diagr.</a:t>
            </a:r>
          </a:p>
        </c:rich>
      </c:tx>
      <c:layout>
        <c:manualLayout>
          <c:xMode val="edge"/>
          <c:yMode val="edge"/>
          <c:x val="0.3413533834586466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94189017784567"/>
          <c:w val="0.8150375939849624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510.5</c:v>
                </c:pt>
                <c:pt idx="2">
                  <c:v>934</c:v>
                </c:pt>
                <c:pt idx="3">
                  <c:v>1357.5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AF-44F6-92A5-2A57CC299F3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510.5</c:v>
                </c:pt>
                <c:pt idx="2">
                  <c:v>934</c:v>
                </c:pt>
                <c:pt idx="3">
                  <c:v>1357.5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2.369999790971633E-3</c:v>
                </c:pt>
                <c:pt idx="2">
                  <c:v>-8.4000021161045879E-4</c:v>
                </c:pt>
                <c:pt idx="3">
                  <c:v>3.3499997880426235E-3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AF-44F6-92A5-2A57CC299F3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510.5</c:v>
                </c:pt>
                <c:pt idx="2">
                  <c:v>934</c:v>
                </c:pt>
                <c:pt idx="3">
                  <c:v>1357.5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AF-44F6-92A5-2A57CC299F3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510.5</c:v>
                </c:pt>
                <c:pt idx="2">
                  <c:v>934</c:v>
                </c:pt>
                <c:pt idx="3">
                  <c:v>1357.5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AF-44F6-92A5-2A57CC299F3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510.5</c:v>
                </c:pt>
                <c:pt idx="2">
                  <c:v>934</c:v>
                </c:pt>
                <c:pt idx="3">
                  <c:v>1357.5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AF-44F6-92A5-2A57CC299F3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510.5</c:v>
                </c:pt>
                <c:pt idx="2">
                  <c:v>934</c:v>
                </c:pt>
                <c:pt idx="3">
                  <c:v>1357.5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AF-44F6-92A5-2A57CC299F3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510.5</c:v>
                </c:pt>
                <c:pt idx="2">
                  <c:v>934</c:v>
                </c:pt>
                <c:pt idx="3">
                  <c:v>1357.5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AF-44F6-92A5-2A57CC299F3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510.5</c:v>
                </c:pt>
                <c:pt idx="2">
                  <c:v>934</c:v>
                </c:pt>
                <c:pt idx="3">
                  <c:v>1357.5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1.450099229249283E-4</c:v>
                </c:pt>
                <c:pt idx="1">
                  <c:v>9.2842513150698941E-4</c:v>
                </c:pt>
                <c:pt idx="2">
                  <c:v>1.5783298148262898E-3</c:v>
                </c:pt>
                <c:pt idx="3">
                  <c:v>2.2282344981455898E-3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AF-44F6-92A5-2A57CC299F33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510.5</c:v>
                </c:pt>
                <c:pt idx="2">
                  <c:v>934</c:v>
                </c:pt>
                <c:pt idx="3">
                  <c:v>1357.5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AF-44F6-92A5-2A57CC299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34824"/>
        <c:axId val="1"/>
      </c:scatterChart>
      <c:valAx>
        <c:axId val="794334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34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419947506561673"/>
          <c:w val="0.7338345864661654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6F70FCD-8A4B-1187-1786-514D668B7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9F2D61F8-F13B-846E-D945-D128884C4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54</v>
      </c>
      <c r="E1" t="s">
        <v>43</v>
      </c>
    </row>
    <row r="2" spans="1:7" ht="12.95" customHeight="1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27" t="s">
        <v>40</v>
      </c>
      <c r="D4" s="28" t="s">
        <v>40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40">
        <v>55057.899000000209</v>
      </c>
      <c r="D7" s="41" t="s">
        <v>46</v>
      </c>
    </row>
    <row r="8" spans="1:7" ht="12.95" customHeight="1" x14ac:dyDescent="0.2">
      <c r="A8" t="s">
        <v>3</v>
      </c>
      <c r="C8" s="40">
        <v>0.56809900000000002</v>
      </c>
      <c r="D8" s="41" t="s">
        <v>46</v>
      </c>
    </row>
    <row r="9" spans="1:7" ht="12.95" customHeight="1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7" ht="12.95" customHeight="1" x14ac:dyDescent="0.2">
      <c r="A11" s="9" t="s">
        <v>15</v>
      </c>
      <c r="B11" s="9"/>
      <c r="C11" s="21">
        <f ca="1">INTERCEPT(INDIRECT($G$11):G992,INDIRECT($F$11):F992)</f>
        <v>-1.4581384748752167E-3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9" t="s">
        <v>16</v>
      </c>
      <c r="B12" s="9"/>
      <c r="C12" s="21">
        <f ca="1">SLOPE(INDIRECT($G$11):G992,INDIRECT($F$11):F992)</f>
        <v>-1.0918947714375252E-5</v>
      </c>
      <c r="D12" s="2"/>
      <c r="E12" s="42" t="s">
        <v>59</v>
      </c>
      <c r="F12" s="43" t="s">
        <v>58</v>
      </c>
    </row>
    <row r="13" spans="1:7" ht="12.95" customHeight="1" x14ac:dyDescent="0.2">
      <c r="A13" s="9" t="s">
        <v>18</v>
      </c>
      <c r="B13" s="9"/>
      <c r="C13" s="2" t="s">
        <v>13</v>
      </c>
      <c r="D13" s="13"/>
      <c r="E13" s="44" t="s">
        <v>37</v>
      </c>
      <c r="F13" s="45">
        <v>1</v>
      </c>
    </row>
    <row r="14" spans="1:7" ht="12.95" customHeight="1" x14ac:dyDescent="0.2">
      <c r="A14" s="9"/>
      <c r="B14" s="9"/>
      <c r="C14" s="9"/>
      <c r="D14" s="13"/>
      <c r="E14" s="44" t="s">
        <v>32</v>
      </c>
      <c r="F14" s="46">
        <f ca="1">NOW()+15018.5+$C$9/24</f>
        <v>60520.864853703701</v>
      </c>
    </row>
    <row r="15" spans="1:7" ht="12.95" customHeight="1" x14ac:dyDescent="0.2">
      <c r="A15" s="11" t="s">
        <v>17</v>
      </c>
      <c r="B15" s="9"/>
      <c r="C15" s="12">
        <f ca="1">(C7+C11)+(C8+C12)*INT(MAX(F21:F3533))</f>
        <v>56227.590900748393</v>
      </c>
      <c r="D15" s="13"/>
      <c r="E15" s="44" t="s">
        <v>38</v>
      </c>
      <c r="F15" s="46">
        <f ca="1">ROUND(2*($F$14-$C$7)/$C$8,0)/2+$F$13</f>
        <v>9617</v>
      </c>
    </row>
    <row r="16" spans="1:7" ht="12.95" customHeight="1" x14ac:dyDescent="0.2">
      <c r="A16" s="15" t="s">
        <v>4</v>
      </c>
      <c r="B16" s="9"/>
      <c r="C16" s="16">
        <f ca="1">+C8+C12</f>
        <v>0.5680880810522857</v>
      </c>
      <c r="D16" s="13"/>
      <c r="E16" s="44" t="s">
        <v>39</v>
      </c>
      <c r="F16" s="46">
        <f ca="1">ROUND(2*($F$14-$C$15)/$C$16,0)/2+$F$13</f>
        <v>7558.5</v>
      </c>
    </row>
    <row r="17" spans="1:19" ht="12.95" customHeight="1" thickBot="1" x14ac:dyDescent="0.25">
      <c r="A17" s="13" t="s">
        <v>29</v>
      </c>
      <c r="B17" s="9"/>
      <c r="C17" s="9">
        <f>COUNT(C21:C2191)</f>
        <v>4</v>
      </c>
      <c r="D17" s="13"/>
      <c r="E17" s="47" t="s">
        <v>56</v>
      </c>
      <c r="F17" s="48">
        <f ca="1">+$C$15+$C$16*$F$16-15018.5-$C$9/24</f>
        <v>45503.380494715428</v>
      </c>
    </row>
    <row r="18" spans="1:19" ht="12.95" customHeight="1" thickTop="1" thickBot="1" x14ac:dyDescent="0.25">
      <c r="A18" s="15" t="s">
        <v>5</v>
      </c>
      <c r="B18" s="9"/>
      <c r="C18" s="18">
        <f ca="1">+C15</f>
        <v>56227.590900748393</v>
      </c>
      <c r="D18" s="19">
        <f ca="1">+C16</f>
        <v>0.5680880810522857</v>
      </c>
      <c r="E18" s="50" t="s">
        <v>57</v>
      </c>
      <c r="F18" s="49">
        <f ca="1">+($C$15+$C$16*$F$16)-($C$16/2)-15018.5-$C$9/24</f>
        <v>45503.096450674901</v>
      </c>
    </row>
    <row r="19" spans="1:19" ht="12.95" customHeight="1" thickTop="1" x14ac:dyDescent="0.2">
      <c r="A19" s="24" t="s">
        <v>35</v>
      </c>
      <c r="E19" s="25">
        <v>21</v>
      </c>
      <c r="S19">
        <f ca="1">SQRT(SUM(S21:S50)/(COUNT(S21:S50)-1))</f>
        <v>1.3964030766396917E-2</v>
      </c>
    </row>
    <row r="20" spans="1:19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60</v>
      </c>
      <c r="J20" s="6" t="s">
        <v>55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ht="12.95" customHeight="1" x14ac:dyDescent="0.2">
      <c r="A21" t="str">
        <f>D7</f>
        <v>VSX</v>
      </c>
      <c r="C21" s="7">
        <f>C$7</f>
        <v>55057.899000000209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-1.4581384748752167E-3</v>
      </c>
      <c r="Q21" s="1">
        <f>+C21-15018.5</f>
        <v>40039.399000000209</v>
      </c>
      <c r="S21">
        <f ca="1">+(O21-G21)^2</f>
        <v>2.126167811911423E-6</v>
      </c>
    </row>
    <row r="22" spans="1:19" ht="12.95" customHeight="1" x14ac:dyDescent="0.2">
      <c r="A22" s="32" t="s">
        <v>47</v>
      </c>
      <c r="B22" s="33" t="s">
        <v>48</v>
      </c>
      <c r="C22" s="32">
        <v>55497.880899999996</v>
      </c>
      <c r="D22" s="32">
        <v>6.9999999999999999E-4</v>
      </c>
      <c r="E22">
        <f>+(C22-C$7)/C$8</f>
        <v>774.4810323549026</v>
      </c>
      <c r="F22">
        <f>ROUND(2*E22,0)/2</f>
        <v>774.5</v>
      </c>
      <c r="G22">
        <f>+C22-(C$7+F22*C$8)</f>
        <v>-1.0775500210002065E-2</v>
      </c>
      <c r="I22">
        <f>+G22</f>
        <v>-1.0775500210002065E-2</v>
      </c>
      <c r="O22">
        <f ca="1">+C$11+C$12*$F22</f>
        <v>-9.9148634796588486E-3</v>
      </c>
      <c r="Q22" s="1">
        <f>+C22-15018.5</f>
        <v>40479.380899999996</v>
      </c>
      <c r="S22">
        <f ca="1">+(O22-G22)^2</f>
        <v>7.4069558161586179E-7</v>
      </c>
    </row>
    <row r="23" spans="1:19" ht="12.95" customHeight="1" x14ac:dyDescent="0.2">
      <c r="A23" s="32" t="s">
        <v>49</v>
      </c>
      <c r="B23" s="33" t="s">
        <v>50</v>
      </c>
      <c r="C23" s="32">
        <v>55862.875399999997</v>
      </c>
      <c r="D23" s="32">
        <v>5.0000000000000001E-4</v>
      </c>
      <c r="E23">
        <f>+(C23-C$7)/C$8</f>
        <v>1416.965000818147</v>
      </c>
      <c r="F23">
        <f>ROUND(2*E23,0)/2</f>
        <v>1417</v>
      </c>
      <c r="G23">
        <f>+C23-(C$7+F23*C$8)</f>
        <v>-1.9883000211848412E-2</v>
      </c>
      <c r="I23">
        <f>+G23</f>
        <v>-1.9883000211848412E-2</v>
      </c>
      <c r="O23">
        <f ca="1">+C$11+C$12*$F23</f>
        <v>-1.6930287386144948E-2</v>
      </c>
      <c r="Q23" s="1">
        <f>+C23-15018.5</f>
        <v>40844.375399999997</v>
      </c>
      <c r="S23">
        <f ca="1">+(O23-G23)^2</f>
        <v>8.7185130310737325E-6</v>
      </c>
    </row>
    <row r="24" spans="1:19" ht="12.95" customHeight="1" x14ac:dyDescent="0.2">
      <c r="A24" s="34" t="s">
        <v>51</v>
      </c>
      <c r="B24" s="35" t="s">
        <v>48</v>
      </c>
      <c r="C24" s="36">
        <v>56227.8773</v>
      </c>
      <c r="D24" s="36">
        <v>3.0000000000000003E-4</v>
      </c>
      <c r="E24">
        <f>+(C24-C$7)/C$8</f>
        <v>2059.4619951800505</v>
      </c>
      <c r="F24">
        <f>ROUND(2*E24,0)/2</f>
        <v>2059.5</v>
      </c>
      <c r="G24">
        <f>+C24-(C$7+F24*C$8)</f>
        <v>-2.1590500211459585E-2</v>
      </c>
      <c r="I24">
        <f>+G24</f>
        <v>-2.1590500211459585E-2</v>
      </c>
      <c r="O24">
        <f ca="1">+C$11+C$12*$F24</f>
        <v>-2.3945711292631046E-2</v>
      </c>
      <c r="Q24" s="1">
        <f>+C24-15018.5</f>
        <v>41209.3773</v>
      </c>
      <c r="S24">
        <f ca="1">+(O24-R24)^2</f>
        <v>5.73397089310038E-4</v>
      </c>
    </row>
    <row r="25" spans="1:19" ht="12.95" customHeight="1" x14ac:dyDescent="0.2">
      <c r="C25" s="7"/>
      <c r="D25" s="7"/>
      <c r="Q25" s="1"/>
    </row>
    <row r="26" spans="1:19" ht="12.95" customHeight="1" x14ac:dyDescent="0.2">
      <c r="C26" s="7"/>
      <c r="D26" s="7"/>
      <c r="Q26" s="1"/>
    </row>
    <row r="27" spans="1:19" ht="12.95" customHeight="1" x14ac:dyDescent="0.2">
      <c r="C27" s="7"/>
      <c r="D27" s="7"/>
      <c r="Q27" s="1"/>
    </row>
    <row r="28" spans="1:19" ht="12.95" customHeight="1" x14ac:dyDescent="0.2">
      <c r="C28" s="7"/>
      <c r="D28" s="7"/>
      <c r="Q28" s="1"/>
    </row>
    <row r="29" spans="1:19" ht="12.95" customHeight="1" x14ac:dyDescent="0.2">
      <c r="C29" s="7"/>
      <c r="D29" s="7"/>
      <c r="Q29" s="1"/>
    </row>
    <row r="30" spans="1:19" ht="12.95" customHeight="1" x14ac:dyDescent="0.2">
      <c r="C30" s="7"/>
      <c r="D30" s="7"/>
      <c r="Q30" s="1"/>
    </row>
    <row r="31" spans="1:19" ht="12.95" customHeight="1" x14ac:dyDescent="0.2">
      <c r="C31" s="7"/>
      <c r="D31" s="7"/>
      <c r="Q31" s="1"/>
    </row>
    <row r="32" spans="1:19" ht="12.95" customHeight="1" x14ac:dyDescent="0.2">
      <c r="C32" s="7"/>
      <c r="D32" s="7"/>
      <c r="Q32" s="1"/>
    </row>
    <row r="33" spans="3:17" ht="12.95" customHeight="1" x14ac:dyDescent="0.2">
      <c r="C33" s="7"/>
      <c r="D33" s="7"/>
      <c r="Q33" s="1"/>
    </row>
    <row r="34" spans="3:17" ht="12.95" customHeight="1" x14ac:dyDescent="0.2">
      <c r="C34" s="7"/>
      <c r="D34" s="7"/>
    </row>
    <row r="35" spans="3:17" ht="12.95" customHeight="1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40"/>
  <sheetViews>
    <sheetView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38" t="s">
        <v>54</v>
      </c>
      <c r="E1" t="s">
        <v>43</v>
      </c>
    </row>
    <row r="2" spans="1:19" ht="13.5" thickBot="1" x14ac:dyDescent="0.25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  <c r="R2" s="37" t="s">
        <v>52</v>
      </c>
      <c r="S2" s="37" t="s">
        <v>53</v>
      </c>
    </row>
    <row r="3" spans="1:19" ht="13.5" thickBot="1" x14ac:dyDescent="0.25">
      <c r="R3" s="7">
        <v>0.18887000000000001</v>
      </c>
      <c r="S3">
        <v>1.7472315048548471E-3</v>
      </c>
    </row>
    <row r="4" spans="1:19" ht="14.25" thickTop="1" thickBot="1" x14ac:dyDescent="0.25">
      <c r="A4" s="4" t="s">
        <v>0</v>
      </c>
      <c r="C4" s="27" t="s">
        <v>40</v>
      </c>
      <c r="D4" s="28" t="s">
        <v>40</v>
      </c>
      <c r="R4" s="7">
        <v>0.28727999999999998</v>
      </c>
      <c r="S4">
        <v>1.7517460678623466E-3</v>
      </c>
    </row>
    <row r="5" spans="1:19" ht="13.5" thickTop="1" x14ac:dyDescent="0.2">
      <c r="R5" s="7">
        <v>0.39673000000000003</v>
      </c>
      <c r="S5">
        <v>1.762831798769883E-3</v>
      </c>
    </row>
    <row r="6" spans="1:19" x14ac:dyDescent="0.2">
      <c r="A6" s="4" t="s">
        <v>1</v>
      </c>
      <c r="R6" s="7">
        <v>0.48376000000000002</v>
      </c>
      <c r="S6">
        <v>1.7531968437789888E-3</v>
      </c>
    </row>
    <row r="7" spans="1:19" x14ac:dyDescent="0.2">
      <c r="A7" t="s">
        <v>2</v>
      </c>
      <c r="C7" s="39">
        <v>55057.899000000209</v>
      </c>
      <c r="D7" s="29" t="s">
        <v>46</v>
      </c>
      <c r="R7" s="7">
        <v>0.58352000000000004</v>
      </c>
      <c r="S7">
        <v>1.778967202981949E-3</v>
      </c>
    </row>
    <row r="8" spans="1:19" x14ac:dyDescent="0.2">
      <c r="A8" t="s">
        <v>3</v>
      </c>
      <c r="C8" s="39">
        <v>0.86185999999999996</v>
      </c>
      <c r="D8" s="29" t="s">
        <v>46</v>
      </c>
      <c r="R8" s="7">
        <v>0.66063000000000005</v>
      </c>
      <c r="S8">
        <v>1.7662896373656595E-3</v>
      </c>
    </row>
    <row r="9" spans="1:19" x14ac:dyDescent="0.2">
      <c r="A9" s="8" t="s">
        <v>30</v>
      </c>
      <c r="B9" s="9"/>
      <c r="C9" s="10">
        <v>8</v>
      </c>
      <c r="D9" s="9" t="s">
        <v>31</v>
      </c>
      <c r="E9" s="9"/>
      <c r="R9" s="7">
        <v>0.79347000000000001</v>
      </c>
      <c r="S9">
        <v>1.7628317987582796E-3</v>
      </c>
    </row>
    <row r="10" spans="1:19" ht="13.5" thickBot="1" x14ac:dyDescent="0.25">
      <c r="A10" s="9"/>
      <c r="B10" s="9"/>
      <c r="C10" s="3" t="s">
        <v>19</v>
      </c>
      <c r="D10" s="3" t="s">
        <v>20</v>
      </c>
      <c r="E10" s="9"/>
      <c r="R10" s="7">
        <v>0.86185999999999996</v>
      </c>
      <c r="S10">
        <v>1.7517460678744354E-3</v>
      </c>
    </row>
    <row r="11" spans="1:19" x14ac:dyDescent="0.2">
      <c r="A11" s="9" t="s">
        <v>15</v>
      </c>
      <c r="B11" s="9"/>
      <c r="C11" s="21">
        <f ca="1">INTERCEPT(INDIRECT($G$11):G992,INDIRECT($F$11):F992)</f>
        <v>1.450099229249283E-4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19" x14ac:dyDescent="0.2">
      <c r="A12" s="9" t="s">
        <v>16</v>
      </c>
      <c r="B12" s="9"/>
      <c r="C12" s="21">
        <f ca="1">SLOPE(INDIRECT($G$11):G992,INDIRECT($F$11):F992)</f>
        <v>1.5346037386524213E-6</v>
      </c>
      <c r="D12" s="2"/>
      <c r="E12" s="9"/>
    </row>
    <row r="13" spans="1:19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19" x14ac:dyDescent="0.2">
      <c r="A14" s="9"/>
      <c r="B14" s="9"/>
      <c r="C14" s="9"/>
      <c r="D14" s="13" t="s">
        <v>32</v>
      </c>
      <c r="E14" s="14">
        <f ca="1">NOW()+15018.5+$C$9/24</f>
        <v>60521.594020370372</v>
      </c>
    </row>
    <row r="15" spans="1:19" x14ac:dyDescent="0.2">
      <c r="A15" s="11" t="s">
        <v>17</v>
      </c>
      <c r="B15" s="9"/>
      <c r="C15" s="12">
        <f ca="1">(C7+C11)+(C8+C12)*INT(MAX(F21:F3533))</f>
        <v>56227.445247467404</v>
      </c>
      <c r="D15" s="13" t="s">
        <v>38</v>
      </c>
      <c r="E15" s="14">
        <f ca="1">ROUND(2*(E14-$C$7)/$C$8,0)/2+E13</f>
        <v>6340.5</v>
      </c>
    </row>
    <row r="16" spans="1:19" x14ac:dyDescent="0.2">
      <c r="A16" s="15" t="s">
        <v>4</v>
      </c>
      <c r="B16" s="9"/>
      <c r="C16" s="16">
        <f ca="1">+C8+C12</f>
        <v>0.8618615346037386</v>
      </c>
      <c r="D16" s="13" t="s">
        <v>39</v>
      </c>
      <c r="E16" s="23">
        <f ca="1">ROUND(2*(E14-$C$15)/$C$16,0)/2+E13</f>
        <v>4983.5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45503.698871831795</v>
      </c>
    </row>
    <row r="18" spans="1:19" ht="14.25" thickTop="1" thickBot="1" x14ac:dyDescent="0.25">
      <c r="A18" s="15" t="s">
        <v>5</v>
      </c>
      <c r="B18" s="9"/>
      <c r="C18" s="18">
        <f ca="1">+C15</f>
        <v>56227.445247467404</v>
      </c>
      <c r="D18" s="19">
        <f ca="1">+C16</f>
        <v>0.8618615346037386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1.7517460678744354E-3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55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55057.899000000209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1.450099229249283E-4</v>
      </c>
      <c r="Q21" s="1">
        <f>+C21-15018.5</f>
        <v>40039.399000000209</v>
      </c>
      <c r="S21">
        <f ca="1">+(O21-G21)^2</f>
        <v>2.1027877746693648E-8</v>
      </c>
    </row>
    <row r="22" spans="1:19" x14ac:dyDescent="0.2">
      <c r="A22" s="32" t="s">
        <v>47</v>
      </c>
      <c r="B22" s="33" t="s">
        <v>48</v>
      </c>
      <c r="C22" s="32">
        <v>55497.880899999996</v>
      </c>
      <c r="D22" s="32">
        <v>6.9999999999999999E-4</v>
      </c>
      <c r="E22">
        <f>+(C22-C$7)/C$8</f>
        <v>510.50274986632155</v>
      </c>
      <c r="F22">
        <f>ROUND(2*E22,0)/2</f>
        <v>510.5</v>
      </c>
      <c r="G22">
        <f>+C22-(C$7+F22*C$8)</f>
        <v>2.369999790971633E-3</v>
      </c>
      <c r="I22">
        <f>+G22</f>
        <v>2.369999790971633E-3</v>
      </c>
      <c r="O22">
        <f ca="1">+C$11+C$12*$F22</f>
        <v>9.2842513150698941E-4</v>
      </c>
      <c r="Q22" s="1">
        <f>+C22-15018.5</f>
        <v>40479.380899999996</v>
      </c>
      <c r="S22">
        <f ca="1">+(O22-G22)^2</f>
        <v>2.0781374988106033E-6</v>
      </c>
    </row>
    <row r="23" spans="1:19" x14ac:dyDescent="0.2">
      <c r="A23" s="32" t="s">
        <v>49</v>
      </c>
      <c r="B23" s="33" t="s">
        <v>50</v>
      </c>
      <c r="C23" s="32">
        <v>55862.875399999997</v>
      </c>
      <c r="D23" s="32">
        <v>5.0000000000000001E-4</v>
      </c>
      <c r="E23">
        <f>+(C23-C$7)/C$8</f>
        <v>933.99902536350282</v>
      </c>
      <c r="F23">
        <f>ROUND(2*E23,0)/2</f>
        <v>934</v>
      </c>
      <c r="G23">
        <f>+C23-(C$7+F23*C$8)</f>
        <v>-8.4000021161045879E-4</v>
      </c>
      <c r="I23">
        <f>+G23</f>
        <v>-8.4000021161045879E-4</v>
      </c>
      <c r="O23">
        <f ca="1">+C$11+C$12*$F23</f>
        <v>1.5783298148262898E-3</v>
      </c>
      <c r="Q23" s="1">
        <f>+C23-15018.5</f>
        <v>40844.375399999997</v>
      </c>
      <c r="S23">
        <f ca="1">+(O23-G23)^2</f>
        <v>5.8483201167655646E-6</v>
      </c>
    </row>
    <row r="24" spans="1:19" x14ac:dyDescent="0.2">
      <c r="A24" s="34" t="s">
        <v>51</v>
      </c>
      <c r="B24" s="35" t="s">
        <v>48</v>
      </c>
      <c r="C24" s="36">
        <v>56227.8773</v>
      </c>
      <c r="D24" s="36">
        <v>3.0000000000000003E-4</v>
      </c>
      <c r="E24">
        <f>+(C24-C$7)/C$8</f>
        <v>1357.5038869419529</v>
      </c>
      <c r="F24">
        <f>ROUND(2*E24,0)/2</f>
        <v>1357.5</v>
      </c>
      <c r="G24">
        <f>+C24-(C$7+F24*C$8)</f>
        <v>3.3499997880426235E-3</v>
      </c>
      <c r="I24">
        <f>+G24</f>
        <v>3.3499997880426235E-3</v>
      </c>
      <c r="O24">
        <f ca="1">+C$11+C$12*$F24</f>
        <v>2.2282344981455898E-3</v>
      </c>
      <c r="Q24" s="1">
        <f>+C24-15018.5</f>
        <v>41209.3773</v>
      </c>
      <c r="S24">
        <f ca="1">+(O24-G24)^2</f>
        <v>1.2583573656177762E-6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2024-07-29T08:45:23Z</dcterms:modified>
</cp:coreProperties>
</file>