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00A7B2D-AA6B-49FA-9C8E-52134ADC8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C17" i="1"/>
  <c r="Q21" i="1"/>
  <c r="C12" i="1"/>
  <c r="F15" i="1" l="1"/>
  <c r="C16" i="1"/>
  <c r="D18" i="1" s="1"/>
  <c r="C11" i="1"/>
  <c r="O21" i="1" l="1"/>
  <c r="S21" i="1" s="1"/>
  <c r="O23" i="1"/>
  <c r="S23" i="1" s="1"/>
  <c r="C15" i="1"/>
  <c r="O22" i="1"/>
  <c r="S22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<sst xmlns="http://schemas.openxmlformats.org/spreadsheetml/2006/main" count="58" uniqueCount="54">
  <si>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</si>
  <si>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</si>
  <si>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</si>
  <si>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</si>
  <si>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</si>
  <si>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</si>
  <si>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</si>
  <si>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</si>
  <si>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</si>
  <si>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</si>
  <si>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</si>
  <si>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</si>
  <si>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</si>
  <si>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</si>
  <si>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</si>
  <si>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</si>
  <si>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</si>
  <si>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</si>
  <si>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</si>
  <si>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</si>
  <si>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</si>
  <si>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</si>
  <si>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</si>
  <si>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</si>
  <si>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</si>
  <si>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</si>
  <si>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</si>
  <si>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</si>
  <si>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</si>
  <si>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</si>
  <si>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</si>
  <si>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</si>
  <si>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</si>
  <si>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</si>
  <si>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</si>
  <si>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</si>
  <si>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</si>
  <si>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</si>
  <si>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</si>
  <si>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</si>
  <si>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G5305-0396</t>
  </si>
  <si>
    <t>G5305-0396_Eri.xls</t>
  </si>
  <si>
    <t>ED</t>
  </si>
  <si>
    <t>Eri</t>
  </si>
  <si>
    <t>VSX</t>
  </si>
  <si>
    <t>IBVS 5871</t>
  </si>
  <si>
    <t>I</t>
  </si>
  <si>
    <t>IBVS 5960</t>
  </si>
  <si>
    <t>NS Eri / GSC 5305-0396</t>
  </si>
  <si>
    <t>CCD</t>
  </si>
  <si>
    <t xml:space="preserve">Mag </t>
  </si>
  <si>
    <t>Next ToM-P</t>
  </si>
  <si>
    <t>Next ToM-S</t>
  </si>
  <si>
    <t>11.60-12.80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</si>
</sst>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F-401E-B11A-48EFB76529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-5.609999832813628E-3</c:v>
                </c:pt>
                <c:pt idx="2">
                  <c:v>-2.3773999833792914E-2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5F-401E-B11A-48EFB76529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5F-401E-B11A-48EFB76529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5F-401E-B11A-48EFB76529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5F-401E-B11A-48EFB76529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5F-401E-B11A-48EFB76529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5F-401E-B11A-48EFB76529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2.060118801261732E-3</c:v>
                </c:pt>
                <c:pt idx="1">
                  <c:v>-1.2698946368287365E-2</c:v>
                </c:pt>
                <c:pt idx="2">
                  <c:v>-1.874517209958091E-2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5F-401E-B11A-48EFB765297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</c:v>
                </c:pt>
                <c:pt idx="2">
                  <c:v>1459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5F-401E-B11A-48EFB765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797880"/>
        <c:axId val="1"/>
      </c:scatterChart>
      <c:valAx>
        <c:axId val="922797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797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2393BC-120A-0E15-4129-D3C6B6F34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1" t="s">
        <v>48</v>
      </c>
      <c r="E1" t="s">
        <v>41</v>
      </c>
    </row>
    <row r="2" spans="1:7" x14ac:dyDescent="0.2">
      <c r="A2" t="s">
        <v>23</v>
      </c>
      <c r="B2" t="s">
        <v>42</v>
      </c>
      <c r="C2" s="27" t="s">
        <v>39</v>
      </c>
      <c r="D2" s="2" t="s">
        <v>43</v>
      </c>
      <c r="E2" s="28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38</v>
      </c>
      <c r="D4" s="25" t="s">
        <v>38</v>
      </c>
    </row>
    <row r="6" spans="1:7" x14ac:dyDescent="0.2">
      <c r="A6" s="4" t="s">
        <v>1</v>
      </c>
    </row>
    <row r="7" spans="1:7" x14ac:dyDescent="0.2">
      <c r="A7" t="s">
        <v>2</v>
      </c>
      <c r="C7" s="32">
        <v>53047.569999999832</v>
      </c>
      <c r="D7" s="26" t="s">
        <v>44</v>
      </c>
    </row>
    <row r="8" spans="1:7" x14ac:dyDescent="0.2">
      <c r="A8" t="s">
        <v>3</v>
      </c>
      <c r="C8" s="32">
        <v>1.721786</v>
      </c>
      <c r="D8" s="26" t="s">
        <v>44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2.060118801261732E-3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-1.4259966347390432E-5</v>
      </c>
      <c r="D12" s="2"/>
      <c r="E12" s="33" t="s">
        <v>50</v>
      </c>
      <c r="F12" s="34" t="s">
        <v>53</v>
      </c>
    </row>
    <row r="13" spans="1:7" x14ac:dyDescent="0.2">
      <c r="A13" s="9" t="s">
        <v>18</v>
      </c>
      <c r="B13" s="9"/>
      <c r="C13" s="2" t="s">
        <v>13</v>
      </c>
      <c r="D13" s="13"/>
      <c r="E13" s="35" t="s">
        <v>35</v>
      </c>
      <c r="F13" s="36">
        <v>1</v>
      </c>
    </row>
    <row r="14" spans="1:7" x14ac:dyDescent="0.2">
      <c r="A14" s="9"/>
      <c r="B14" s="9"/>
      <c r="C14" s="9"/>
      <c r="D14" s="13"/>
      <c r="E14" s="35" t="s">
        <v>32</v>
      </c>
      <c r="F14" s="37">
        <f ca="1">NOW()+15018.5+$C$9/24</f>
        <v>60520.865131365739</v>
      </c>
    </row>
    <row r="15" spans="1:7" x14ac:dyDescent="0.2">
      <c r="A15" s="11" t="s">
        <v>17</v>
      </c>
      <c r="B15" s="9"/>
      <c r="C15" s="12">
        <f ca="1">(C7+C11)+(C8+C12)*INT(MAX(F21:F3533))</f>
        <v>55559.637028827732</v>
      </c>
      <c r="D15" s="13"/>
      <c r="E15" s="35" t="s">
        <v>36</v>
      </c>
      <c r="F15" s="37">
        <f ca="1">ROUND(2*($F$14-$C$7)/$C$8,0)/2+$F$13</f>
        <v>4341.5</v>
      </c>
    </row>
    <row r="16" spans="1:7" x14ac:dyDescent="0.2">
      <c r="A16" s="14" t="s">
        <v>4</v>
      </c>
      <c r="B16" s="9"/>
      <c r="C16" s="15">
        <f ca="1">+C8+C12</f>
        <v>1.7217717400336527</v>
      </c>
      <c r="D16" s="13"/>
      <c r="E16" s="35" t="s">
        <v>37</v>
      </c>
      <c r="F16" s="37">
        <f ca="1">ROUND(2*($F$14-$C$15)/$C$16,0)/2+$F$13</f>
        <v>2882.5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/>
      <c r="E17" s="38" t="s">
        <v>51</v>
      </c>
      <c r="F17" s="39">
        <f ca="1">+$C$15+$C$16*$F$16-15018.5-$C$9/24</f>
        <v>45504.539902808072</v>
      </c>
    </row>
    <row r="18" spans="1:19" ht="14.25" thickTop="1" thickBot="1" x14ac:dyDescent="0.25">
      <c r="A18" s="14" t="s">
        <v>5</v>
      </c>
      <c r="B18" s="9"/>
      <c r="C18" s="16">
        <f ca="1">+C15</f>
        <v>55559.637028827732</v>
      </c>
      <c r="D18" s="17">
        <f ca="1">+C16</f>
        <v>1.7217717400336527</v>
      </c>
      <c r="E18" s="41" t="s">
        <v>52</v>
      </c>
      <c r="F18" s="40">
        <f ca="1">+($C$15+$C$16*$F$16)-($C$16/2)-15018.5-$C$9/24</f>
        <v>45503.679016938055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6.3161048454920777E-3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34</v>
      </c>
    </row>
    <row r="21" spans="1:19" x14ac:dyDescent="0.2">
      <c r="A21" t="str">
        <f>D7</f>
        <v>VSX</v>
      </c>
      <c r="C21" s="7">
        <f>C$7</f>
        <v>53047.569999999832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2.060118801261732E-3</v>
      </c>
      <c r="Q21" s="1">
        <f>+C21-15018.5</f>
        <v>38029.069999999832</v>
      </c>
      <c r="S21">
        <f ca="1">+(O21-G21)^2</f>
        <v>4.2440894753120755E-6</v>
      </c>
    </row>
    <row r="22" spans="1:19" x14ac:dyDescent="0.2">
      <c r="A22" s="29" t="s">
        <v>45</v>
      </c>
      <c r="B22" s="30" t="s">
        <v>46</v>
      </c>
      <c r="C22" s="29">
        <v>54829.6129</v>
      </c>
      <c r="D22" s="29">
        <v>4.0000000000000002E-4</v>
      </c>
      <c r="E22">
        <f>+(C22-C$7)/C$8</f>
        <v>1034.9967417554608</v>
      </c>
      <c r="F22">
        <f>ROUND(2*E22,0)/2</f>
        <v>1035</v>
      </c>
      <c r="G22">
        <f>+C22-(C$7+F22*C$8)</f>
        <v>-5.609999832813628E-3</v>
      </c>
      <c r="I22">
        <f>+G22</f>
        <v>-5.609999832813628E-3</v>
      </c>
      <c r="O22">
        <f ca="1">+C$11+C$12*$F22</f>
        <v>-1.2698946368287365E-2</v>
      </c>
      <c r="Q22" s="1">
        <f>+C22-15018.5</f>
        <v>39811.1129</v>
      </c>
      <c r="S22">
        <f ca="1">+(O22-G22)^2</f>
        <v>5.0253162982805096E-5</v>
      </c>
    </row>
    <row r="23" spans="1:19" x14ac:dyDescent="0.2">
      <c r="A23" s="29" t="s">
        <v>47</v>
      </c>
      <c r="B23" s="30" t="s">
        <v>46</v>
      </c>
      <c r="C23" s="29">
        <v>55559.631999999998</v>
      </c>
      <c r="D23" s="29">
        <v>4.0000000000000002E-4</v>
      </c>
      <c r="E23">
        <f>+(C23-C$7)/C$8</f>
        <v>1458.9861922446607</v>
      </c>
      <c r="F23">
        <f>ROUND(2*E23,0)/2</f>
        <v>1459</v>
      </c>
      <c r="G23">
        <f>+C23-(C$7+F23*C$8)</f>
        <v>-2.3773999833792914E-2</v>
      </c>
      <c r="I23">
        <f>+G23</f>
        <v>-2.3773999833792914E-2</v>
      </c>
      <c r="O23">
        <f ca="1">+C$11+C$12*$F23</f>
        <v>-1.874517209958091E-2</v>
      </c>
      <c r="Q23" s="1">
        <f>+C23-15018.5</f>
        <v>40541.131999999998</v>
      </c>
      <c r="S23">
        <f ca="1">+(O23-G23)^2</f>
        <v>2.528910838037983E-5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2024-07-29T08:45:47Z</dcterms:modified>
</cp:coreProperties>
</file>