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A0CD8BE-94DC-4E10-A9A4-7FA066AF06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K22" i="1"/>
  <c r="E23" i="1"/>
  <c r="F23" i="1"/>
  <c r="G23" i="1"/>
  <c r="K23" i="1"/>
  <c r="Q22" i="1"/>
  <c r="Q23" i="1"/>
  <c r="D9" i="1"/>
  <c r="E21" i="1"/>
  <c r="F21" i="1"/>
  <c r="G21" i="1"/>
  <c r="I21" i="1"/>
  <c r="E9" i="1"/>
  <c r="C17" i="1"/>
  <c r="Q21" i="1"/>
  <c r="C11" i="1"/>
  <c r="C12" i="1"/>
  <c r="F15" i="1" l="1"/>
  <c r="C16" i="1"/>
  <c r="D18" i="1" s="1"/>
  <c r="C15" i="1"/>
  <c r="O22" i="1"/>
  <c r="O21" i="1"/>
  <c r="O23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<sst xmlns="http://schemas.openxmlformats.org/spreadsheetml/2006/main" count="62" uniqueCount="56">
  <si>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</si>
  <si>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</si>
  <si>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</si>
  <si>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</si>
  <si>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</si>
  <si>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</si>
  <si>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</si>
  <si>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</si>
  <si>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</si>
  <si>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</si>
  <si>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</si>
  <si>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</si>
  <si>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</si>
  <si>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</si>
  <si>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</si>
  <si>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</si>
  <si>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</si>
  <si>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</si>
  <si>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</si>
  <si>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</si>
  <si>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</si>
  <si>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</si>
  <si>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</si>
  <si>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</si>
  <si>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</si>
  <si>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</si>
  <si>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</si>
  <si>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</si>
  <si>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</si>
  <si>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</si>
  <si>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</si>
  <si>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</si>
  <si>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</si>
  <si>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</si>
  <si>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</si>
  <si>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</si>
  <si>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</si>
  <si>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</si>
  <si>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</si>
  <si>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</si>
  <si>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NU Eri</t>
  </si>
  <si>
    <t>2019G</t>
  </si>
  <si>
    <t>G4725-0661</t>
  </si>
  <si>
    <t>EB</t>
  </si>
  <si>
    <t>pr_4</t>
  </si>
  <si>
    <t>NU Eri / GSC 4725-0661</t>
  </si>
  <si>
    <t>2019-07-12</t>
  </si>
  <si>
    <t>GCVS</t>
  </si>
  <si>
    <t>II</t>
  </si>
  <si>
    <t>IBVS 5960</t>
  </si>
  <si>
    <t>IBVS 6011</t>
  </si>
  <si>
    <t xml:space="preserve">Mag </t>
  </si>
  <si>
    <t>Next ToM-P</t>
  </si>
  <si>
    <t>Next ToM-S</t>
  </si>
  <si>
    <t>VSX</t>
  </si>
  <si>
    <t>12.70-13.30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</si>
</sst>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18" fillId="0" borderId="0" xfId="0" quotePrefix="1" applyFont="1">
      <alignment vertical="top"/>
    </xf>
    <xf numFmtId="0" fontId="33" fillId="0" borderId="0" xfId="41" applyFont="1" applyAlignment="1">
      <alignment horizontal="left" vertical="center"/>
    </xf>
    <xf numFmtId="0" fontId="33" fillId="0" borderId="0" xfId="41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0" fillId="26" borderId="12" xfId="0" applyFill="1" applyBorder="1" applyAlignment="1">
      <alignment horizontal="right" vertical="center"/>
    </xf>
    <xf numFmtId="0" fontId="16" fillId="26" borderId="13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right" vertical="center"/>
    </xf>
    <xf numFmtId="0" fontId="37" fillId="0" borderId="15" xfId="0" applyFont="1" applyBorder="1" applyAlignment="1">
      <alignment horizontal="right" vertical="center"/>
    </xf>
    <xf numFmtId="0" fontId="36" fillId="0" borderId="15" xfId="0" applyFont="1" applyBorder="1" applyAlignment="1">
      <alignment horizontal="right" vertical="center"/>
    </xf>
    <xf numFmtId="22" fontId="36" fillId="0" borderId="15" xfId="0" applyNumberFormat="1" applyFont="1" applyBorder="1" applyAlignment="1">
      <alignment horizontal="right" vertical="center"/>
    </xf>
    <xf numFmtId="22" fontId="36" fillId="0" borderId="16" xfId="0" applyNumberFormat="1" applyFont="1" applyBorder="1" applyAlignment="1">
      <alignment horizontal="right" vertical="center"/>
    </xf>
    <xf numFmtId="0" fontId="35" fillId="0" borderId="17" xfId="0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NU Eri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2398.5</c:v>
                </c:pt>
                <c:pt idx="2">
                  <c:v>2884.5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58-4399-883B-59015C9510F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2398.5</c:v>
                </c:pt>
                <c:pt idx="2">
                  <c:v>2884.5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58-4399-883B-59015C9510F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2398.5</c:v>
                </c:pt>
                <c:pt idx="2">
                  <c:v>2884.5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58-4399-883B-59015C9510F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2398.5</c:v>
                </c:pt>
                <c:pt idx="2">
                  <c:v>2884.5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-2.7139499950862955E-2</c:v>
                </c:pt>
                <c:pt idx="2">
                  <c:v>-3.8641499952063896E-2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58-4399-883B-59015C9510F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2398.5</c:v>
                </c:pt>
                <c:pt idx="2">
                  <c:v>2884.5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58-4399-883B-59015C9510F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2398.5</c:v>
                </c:pt>
                <c:pt idx="2">
                  <c:v>2884.5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58-4399-883B-59015C9510F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2398.5</c:v>
                </c:pt>
                <c:pt idx="2">
                  <c:v>2884.5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58-4399-883B-59015C9510F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2398.5</c:v>
                </c:pt>
                <c:pt idx="2">
                  <c:v>2884.5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4.8900279443427064E-4</c:v>
                </c:pt>
                <c:pt idx="1">
                  <c:v>-3.0041822091903387E-2</c:v>
                </c:pt>
                <c:pt idx="2">
                  <c:v>-3.6228180605457731E-2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58-4399-883B-59015C9510F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2398.5</c:v>
                </c:pt>
                <c:pt idx="2">
                  <c:v>2884.5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458-4399-883B-59015C951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637392"/>
        <c:axId val="1"/>
      </c:scatterChart>
      <c:valAx>
        <c:axId val="730637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637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40936A-AA3A-85ED-DE33-99ADE3E28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45</v>
      </c>
      <c r="F1" s="31" t="s">
        <v>40</v>
      </c>
      <c r="G1" s="29" t="s">
        <v>41</v>
      </c>
      <c r="H1" s="30"/>
      <c r="I1" s="32" t="s">
        <v>42</v>
      </c>
      <c r="J1" s="33" t="s">
        <v>40</v>
      </c>
      <c r="K1" s="34">
        <v>4.0758999999999999</v>
      </c>
      <c r="L1" s="34">
        <v>0</v>
      </c>
      <c r="M1" s="35">
        <v>53707.672999999952</v>
      </c>
      <c r="N1" s="35">
        <v>0.74890699999999999</v>
      </c>
      <c r="O1" s="34" t="s">
        <v>43</v>
      </c>
      <c r="P1" s="34">
        <v>12.77</v>
      </c>
      <c r="Q1" s="34">
        <v>13.37</v>
      </c>
      <c r="R1" s="36" t="s">
        <v>44</v>
      </c>
      <c r="S1" s="37" t="s">
        <v>13</v>
      </c>
    </row>
    <row r="2" spans="1:19" x14ac:dyDescent="0.2">
      <c r="A2" t="s">
        <v>23</v>
      </c>
      <c r="B2" t="s">
        <v>43</v>
      </c>
      <c r="C2" s="28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5">
        <v>53707.672999999952</v>
      </c>
      <c r="D4" s="26">
        <v>0.74890699999999999</v>
      </c>
      <c r="E4" s="38" t="s">
        <v>46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2">
        <v>53707.672999999952</v>
      </c>
      <c r="D7" s="43" t="s">
        <v>54</v>
      </c>
    </row>
    <row r="8" spans="1:19" x14ac:dyDescent="0.2">
      <c r="A8" t="s">
        <v>3</v>
      </c>
      <c r="C8" s="42">
        <v>0.74890699999999999</v>
      </c>
      <c r="D8" s="43" t="s">
        <v>54</v>
      </c>
    </row>
    <row r="9" spans="1:19" x14ac:dyDescent="0.2">
      <c r="A9" s="23" t="s">
        <v>31</v>
      </c>
      <c r="C9" s="41">
        <v>21</v>
      </c>
      <c r="D9" s="21" t="str">
        <f>"F"&amp;C9</f>
        <v>F21</v>
      </c>
      <c r="E9" s="22" t="str">
        <f>"G"&amp;C9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0">
        <f ca="1">INTERCEPT(INDIRECT($E$9):G992,INDIRECT($D$9):F992)</f>
        <v>4.8900279443427064E-4</v>
      </c>
      <c r="D11" s="3"/>
      <c r="E11" s="10"/>
    </row>
    <row r="12" spans="1:19" x14ac:dyDescent="0.2">
      <c r="A12" s="10" t="s">
        <v>16</v>
      </c>
      <c r="B12" s="10"/>
      <c r="C12" s="20">
        <f ca="1">SLOPE(INDIRECT($E$9):G992,INDIRECT($D$9):F992)</f>
        <v>-1.2729132743938986E-5</v>
      </c>
      <c r="D12" s="3"/>
      <c r="E12" s="44" t="s">
        <v>51</v>
      </c>
      <c r="F12" s="45" t="s">
        <v>55</v>
      </c>
    </row>
    <row r="13" spans="1:19" x14ac:dyDescent="0.2">
      <c r="A13" s="10" t="s">
        <v>18</v>
      </c>
      <c r="B13" s="10"/>
      <c r="C13" s="3" t="s">
        <v>13</v>
      </c>
      <c r="E13" s="46" t="s">
        <v>33</v>
      </c>
      <c r="F13" s="47">
        <v>1</v>
      </c>
    </row>
    <row r="14" spans="1:19" x14ac:dyDescent="0.2">
      <c r="A14" s="10"/>
      <c r="B14" s="10"/>
      <c r="C14" s="10"/>
      <c r="E14" s="46" t="s">
        <v>30</v>
      </c>
      <c r="F14" s="48">
        <f ca="1">NOW()+15018.5+$C$5/24</f>
        <v>60520.865594791663</v>
      </c>
    </row>
    <row r="15" spans="1:19" x14ac:dyDescent="0.2">
      <c r="A15" s="12" t="s">
        <v>17</v>
      </c>
      <c r="B15" s="10"/>
      <c r="C15" s="13">
        <f ca="1">(C7+C11)+(C8+C12)*INT(MAX(F21:F3533))</f>
        <v>55867.484566183906</v>
      </c>
      <c r="E15" s="46" t="s">
        <v>34</v>
      </c>
      <c r="F15" s="48">
        <f ca="1">ROUND(2*($F$14-$C$7)/$C$8,0)/2+$F$13</f>
        <v>9098.5</v>
      </c>
    </row>
    <row r="16" spans="1:19" x14ac:dyDescent="0.2">
      <c r="A16" s="15" t="s">
        <v>4</v>
      </c>
      <c r="B16" s="10"/>
      <c r="C16" s="16">
        <f ca="1">+C8+C12</f>
        <v>0.74889427086725602</v>
      </c>
      <c r="E16" s="46" t="s">
        <v>35</v>
      </c>
      <c r="F16" s="48">
        <f ca="1">ROUND(2*($F$14-$C$15)/$C$16,0)/2+$F$13</f>
        <v>6214.5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46" t="s">
        <v>52</v>
      </c>
      <c r="F17" s="49">
        <f ca="1">+$C$15+$C$16*$F$16-15018.5-$C$5/24</f>
        <v>45503.383845821802</v>
      </c>
    </row>
    <row r="18" spans="1:21" ht="14.25" thickTop="1" thickBot="1" x14ac:dyDescent="0.25">
      <c r="A18" s="15" t="s">
        <v>5</v>
      </c>
      <c r="B18" s="10"/>
      <c r="C18" s="18">
        <f ca="1">+C15</f>
        <v>55867.484566183906</v>
      </c>
      <c r="D18" s="19">
        <f ca="1">+C16</f>
        <v>0.74889427086725602</v>
      </c>
      <c r="E18" s="51" t="s">
        <v>53</v>
      </c>
      <c r="F18" s="50">
        <f ca="1">+($C$15+$C$16*$F$16)-($C$16/2)-15018.5-$C$5/24</f>
        <v>45503.009398686365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x14ac:dyDescent="0.2">
      <c r="A21" s="27" t="s">
        <v>47</v>
      </c>
      <c r="C21" s="8">
        <v>53707.672999999952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4.8900279443427064E-4</v>
      </c>
      <c r="Q21" s="2">
        <f>+C21-15018.5</f>
        <v>38689.172999999952</v>
      </c>
    </row>
    <row r="22" spans="1:21" x14ac:dyDescent="0.2">
      <c r="A22" s="39" t="s">
        <v>49</v>
      </c>
      <c r="B22" s="40" t="s">
        <v>48</v>
      </c>
      <c r="C22" s="39">
        <v>55503.899299999997</v>
      </c>
      <c r="D22" s="39">
        <v>8.9999999999999998E-4</v>
      </c>
      <c r="E22">
        <f>+(C22-C$7)/C$8</f>
        <v>2398.4637611880325</v>
      </c>
      <c r="F22">
        <f>ROUND(2*E22,0)/2</f>
        <v>2398.5</v>
      </c>
      <c r="G22">
        <f>+C22-(C$7+F22*C$8)</f>
        <v>-2.7139499950862955E-2</v>
      </c>
      <c r="K22">
        <f>+G22</f>
        <v>-2.7139499950862955E-2</v>
      </c>
      <c r="O22">
        <f ca="1">+C$11+C$12*$F22</f>
        <v>-3.0041822091903387E-2</v>
      </c>
      <c r="Q22" s="2">
        <f>+C22-15018.5</f>
        <v>40485.399299999997</v>
      </c>
    </row>
    <row r="23" spans="1:21" x14ac:dyDescent="0.2">
      <c r="A23" s="39" t="s">
        <v>50</v>
      </c>
      <c r="B23" s="40" t="s">
        <v>48</v>
      </c>
      <c r="C23" s="39">
        <v>55867.856599999999</v>
      </c>
      <c r="D23" s="39">
        <v>8.0000000000000004E-4</v>
      </c>
      <c r="E23">
        <f>+(C23-C$7)/C$8</f>
        <v>2884.4484028057523</v>
      </c>
      <c r="F23">
        <f>ROUND(2*E23,0)/2</f>
        <v>2884.5</v>
      </c>
      <c r="G23">
        <f>+C23-(C$7+F23*C$8)</f>
        <v>-3.8641499952063896E-2</v>
      </c>
      <c r="K23">
        <f>+G23</f>
        <v>-3.8641499952063896E-2</v>
      </c>
      <c r="O23">
        <f ca="1">+C$11+C$12*$F23</f>
        <v>-3.6228180605457731E-2</v>
      </c>
      <c r="Q23" s="2">
        <f>+C23-15018.5</f>
        <v>40849.356599999999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2024-07-29T08:46:27Z</dcterms:modified>
</cp:coreProperties>
</file>