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1A5C3D5-4139-4507-BD81-7D44F27277C5}" xr6:coauthVersionLast="47" xr6:coauthVersionMax="47" xr10:uidLastSave="{00000000-0000-0000-0000-000000000000}"/>
  <bookViews>
    <workbookView xWindow="1470" yWindow="1470" windowWidth="13185" windowHeight="1332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Q54" i="1"/>
  <c r="Q55" i="1"/>
  <c r="Q56" i="1"/>
  <c r="Q57" i="1"/>
  <c r="Q47" i="1"/>
  <c r="D9" i="1"/>
  <c r="C9" i="1"/>
  <c r="Q45" i="1"/>
  <c r="Q44" i="1"/>
  <c r="Q43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G20" i="2"/>
  <c r="C20" i="2"/>
  <c r="G19" i="2"/>
  <c r="C19" i="2"/>
  <c r="G18" i="2"/>
  <c r="C18" i="2"/>
  <c r="G17" i="2"/>
  <c r="C17" i="2"/>
  <c r="G16" i="2"/>
  <c r="C16" i="2"/>
  <c r="G15" i="2"/>
  <c r="C15" i="2"/>
  <c r="G42" i="2"/>
  <c r="C42" i="2"/>
  <c r="G14" i="2"/>
  <c r="C14" i="2"/>
  <c r="G41" i="2"/>
  <c r="C41" i="2"/>
  <c r="G40" i="2"/>
  <c r="C40" i="2"/>
  <c r="G39" i="2"/>
  <c r="C39" i="2"/>
  <c r="G13" i="2"/>
  <c r="C13" i="2"/>
  <c r="G12" i="2"/>
  <c r="C12" i="2"/>
  <c r="G11" i="2"/>
  <c r="C11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42" i="2"/>
  <c r="B42" i="2"/>
  <c r="D42" i="2"/>
  <c r="A42" i="2"/>
  <c r="H14" i="2"/>
  <c r="B14" i="2"/>
  <c r="D14" i="2"/>
  <c r="A14" i="2"/>
  <c r="H41" i="2"/>
  <c r="B41" i="2"/>
  <c r="D41" i="2"/>
  <c r="A41" i="2"/>
  <c r="H40" i="2"/>
  <c r="B40" i="2"/>
  <c r="D40" i="2"/>
  <c r="A40" i="2"/>
  <c r="H39" i="2"/>
  <c r="B39" i="2"/>
  <c r="D39" i="2"/>
  <c r="A39" i="2"/>
  <c r="H13" i="2"/>
  <c r="B13" i="2"/>
  <c r="D13" i="2"/>
  <c r="A13" i="2"/>
  <c r="H12" i="2"/>
  <c r="B12" i="2"/>
  <c r="D12" i="2"/>
  <c r="A12" i="2"/>
  <c r="H11" i="2"/>
  <c r="B11" i="2"/>
  <c r="D11" i="2"/>
  <c r="A11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Q49" i="1"/>
  <c r="Q50" i="1"/>
  <c r="Q51" i="1"/>
  <c r="Q52" i="1"/>
  <c r="Q53" i="1"/>
  <c r="Q48" i="1"/>
  <c r="C17" i="1"/>
  <c r="Q46" i="1"/>
  <c r="Q42" i="1"/>
  <c r="Q40" i="1"/>
  <c r="Q41" i="1"/>
  <c r="C8" i="1"/>
  <c r="C7" i="1"/>
  <c r="E54" i="1"/>
  <c r="F54" i="1"/>
  <c r="Q28" i="1"/>
  <c r="E36" i="2"/>
  <c r="E24" i="2"/>
  <c r="E16" i="2"/>
  <c r="G34" i="1"/>
  <c r="I34" i="1"/>
  <c r="E32" i="1"/>
  <c r="F32" i="1"/>
  <c r="E23" i="1"/>
  <c r="F23" i="1"/>
  <c r="E49" i="1"/>
  <c r="F49" i="1"/>
  <c r="E56" i="1"/>
  <c r="F56" i="1"/>
  <c r="G56" i="1"/>
  <c r="K56" i="1"/>
  <c r="G39" i="1"/>
  <c r="I39" i="1"/>
  <c r="E37" i="1"/>
  <c r="F37" i="1"/>
  <c r="E29" i="1"/>
  <c r="F29" i="1"/>
  <c r="E40" i="1"/>
  <c r="F40" i="1"/>
  <c r="E46" i="1"/>
  <c r="F46" i="1"/>
  <c r="E34" i="1"/>
  <c r="F34" i="1"/>
  <c r="E25" i="1"/>
  <c r="F25" i="1"/>
  <c r="G25" i="1"/>
  <c r="I25" i="1"/>
  <c r="E51" i="1"/>
  <c r="F51" i="1"/>
  <c r="G51" i="1"/>
  <c r="K51" i="1"/>
  <c r="G45" i="1"/>
  <c r="I45" i="1"/>
  <c r="E43" i="1"/>
  <c r="F43" i="1"/>
  <c r="G43" i="1"/>
  <c r="I43" i="1"/>
  <c r="E39" i="1"/>
  <c r="F39" i="1"/>
  <c r="E31" i="1"/>
  <c r="F31" i="1"/>
  <c r="G31" i="1"/>
  <c r="I31" i="1"/>
  <c r="E22" i="1"/>
  <c r="F22" i="1"/>
  <c r="G22" i="1"/>
  <c r="I22" i="1"/>
  <c r="G50" i="1"/>
  <c r="K50" i="1"/>
  <c r="E48" i="1"/>
  <c r="F48" i="1"/>
  <c r="G48" i="1"/>
  <c r="K48" i="1"/>
  <c r="E55" i="1"/>
  <c r="F55" i="1"/>
  <c r="G55" i="1"/>
  <c r="K55" i="1"/>
  <c r="E28" i="1"/>
  <c r="F28" i="1"/>
  <c r="E36" i="1"/>
  <c r="F36" i="1"/>
  <c r="G36" i="1"/>
  <c r="I36" i="1"/>
  <c r="G30" i="1"/>
  <c r="I30" i="1"/>
  <c r="E27" i="1"/>
  <c r="F27" i="1"/>
  <c r="G27" i="1"/>
  <c r="I27" i="1"/>
  <c r="E53" i="1"/>
  <c r="F53" i="1"/>
  <c r="G53" i="1"/>
  <c r="K53" i="1"/>
  <c r="E45" i="1"/>
  <c r="F45" i="1"/>
  <c r="G35" i="1"/>
  <c r="I35" i="1"/>
  <c r="E33" i="1"/>
  <c r="F33" i="1"/>
  <c r="G33" i="1"/>
  <c r="I33" i="1"/>
  <c r="G26" i="1"/>
  <c r="I26" i="1"/>
  <c r="E24" i="1"/>
  <c r="F24" i="1"/>
  <c r="G24" i="1"/>
  <c r="I24" i="1"/>
  <c r="E50" i="1"/>
  <c r="F50" i="1"/>
  <c r="E42" i="1"/>
  <c r="F42" i="1"/>
  <c r="G42" i="1"/>
  <c r="E57" i="1"/>
  <c r="F57" i="1"/>
  <c r="G57" i="1"/>
  <c r="K57" i="1"/>
  <c r="G54" i="1"/>
  <c r="K54" i="1"/>
  <c r="G40" i="1"/>
  <c r="I40" i="1"/>
  <c r="E38" i="1"/>
  <c r="F38" i="1"/>
  <c r="G38" i="1"/>
  <c r="I38" i="1"/>
  <c r="G32" i="1"/>
  <c r="I32" i="1"/>
  <c r="E30" i="1"/>
  <c r="F30" i="1"/>
  <c r="G23" i="1"/>
  <c r="I23" i="1"/>
  <c r="E21" i="1"/>
  <c r="F21" i="1"/>
  <c r="G21" i="1"/>
  <c r="I21" i="1"/>
  <c r="E41" i="1"/>
  <c r="F41" i="1"/>
  <c r="G41" i="1"/>
  <c r="I41" i="1"/>
  <c r="G49" i="1"/>
  <c r="K49" i="1"/>
  <c r="E47" i="1"/>
  <c r="F47" i="1"/>
  <c r="G47" i="1"/>
  <c r="I47" i="1"/>
  <c r="G37" i="1"/>
  <c r="I37" i="1"/>
  <c r="E35" i="1"/>
  <c r="F35" i="1"/>
  <c r="G29" i="1"/>
  <c r="I29" i="1"/>
  <c r="E26" i="1"/>
  <c r="F26" i="1"/>
  <c r="E52" i="1"/>
  <c r="F52" i="1"/>
  <c r="G52" i="1"/>
  <c r="K52" i="1"/>
  <c r="G46" i="1"/>
  <c r="K46" i="1"/>
  <c r="E44" i="1"/>
  <c r="F44" i="1"/>
  <c r="G44" i="1"/>
  <c r="I44" i="1"/>
  <c r="K42" i="1"/>
  <c r="E20" i="2"/>
  <c r="E19" i="2"/>
  <c r="E12" i="2"/>
  <c r="E13" i="2"/>
  <c r="E42" i="2"/>
  <c r="E22" i="2"/>
  <c r="E17" i="2"/>
  <c r="E15" i="2"/>
  <c r="E11" i="2"/>
  <c r="E18" i="2"/>
  <c r="E40" i="2"/>
  <c r="E33" i="2"/>
  <c r="E32" i="2"/>
  <c r="E41" i="2"/>
  <c r="E37" i="2"/>
  <c r="E27" i="2"/>
  <c r="E26" i="2"/>
  <c r="E38" i="2"/>
  <c r="E39" i="2"/>
  <c r="E21" i="2"/>
  <c r="E25" i="2"/>
  <c r="E31" i="2"/>
  <c r="E30" i="2"/>
  <c r="E14" i="2"/>
  <c r="E35" i="2"/>
  <c r="E23" i="2"/>
  <c r="E34" i="2"/>
  <c r="E28" i="2"/>
  <c r="E29" i="2"/>
  <c r="C11" i="1"/>
  <c r="C12" i="1"/>
  <c r="F15" i="1" l="1"/>
  <c r="O52" i="1"/>
  <c r="O54" i="1"/>
  <c r="O41" i="1"/>
  <c r="O45" i="1"/>
  <c r="O57" i="1"/>
  <c r="O43" i="1"/>
  <c r="O51" i="1"/>
  <c r="O50" i="1"/>
  <c r="O42" i="1"/>
  <c r="O48" i="1"/>
  <c r="O46" i="1"/>
  <c r="C15" i="1"/>
  <c r="O40" i="1"/>
  <c r="O44" i="1"/>
  <c r="O53" i="1"/>
  <c r="O55" i="1"/>
  <c r="O49" i="1"/>
  <c r="O56" i="1"/>
  <c r="O47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<sst xmlns="http://schemas.openxmlformats.org/spreadsheetml/2006/main" count="398" uniqueCount="197">
  <si>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</si>
  <si>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</si>
  <si>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</si>
  <si>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</si>
  <si>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</si>
  <si>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</si>
  <si>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</si>
  <si>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</si>
  <si>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</si>
  <si>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</si>
  <si>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</si>
  <si>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</si>
  <si>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</si>
  <si>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</si>
  <si>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</si>
  <si>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</si>
  <si>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</si>
  <si>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</si>
  <si>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</si>
  <si>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</si>
  <si>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</si>
  <si>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</si>
  <si>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</si>
  <si>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</si>
  <si>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</si>
  <si>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</si>
  <si>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</si>
  <si>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</si>
  <si>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</t>
  </si>
  <si>
    <t>Paschke A</t>
  </si>
  <si>
    <t>BBSAG Bull.100</t>
  </si>
  <si>
    <t>B</t>
  </si>
  <si>
    <t>BBSAG Bull.106</t>
  </si>
  <si>
    <t>IBVS 5287</t>
  </si>
  <si>
    <t>I</t>
  </si>
  <si>
    <t>IBVS 5677</t>
  </si>
  <si>
    <t>EA/SD:</t>
  </si>
  <si>
    <t># of data points:</t>
  </si>
  <si>
    <t>V V Eri / gsc 5298-1009?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</si>
  <si>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</si>
  <si>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</si>
  <si>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</si>
  <si>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</si>
  <si>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</si>
  <si>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</si>
  <si>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Start of linear fit &gt;&gt;&gt;&gt;&gt;&gt;&gt;&gt;&gt;&gt;&gt;&gt;&gt;&gt;&gt;&gt;&gt;&gt;&gt;&gt;&gt;</t>
  </si>
  <si>
    <t>IBVS 6011</t>
  </si>
  <si>
    <t>IBVS 6033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</si>
  <si>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</si>
  <si>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</si>
  <si>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</si>
  <si>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</si>
  <si>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</si>
  <si>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</si>
  <si>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</si>
  <si>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</si>
  <si>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</si>
  <si>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</si>
  <si>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</si>
  <si>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</si>
  <si>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</si>
  <si>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2425646.273 </t>
  </si>
  <si>
    <t> 03.02.1929 18:33 </t>
  </si>
  <si>
    <t> -0.038 </t>
  </si>
  <si>
    <t>P </t>
  </si>
  <si>
    <t> Sonneberger Platte </t>
  </si>
  <si>
    <t> AAC 2.154 </t>
  </si>
  <si>
    <t>2426607.306 </t>
  </si>
  <si>
    <t> 22.09.1931 19:20 </t>
  </si>
  <si>
    <t> -0.035 </t>
  </si>
  <si>
    <t>V </t>
  </si>
  <si>
    <t> N.Florja </t>
  </si>
  <si>
    <t> PZ 4.24 </t>
  </si>
  <si>
    <t>2426607.31 </t>
  </si>
  <si>
    <t> 22.09.1931 19:26 </t>
  </si>
  <si>
    <t> -0.03 </t>
  </si>
  <si>
    <t> W.Zessewitsch </t>
  </si>
  <si>
    <t> CTAD 4 </t>
  </si>
  <si>
    <t>2426624.477 </t>
  </si>
  <si>
    <t> 09.10.1931 23:26 </t>
  </si>
  <si>
    <t> 0.002 </t>
  </si>
  <si>
    <t> J.Pagaczewski </t>
  </si>
  <si>
    <t> AAC 2.152 </t>
  </si>
  <si>
    <t>2426649.395 </t>
  </si>
  <si>
    <t> 03.11.1931 21:28 </t>
  </si>
  <si>
    <t> -0.001 </t>
  </si>
  <si>
    <t>2426976.490 </t>
  </si>
  <si>
    <t> 25.09.1932 23:45 </t>
  </si>
  <si>
    <t> 0.001 </t>
  </si>
  <si>
    <t>2427342.516 </t>
  </si>
  <si>
    <t> 27.09.1933 00:23 </t>
  </si>
  <si>
    <t> -0.006 </t>
  </si>
  <si>
    <t>2427386.12 </t>
  </si>
  <si>
    <t> 09.11.1933 14:52 </t>
  </si>
  <si>
    <t> -0.01 </t>
  </si>
  <si>
    <t>2427403.29 </t>
  </si>
  <si>
    <t> 26.11.1933 18:57 </t>
  </si>
  <si>
    <t> 0.02 </t>
  </si>
  <si>
    <t>2427420.405 </t>
  </si>
  <si>
    <t> 13.12.1933 21:43 </t>
  </si>
  <si>
    <t> 0.004 </t>
  </si>
  <si>
    <t>2427470.244 </t>
  </si>
  <si>
    <t> 01.02.1934 17:51 </t>
  </si>
  <si>
    <t> -0.000 </t>
  </si>
  <si>
    <t>2427484.30 </t>
  </si>
  <si>
    <t> 15.02.1934 19:12 </t>
  </si>
  <si>
    <t> 0.04 </t>
  </si>
  <si>
    <t>2427663.389 </t>
  </si>
  <si>
    <t> 13.08.1934 21:20 </t>
  </si>
  <si>
    <t> IODE 4.2.40 </t>
  </si>
  <si>
    <t>2427719.457 </t>
  </si>
  <si>
    <t> 08.10.1934 22:58 </t>
  </si>
  <si>
    <t>2427858.08 </t>
  </si>
  <si>
    <t> 24.02.1935 13:55 </t>
  </si>
  <si>
    <t> -0.00 </t>
  </si>
  <si>
    <t>2427861.20 </t>
  </si>
  <si>
    <t> 27.02.1935 16:48 </t>
  </si>
  <si>
    <t> 0.00 </t>
  </si>
  <si>
    <t>2428110.415 </t>
  </si>
  <si>
    <t> 03.11.1935 21:57 </t>
  </si>
  <si>
    <t> 0.003 </t>
  </si>
  <si>
    <t>2435010.515 </t>
  </si>
  <si>
    <t> 25.09.1954 00:21 </t>
  </si>
  <si>
    <t> AC 174.17 </t>
  </si>
  <si>
    <t>2448597.445 </t>
  </si>
  <si>
    <t> 06.12.1991 22:40 </t>
  </si>
  <si>
    <t> 0.104 </t>
  </si>
  <si>
    <t>E </t>
  </si>
  <si>
    <t>?</t>
  </si>
  <si>
    <t> A.Paschke </t>
  </si>
  <si>
    <t> BBS 100 </t>
  </si>
  <si>
    <t>2449340.420 </t>
  </si>
  <si>
    <t> 18.12.1993 22:04 </t>
  </si>
  <si>
    <t> 0.111 </t>
  </si>
  <si>
    <t> BBS 106 </t>
  </si>
  <si>
    <t>2451569.3073 </t>
  </si>
  <si>
    <t> 25.01.2000 19:22 </t>
  </si>
  <si>
    <t> 0.0927 </t>
  </si>
  <si>
    <t> M.Zejda </t>
  </si>
  <si>
    <t>IBVS 5287 </t>
  </si>
  <si>
    <t>2452175.2042 </t>
  </si>
  <si>
    <t> 22.09.2001 16:54 </t>
  </si>
  <si>
    <t> 0.0886 </t>
  </si>
  <si>
    <t> K.Nagai </t>
  </si>
  <si>
    <t>VSB 39 </t>
  </si>
  <si>
    <t>2452278.0024 </t>
  </si>
  <si>
    <t> 03.01.2002 12:03 </t>
  </si>
  <si>
    <t> 0.0861 </t>
  </si>
  <si>
    <t> Kiyota </t>
  </si>
  <si>
    <t>VSB 40 </t>
  </si>
  <si>
    <t>2453344.9422 </t>
  </si>
  <si>
    <t> 05.12.2004 10:36 </t>
  </si>
  <si>
    <t> 0.0795 </t>
  </si>
  <si>
    <t>VSB 43 </t>
  </si>
  <si>
    <t>2453377.6501 </t>
  </si>
  <si>
    <t> 07.01.2005 03:36 </t>
  </si>
  <si>
    <t> 0.0781 </t>
  </si>
  <si>
    <t> S.Dvorak </t>
  </si>
  <si>
    <t>IBVS 5677 </t>
  </si>
  <si>
    <t>2454115.9432 </t>
  </si>
  <si>
    <t> 15.01.2007 10:38 </t>
  </si>
  <si>
    <t> 0.0754 </t>
  </si>
  <si>
    <t>C </t>
  </si>
  <si>
    <t>Ic</t>
  </si>
  <si>
    <t> K.Nakajima </t>
  </si>
  <si>
    <t>VSB 46 </t>
  </si>
  <si>
    <t>2455858.8670 </t>
  </si>
  <si>
    <t> 24.10.2011 08:48 </t>
  </si>
  <si>
    <t> 0.0605 </t>
  </si>
  <si>
    <t> R.Diethelm </t>
  </si>
  <si>
    <t>IBVS 6011 </t>
  </si>
  <si>
    <t>2455877.5609 </t>
  </si>
  <si>
    <t> 12.11.2011 01:27 </t>
  </si>
  <si>
    <t> 0.0634 </t>
  </si>
  <si>
    <t> M.Vincenzi </t>
  </si>
  <si>
    <t>IBVS 6033 </t>
  </si>
  <si>
    <t>2455891.5794 </t>
  </si>
  <si>
    <t> 26.11.2011 01:54 </t>
  </si>
  <si>
    <t> 0.0636 </t>
  </si>
  <si>
    <t>2455895.4695 </t>
  </si>
  <si>
    <t> 29.11.2011 23:16 </t>
  </si>
  <si>
    <t> 0.0597 </t>
  </si>
  <si>
    <t>2455952.3246 </t>
  </si>
  <si>
    <t> 25.01.2012 19:47 </t>
  </si>
  <si>
    <t> 0.0630 </t>
  </si>
  <si>
    <t> R.Zambelli </t>
  </si>
  <si>
    <t>2455952.3248 </t>
  </si>
  <si>
    <t> 0.0632 </t>
  </si>
  <si>
    <t>R</t>
  </si>
  <si>
    <t> G.Corfini </t>
  </si>
  <si>
    <t>BAD?</t>
  </si>
  <si>
    <t>OEJV 0179</t>
  </si>
  <si>
    <t xml:space="preserve">Mag </t>
  </si>
  <si>
    <t>Next ToM-P</t>
  </si>
  <si>
    <t>Next ToM-S</t>
  </si>
  <si>
    <t>VSX</t>
  </si>
  <si>
    <t>11.00-12.00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</si>
</sst>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0" fillId="0" borderId="0" xfId="0" applyFont="1" applyAlignment="1"/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26" fillId="0" borderId="0" xfId="0" applyFont="1" applyAlignment="1"/>
    <xf numFmtId="0" fontId="26" fillId="25" borderId="19" xfId="0" applyFont="1" applyFill="1" applyBorder="1" applyAlignment="1">
      <alignment horizontal="right" vertical="center"/>
    </xf>
    <xf numFmtId="0" fontId="26" fillId="25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39" fillId="0" borderId="22" xfId="0" applyFont="1" applyBorder="1" applyAlignment="1">
      <alignment horizontal="right" vertical="center"/>
    </xf>
    <xf numFmtId="0" fontId="38" fillId="0" borderId="22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22" fontId="38" fillId="0" borderId="22" xfId="0" applyNumberFormat="1" applyFont="1" applyBorder="1" applyAlignment="1">
      <alignment horizontal="right" vertical="center"/>
    </xf>
    <xf numFmtId="22" fontId="38" fillId="0" borderId="23" xfId="0" applyNumberFormat="1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Eri - O-C Diagr.</a:t>
            </a:r>
          </a:p>
        </c:rich>
      </c:tx>
      <c:layout>
        <c:manualLayout>
          <c:xMode val="edge"/>
          <c:yMode val="edge"/>
          <c:x val="0.3956207444872310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2709991382009"/>
          <c:y val="0.14723926380368099"/>
          <c:w val="0.824818106194475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6A-476B-9B36-531C34E6561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-3.7845999999262858E-2</c:v>
                </c:pt>
                <c:pt idx="1">
                  <c:v>-3.5407999999733875E-2</c:v>
                </c:pt>
                <c:pt idx="2">
                  <c:v>-3.1407999998918967E-2</c:v>
                </c:pt>
                <c:pt idx="3">
                  <c:v>2.1459999989019707E-3</c:v>
                </c:pt>
                <c:pt idx="4">
                  <c:v>-1.2300000016693957E-3</c:v>
                </c:pt>
                <c:pt idx="5">
                  <c:v>7.100000002537854E-4</c:v>
                </c:pt>
                <c:pt idx="6">
                  <c:v>-6.0000000012223609E-3</c:v>
                </c:pt>
                <c:pt idx="8">
                  <c:v>-1.4408000002731569E-2</c:v>
                </c:pt>
                <c:pt idx="9">
                  <c:v>2.2145999999338528E-2</c:v>
                </c:pt>
                <c:pt idx="10">
                  <c:v>3.6999999974796083E-3</c:v>
                </c:pt>
                <c:pt idx="11">
                  <c:v>-5.2000003051944077E-5</c:v>
                </c:pt>
                <c:pt idx="12">
                  <c:v>3.7673999999242369E-2</c:v>
                </c:pt>
                <c:pt idx="13">
                  <c:v>4.2839999987336341E-3</c:v>
                </c:pt>
                <c:pt idx="14">
                  <c:v>-8.1200000204262324E-4</c:v>
                </c:pt>
                <c:pt idx="15">
                  <c:v>-2.9660000000149012E-3</c:v>
                </c:pt>
                <c:pt idx="16">
                  <c:v>1.8620000009832438E-3</c:v>
                </c:pt>
                <c:pt idx="17">
                  <c:v>3.1019999987620395E-3</c:v>
                </c:pt>
                <c:pt idx="18">
                  <c:v>-2.8779999993275851E-3</c:v>
                </c:pt>
                <c:pt idx="19">
                  <c:v>0.10444400000415044</c:v>
                </c:pt>
                <c:pt idx="20">
                  <c:v>0.11092199999984587</c:v>
                </c:pt>
                <c:pt idx="22">
                  <c:v>8.8601999996171799E-2</c:v>
                </c:pt>
                <c:pt idx="23">
                  <c:v>8.6125999994692393E-2</c:v>
                </c:pt>
                <c:pt idx="24">
                  <c:v>7.9515999997965991E-2</c:v>
                </c:pt>
                <c:pt idx="26">
                  <c:v>7.5446000002557412E-2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A-476B-9B36-531C34E6561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6A-476B-9B36-531C34E6561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1">
                  <c:v>9.2656000000715721E-2</c:v>
                </c:pt>
                <c:pt idx="25">
                  <c:v>7.8110000002197921E-2</c:v>
                </c:pt>
                <c:pt idx="27">
                  <c:v>6.0511999996379018E-2</c:v>
                </c:pt>
                <c:pt idx="28">
                  <c:v>6.3379999992321245E-2</c:v>
                </c:pt>
                <c:pt idx="29">
                  <c:v>6.3606000003346708E-2</c:v>
                </c:pt>
                <c:pt idx="30">
                  <c:v>5.9740999997302424E-2</c:v>
                </c:pt>
                <c:pt idx="31">
                  <c:v>6.2952000000223052E-2</c:v>
                </c:pt>
                <c:pt idx="32">
                  <c:v>6.3152000002446584E-2</c:v>
                </c:pt>
                <c:pt idx="33">
                  <c:v>5.6925999997474719E-2</c:v>
                </c:pt>
                <c:pt idx="34">
                  <c:v>5.9485999998287298E-2</c:v>
                </c:pt>
                <c:pt idx="35">
                  <c:v>5.9535999993386213E-2</c:v>
                </c:pt>
                <c:pt idx="36">
                  <c:v>6.0415999992983416E-2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6A-476B-9B36-531C34E6561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6A-476B-9B36-531C34E6561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6A-476B-9B36-531C34E6561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6A-476B-9B36-531C34E6561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9">
                  <c:v>0.10975439908403484</c:v>
                </c:pt>
                <c:pt idx="20">
                  <c:v>0.10506696786585093</c:v>
                </c:pt>
                <c:pt idx="21">
                  <c:v>9.1004674211299125E-2</c:v>
                </c:pt>
                <c:pt idx="22">
                  <c:v>8.7182010178021269E-2</c:v>
                </c:pt>
                <c:pt idx="23">
                  <c:v>8.6533434789341723E-2</c:v>
                </c:pt>
                <c:pt idx="24">
                  <c:v>7.9802008406834407E-2</c:v>
                </c:pt>
                <c:pt idx="25">
                  <c:v>7.9595643510436381E-2</c:v>
                </c:pt>
                <c:pt idx="26">
                  <c:v>7.4937692991737886E-2</c:v>
                </c:pt>
                <c:pt idx="27">
                  <c:v>6.3941392083671167E-2</c:v>
                </c:pt>
                <c:pt idx="28">
                  <c:v>6.3823469285729434E-2</c:v>
                </c:pt>
                <c:pt idx="29">
                  <c:v>6.3735027187273141E-2</c:v>
                </c:pt>
                <c:pt idx="30">
                  <c:v>6.3710459937701941E-2</c:v>
                </c:pt>
                <c:pt idx="31">
                  <c:v>6.3351778093962502E-2</c:v>
                </c:pt>
                <c:pt idx="32">
                  <c:v>6.3351778093962502E-2</c:v>
                </c:pt>
                <c:pt idx="33">
                  <c:v>5.7298407799620171E-2</c:v>
                </c:pt>
                <c:pt idx="34">
                  <c:v>5.7298407799620171E-2</c:v>
                </c:pt>
                <c:pt idx="35">
                  <c:v>5.7298407799620171E-2</c:v>
                </c:pt>
                <c:pt idx="36">
                  <c:v>5.7298407799620171E-2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76B-9B36-531C34E65611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6A-476B-9B36-531C34E65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143704"/>
        <c:axId val="1"/>
      </c:scatterChart>
      <c:valAx>
        <c:axId val="49214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78977719025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7518248175182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143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2410291779221"/>
          <c:y val="0.92024539877300615"/>
          <c:w val="0.7153289269498247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Eri - O-C Diagr.</a:t>
            </a:r>
          </a:p>
        </c:rich>
      </c:tx>
      <c:layout>
        <c:manualLayout>
          <c:xMode val="edge"/>
          <c:yMode val="edge"/>
          <c:x val="0.3956207444872310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2709991382009"/>
          <c:y val="0.14723926380368099"/>
          <c:w val="0.824818106194475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E7-4685-9B21-BB8B2B376B8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-3.7845999999262858E-2</c:v>
                </c:pt>
                <c:pt idx="1">
                  <c:v>-3.5407999999733875E-2</c:v>
                </c:pt>
                <c:pt idx="2">
                  <c:v>-3.1407999998918967E-2</c:v>
                </c:pt>
                <c:pt idx="3">
                  <c:v>2.1459999989019707E-3</c:v>
                </c:pt>
                <c:pt idx="4">
                  <c:v>-1.2300000016693957E-3</c:v>
                </c:pt>
                <c:pt idx="5">
                  <c:v>7.100000002537854E-4</c:v>
                </c:pt>
                <c:pt idx="6">
                  <c:v>-6.0000000012223609E-3</c:v>
                </c:pt>
                <c:pt idx="8">
                  <c:v>-1.4408000002731569E-2</c:v>
                </c:pt>
                <c:pt idx="9">
                  <c:v>2.2145999999338528E-2</c:v>
                </c:pt>
                <c:pt idx="10">
                  <c:v>3.6999999974796083E-3</c:v>
                </c:pt>
                <c:pt idx="11">
                  <c:v>-5.2000003051944077E-5</c:v>
                </c:pt>
                <c:pt idx="12">
                  <c:v>3.7673999999242369E-2</c:v>
                </c:pt>
                <c:pt idx="13">
                  <c:v>4.2839999987336341E-3</c:v>
                </c:pt>
                <c:pt idx="14">
                  <c:v>-8.1200000204262324E-4</c:v>
                </c:pt>
                <c:pt idx="15">
                  <c:v>-2.9660000000149012E-3</c:v>
                </c:pt>
                <c:pt idx="16">
                  <c:v>1.8620000009832438E-3</c:v>
                </c:pt>
                <c:pt idx="17">
                  <c:v>3.1019999987620395E-3</c:v>
                </c:pt>
                <c:pt idx="18">
                  <c:v>-2.8779999993275851E-3</c:v>
                </c:pt>
                <c:pt idx="19">
                  <c:v>0.10444400000415044</c:v>
                </c:pt>
                <c:pt idx="20">
                  <c:v>0.11092199999984587</c:v>
                </c:pt>
                <c:pt idx="22">
                  <c:v>8.8601999996171799E-2</c:v>
                </c:pt>
                <c:pt idx="23">
                  <c:v>8.6125999994692393E-2</c:v>
                </c:pt>
                <c:pt idx="24">
                  <c:v>7.9515999997965991E-2</c:v>
                </c:pt>
                <c:pt idx="26">
                  <c:v>7.5446000002557412E-2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E7-4685-9B21-BB8B2B376B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E7-4685-9B21-BB8B2B376B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1">
                  <c:v>9.2656000000715721E-2</c:v>
                </c:pt>
                <c:pt idx="25">
                  <c:v>7.8110000002197921E-2</c:v>
                </c:pt>
                <c:pt idx="27">
                  <c:v>6.0511999996379018E-2</c:v>
                </c:pt>
                <c:pt idx="28">
                  <c:v>6.3379999992321245E-2</c:v>
                </c:pt>
                <c:pt idx="29">
                  <c:v>6.3606000003346708E-2</c:v>
                </c:pt>
                <c:pt idx="30">
                  <c:v>5.9740999997302424E-2</c:v>
                </c:pt>
                <c:pt idx="31">
                  <c:v>6.2952000000223052E-2</c:v>
                </c:pt>
                <c:pt idx="32">
                  <c:v>6.3152000002446584E-2</c:v>
                </c:pt>
                <c:pt idx="33">
                  <c:v>5.6925999997474719E-2</c:v>
                </c:pt>
                <c:pt idx="34">
                  <c:v>5.9485999998287298E-2</c:v>
                </c:pt>
                <c:pt idx="35">
                  <c:v>5.9535999993386213E-2</c:v>
                </c:pt>
                <c:pt idx="36">
                  <c:v>6.0415999992983416E-2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E7-4685-9B21-BB8B2B376B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E7-4685-9B21-BB8B2B376B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E7-4685-9B21-BB8B2B376B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E7-4685-9B21-BB8B2B376B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9">
                  <c:v>0.10975439908403484</c:v>
                </c:pt>
                <c:pt idx="20">
                  <c:v>0.10506696786585093</c:v>
                </c:pt>
                <c:pt idx="21">
                  <c:v>9.1004674211299125E-2</c:v>
                </c:pt>
                <c:pt idx="22">
                  <c:v>8.7182010178021269E-2</c:v>
                </c:pt>
                <c:pt idx="23">
                  <c:v>8.6533434789341723E-2</c:v>
                </c:pt>
                <c:pt idx="24">
                  <c:v>7.9802008406834407E-2</c:v>
                </c:pt>
                <c:pt idx="25">
                  <c:v>7.9595643510436381E-2</c:v>
                </c:pt>
                <c:pt idx="26">
                  <c:v>7.4937692991737886E-2</c:v>
                </c:pt>
                <c:pt idx="27">
                  <c:v>6.3941392083671167E-2</c:v>
                </c:pt>
                <c:pt idx="28">
                  <c:v>6.3823469285729434E-2</c:v>
                </c:pt>
                <c:pt idx="29">
                  <c:v>6.3735027187273141E-2</c:v>
                </c:pt>
                <c:pt idx="30">
                  <c:v>6.3710459937701941E-2</c:v>
                </c:pt>
                <c:pt idx="31">
                  <c:v>6.3351778093962502E-2</c:v>
                </c:pt>
                <c:pt idx="32">
                  <c:v>6.3351778093962502E-2</c:v>
                </c:pt>
                <c:pt idx="33">
                  <c:v>5.7298407799620171E-2</c:v>
                </c:pt>
                <c:pt idx="34">
                  <c:v>5.7298407799620171E-2</c:v>
                </c:pt>
                <c:pt idx="35">
                  <c:v>5.7298407799620171E-2</c:v>
                </c:pt>
                <c:pt idx="36">
                  <c:v>5.7298407799620171E-2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E7-4685-9B21-BB8B2B376B80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E7-4685-9B21-BB8B2B376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143704"/>
        <c:axId val="1"/>
      </c:scatterChart>
      <c:valAx>
        <c:axId val="492143704"/>
        <c:scaling>
          <c:orientation val="minMax"/>
          <c:min val="13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78977719025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7518248175182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143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2410291779221"/>
          <c:y val="0.92024539877300615"/>
          <c:w val="0.7153289269498247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419100</xdr:colOff>
      <xdr:row>18</xdr:row>
      <xdr:rowOff>85724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7A0523-B36B-3C09-713E-D65FC1E28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0</xdr:row>
      <xdr:rowOff>38100</xdr:rowOff>
    </xdr:from>
    <xdr:to>
      <xdr:col>27</xdr:col>
      <xdr:colOff>47625</xdr:colOff>
      <xdr:row>18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34266-9679-46EB-9D9B-4E863DD8B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33" TargetMode="External"/><Relationship Id="rId3" Type="http://schemas.openxmlformats.org/officeDocument/2006/relationships/hyperlink" Target="http://vsolj.cetus-net.org/no40.pdf" TargetMode="External"/><Relationship Id="rId7" Type="http://schemas.openxmlformats.org/officeDocument/2006/relationships/hyperlink" Target="http://www.konkoly.hu/cgi-bin/IBVS?6011" TargetMode="External"/><Relationship Id="rId12" Type="http://schemas.openxmlformats.org/officeDocument/2006/relationships/hyperlink" Target="http://www.konkoly.hu/cgi-bin/IBVS?6033" TargetMode="External"/><Relationship Id="rId2" Type="http://schemas.openxmlformats.org/officeDocument/2006/relationships/hyperlink" Target="http://vsolj.cetus-net.org/no39.pdf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vsolj.cetus-net.org/no46.pdf" TargetMode="External"/><Relationship Id="rId11" Type="http://schemas.openxmlformats.org/officeDocument/2006/relationships/hyperlink" Target="http://www.konkoly.hu/cgi-bin/IBVS?6033" TargetMode="External"/><Relationship Id="rId5" Type="http://schemas.openxmlformats.org/officeDocument/2006/relationships/hyperlink" Target="http://www.konkoly.hu/cgi-bin/IBVS?5677" TargetMode="External"/><Relationship Id="rId10" Type="http://schemas.openxmlformats.org/officeDocument/2006/relationships/hyperlink" Target="http://www.konkoly.hu/cgi-bin/IBVS?6033" TargetMode="External"/><Relationship Id="rId4" Type="http://schemas.openxmlformats.org/officeDocument/2006/relationships/hyperlink" Target="http://vsolj.cetus-net.org/no43.pdf" TargetMode="External"/><Relationship Id="rId9" Type="http://schemas.openxmlformats.org/officeDocument/2006/relationships/hyperlink" Target="http://www.konkoly.hu/cgi-bin/IBVS?6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00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38</v>
      </c>
    </row>
    <row r="2" spans="1:6" ht="12.95" customHeight="1">
      <c r="A2" t="s">
        <v>24</v>
      </c>
      <c r="B2" s="15" t="s">
        <v>36</v>
      </c>
    </row>
    <row r="3" spans="1:6" ht="12.95" customHeight="1" thickBot="1">
      <c r="C3" s="10"/>
    </row>
    <row r="4" spans="1:6" ht="12.95" customHeight="1" thickTop="1" thickBot="1">
      <c r="A4" s="7" t="s">
        <v>0</v>
      </c>
      <c r="C4" s="3">
        <v>27342.522000000001</v>
      </c>
      <c r="D4" s="4">
        <v>1.5575859999999999</v>
      </c>
    </row>
    <row r="5" spans="1:6" ht="12.95" customHeight="1" thickTop="1">
      <c r="A5" s="18" t="s">
        <v>39</v>
      </c>
      <c r="B5" s="19"/>
      <c r="C5" s="20">
        <v>-9.5</v>
      </c>
      <c r="D5" s="19" t="s">
        <v>40</v>
      </c>
    </row>
    <row r="6" spans="1:6" ht="12.95" customHeight="1">
      <c r="A6" s="7" t="s">
        <v>1</v>
      </c>
    </row>
    <row r="7" spans="1:6" ht="12.95" customHeight="1">
      <c r="A7" t="s">
        <v>2</v>
      </c>
      <c r="C7">
        <f>+C4</f>
        <v>27342.522000000001</v>
      </c>
      <c r="D7" s="58" t="s">
        <v>195</v>
      </c>
    </row>
    <row r="8" spans="1:6" ht="12.95" customHeight="1">
      <c r="A8" t="s">
        <v>3</v>
      </c>
      <c r="C8">
        <f>+D4</f>
        <v>1.5575859999999999</v>
      </c>
      <c r="D8" s="58" t="s">
        <v>195</v>
      </c>
    </row>
    <row r="9" spans="1:6" ht="12.95" customHeight="1">
      <c r="A9" s="31" t="s">
        <v>45</v>
      </c>
      <c r="B9" s="32">
        <v>42</v>
      </c>
      <c r="C9" s="22" t="str">
        <f>"F"&amp;B9</f>
        <v>F42</v>
      </c>
      <c r="D9" s="14" t="str">
        <f>"G"&amp;B9</f>
        <v>G42</v>
      </c>
    </row>
    <row r="10" spans="1:6" ht="12.95" customHeight="1" thickBot="1">
      <c r="A10" s="19"/>
      <c r="B10" s="19"/>
      <c r="C10" s="6" t="s">
        <v>20</v>
      </c>
      <c r="D10" s="6" t="s">
        <v>21</v>
      </c>
      <c r="E10" s="19"/>
    </row>
    <row r="11" spans="1:6" ht="12.95" customHeight="1">
      <c r="A11" s="19" t="s">
        <v>16</v>
      </c>
      <c r="B11" s="19"/>
      <c r="C11" s="21">
        <f ca="1">INTERCEPT(INDIRECT($D$9):G992,INDIRECT($C$9):F992)</f>
        <v>0.2438522741434434</v>
      </c>
      <c r="D11" s="5"/>
      <c r="E11" s="19"/>
    </row>
    <row r="12" spans="1:6" ht="12.95" customHeight="1">
      <c r="A12" s="19" t="s">
        <v>17</v>
      </c>
      <c r="B12" s="19"/>
      <c r="C12" s="21">
        <f ca="1">SLOPE(INDIRECT($D$9):G992,INDIRECT($C$9):F992)</f>
        <v>-9.8268998284778364E-6</v>
      </c>
      <c r="D12" s="5"/>
      <c r="E12" s="59" t="s">
        <v>192</v>
      </c>
      <c r="F12" s="60" t="s">
        <v>196</v>
      </c>
    </row>
    <row r="13" spans="1:6" ht="12.95" customHeight="1">
      <c r="A13" s="19" t="s">
        <v>19</v>
      </c>
      <c r="B13" s="19"/>
      <c r="C13" s="5" t="s">
        <v>14</v>
      </c>
      <c r="E13" s="61" t="s">
        <v>41</v>
      </c>
      <c r="F13" s="62">
        <v>1</v>
      </c>
    </row>
    <row r="14" spans="1:6" ht="12.95" customHeight="1">
      <c r="A14" s="19"/>
      <c r="B14" s="19"/>
      <c r="C14" s="19"/>
      <c r="E14" s="61" t="s">
        <v>42</v>
      </c>
      <c r="F14" s="63">
        <f ca="1">NOW()+15018.5+$C$5/24</f>
        <v>60520.869853356482</v>
      </c>
    </row>
    <row r="15" spans="1:6" ht="12.95" customHeight="1">
      <c r="A15" s="24" t="s">
        <v>18</v>
      </c>
      <c r="B15" s="19"/>
      <c r="C15" s="25">
        <f ca="1">(C7+C11)+(C8+C12)*INT(MAX(F21:F3533))</f>
        <v>56911.791922407792</v>
      </c>
      <c r="E15" s="64" t="s">
        <v>43</v>
      </c>
      <c r="F15" s="63">
        <f ca="1">ROUND(2*($F$14-$C$7)/$C$8,0)/2+$F$13</f>
        <v>21302</v>
      </c>
    </row>
    <row r="16" spans="1:6" ht="12.95" customHeight="1">
      <c r="A16" s="26" t="s">
        <v>4</v>
      </c>
      <c r="B16" s="19"/>
      <c r="C16" s="27">
        <f ca="1">+C8+C12</f>
        <v>1.5575761731001714</v>
      </c>
      <c r="E16" s="64" t="s">
        <v>44</v>
      </c>
      <c r="F16" s="63">
        <f ca="1">ROUND(2*($F$14-$C$15)/$C$16,0)/2+$F$13</f>
        <v>2318</v>
      </c>
    </row>
    <row r="17" spans="1:21" ht="12.95" customHeight="1" thickBot="1">
      <c r="A17" s="23" t="s">
        <v>37</v>
      </c>
      <c r="B17" s="19"/>
      <c r="C17" s="19">
        <f>COUNT(C21:C2191)</f>
        <v>37</v>
      </c>
      <c r="E17" s="64" t="s">
        <v>193</v>
      </c>
      <c r="F17" s="65">
        <f ca="1">+$C$15+$C$16*$F$16-15018.5-$C$5/24</f>
        <v>45504.149324987324</v>
      </c>
    </row>
    <row r="18" spans="1:21" ht="12.95" customHeight="1" thickTop="1" thickBot="1">
      <c r="A18" s="26" t="s">
        <v>5</v>
      </c>
      <c r="B18" s="19"/>
      <c r="C18" s="29">
        <f ca="1">+C15</f>
        <v>56911.791922407792</v>
      </c>
      <c r="D18" s="30">
        <f ca="1">+C16</f>
        <v>1.5575761731001714</v>
      </c>
      <c r="E18" s="67" t="s">
        <v>194</v>
      </c>
      <c r="F18" s="66">
        <f ca="1">+($C$15+$C$16*$F$16)-($C$16/2)-15018.5-$C$5/24</f>
        <v>45503.370536900773</v>
      </c>
    </row>
    <row r="19" spans="1:21" ht="12.95" customHeight="1" thickTop="1">
      <c r="E19" s="23"/>
      <c r="F19" s="28"/>
    </row>
    <row r="20" spans="1:21" ht="12.95" customHeight="1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56</v>
      </c>
      <c r="I20" s="9" t="s">
        <v>59</v>
      </c>
      <c r="J20" s="9" t="s">
        <v>53</v>
      </c>
      <c r="K20" s="9" t="s">
        <v>51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1" t="s">
        <v>190</v>
      </c>
    </row>
    <row r="21" spans="1:21" ht="12.95" customHeight="1">
      <c r="A21" s="48" t="s">
        <v>66</v>
      </c>
      <c r="B21" s="50" t="s">
        <v>34</v>
      </c>
      <c r="C21" s="49">
        <v>25646.273000000001</v>
      </c>
      <c r="D21" s="49" t="s">
        <v>59</v>
      </c>
      <c r="E21">
        <f t="shared" ref="E21:E53" si="0">+(C21-C$7)/C$8</f>
        <v>-1089.0242978557844</v>
      </c>
      <c r="F21">
        <f t="shared" ref="F21:F57" si="1">ROUND(2*E21,0)/2</f>
        <v>-1089</v>
      </c>
      <c r="G21">
        <f t="shared" ref="G21:G27" si="2">+C21-(C$7+F21*C$8)</f>
        <v>-3.7845999999262858E-2</v>
      </c>
      <c r="I21">
        <f t="shared" ref="I21:I27" si="3">+G21</f>
        <v>-3.7845999999262858E-2</v>
      </c>
      <c r="Q21" s="2">
        <f t="shared" ref="Q21:Q53" si="4">+C21-15018.5</f>
        <v>10627.773000000001</v>
      </c>
    </row>
    <row r="22" spans="1:21" ht="12.95" customHeight="1">
      <c r="A22" s="48" t="s">
        <v>72</v>
      </c>
      <c r="B22" s="50" t="s">
        <v>34</v>
      </c>
      <c r="C22" s="49">
        <v>26607.306</v>
      </c>
      <c r="D22" s="49" t="s">
        <v>59</v>
      </c>
      <c r="E22">
        <f t="shared" si="0"/>
        <v>-472.02273261315935</v>
      </c>
      <c r="F22">
        <f t="shared" si="1"/>
        <v>-472</v>
      </c>
      <c r="G22">
        <f t="shared" si="2"/>
        <v>-3.5407999999733875E-2</v>
      </c>
      <c r="I22">
        <f t="shared" si="3"/>
        <v>-3.5407999999733875E-2</v>
      </c>
      <c r="Q22" s="2">
        <f t="shared" si="4"/>
        <v>11588.806</v>
      </c>
    </row>
    <row r="23" spans="1:21" ht="12.95" customHeight="1">
      <c r="A23" s="48" t="s">
        <v>77</v>
      </c>
      <c r="B23" s="50" t="s">
        <v>34</v>
      </c>
      <c r="C23" s="49">
        <v>26607.31</v>
      </c>
      <c r="D23" s="49" t="s">
        <v>59</v>
      </c>
      <c r="E23">
        <f t="shared" si="0"/>
        <v>-472.02016453666096</v>
      </c>
      <c r="F23">
        <f t="shared" si="1"/>
        <v>-472</v>
      </c>
      <c r="G23">
        <f t="shared" si="2"/>
        <v>-3.1407999998918967E-2</v>
      </c>
      <c r="I23">
        <f t="shared" si="3"/>
        <v>-3.1407999998918967E-2</v>
      </c>
      <c r="Q23" s="2">
        <f t="shared" si="4"/>
        <v>11588.810000000001</v>
      </c>
    </row>
    <row r="24" spans="1:21" ht="12.95" customHeight="1">
      <c r="A24" s="48" t="s">
        <v>82</v>
      </c>
      <c r="B24" s="50" t="s">
        <v>34</v>
      </c>
      <c r="C24" s="49">
        <v>26624.476999999999</v>
      </c>
      <c r="D24" s="49" t="s">
        <v>59</v>
      </c>
      <c r="E24">
        <f t="shared" si="0"/>
        <v>-460.99862222696015</v>
      </c>
      <c r="F24">
        <f t="shared" si="1"/>
        <v>-461</v>
      </c>
      <c r="G24">
        <f t="shared" si="2"/>
        <v>2.1459999989019707E-3</v>
      </c>
      <c r="I24">
        <f t="shared" si="3"/>
        <v>2.1459999989019707E-3</v>
      </c>
      <c r="Q24" s="2">
        <f t="shared" si="4"/>
        <v>11605.976999999999</v>
      </c>
    </row>
    <row r="25" spans="1:21" ht="12.95" customHeight="1">
      <c r="A25" s="48" t="s">
        <v>82</v>
      </c>
      <c r="B25" s="50" t="s">
        <v>34</v>
      </c>
      <c r="C25" s="49">
        <v>26649.395</v>
      </c>
      <c r="D25" s="49" t="s">
        <v>59</v>
      </c>
      <c r="E25">
        <f t="shared" si="0"/>
        <v>-445.00078968352335</v>
      </c>
      <c r="F25">
        <f t="shared" si="1"/>
        <v>-445</v>
      </c>
      <c r="G25">
        <f t="shared" si="2"/>
        <v>-1.2300000016693957E-3</v>
      </c>
      <c r="I25">
        <f t="shared" si="3"/>
        <v>-1.2300000016693957E-3</v>
      </c>
      <c r="Q25" s="2">
        <f t="shared" si="4"/>
        <v>11630.895</v>
      </c>
    </row>
    <row r="26" spans="1:21" ht="12.95" customHeight="1">
      <c r="A26" s="48" t="s">
        <v>82</v>
      </c>
      <c r="B26" s="50" t="s">
        <v>34</v>
      </c>
      <c r="C26" s="49">
        <v>26976.49</v>
      </c>
      <c r="D26" s="49" t="s">
        <v>59</v>
      </c>
      <c r="E26">
        <f t="shared" si="0"/>
        <v>-234.99954416642115</v>
      </c>
      <c r="F26">
        <f t="shared" si="1"/>
        <v>-235</v>
      </c>
      <c r="G26">
        <f t="shared" si="2"/>
        <v>7.100000002537854E-4</v>
      </c>
      <c r="I26">
        <f t="shared" si="3"/>
        <v>7.100000002537854E-4</v>
      </c>
      <c r="Q26" s="2">
        <f t="shared" si="4"/>
        <v>11957.990000000002</v>
      </c>
    </row>
    <row r="27" spans="1:21" ht="12.95" customHeight="1">
      <c r="A27" s="48" t="s">
        <v>82</v>
      </c>
      <c r="B27" s="50" t="s">
        <v>34</v>
      </c>
      <c r="C27" s="49">
        <v>27342.516</v>
      </c>
      <c r="D27" s="49" t="s">
        <v>59</v>
      </c>
      <c r="E27">
        <f t="shared" si="0"/>
        <v>-3.8521147475788567E-3</v>
      </c>
      <c r="F27">
        <f t="shared" si="1"/>
        <v>0</v>
      </c>
      <c r="G27">
        <f t="shared" si="2"/>
        <v>-6.0000000012223609E-3</v>
      </c>
      <c r="I27">
        <f t="shared" si="3"/>
        <v>-6.0000000012223609E-3</v>
      </c>
      <c r="Q27" s="2">
        <f t="shared" si="4"/>
        <v>12324.016</v>
      </c>
    </row>
    <row r="28" spans="1:21" ht="12.95" customHeight="1">
      <c r="A28" t="s">
        <v>12</v>
      </c>
      <c r="C28" s="16">
        <v>27342.522000000001</v>
      </c>
      <c r="D28" s="16" t="s">
        <v>14</v>
      </c>
      <c r="E28">
        <f t="shared" si="0"/>
        <v>0</v>
      </c>
      <c r="F28">
        <f t="shared" si="1"/>
        <v>0</v>
      </c>
      <c r="H28" s="14">
        <v>0</v>
      </c>
      <c r="Q28" s="2">
        <f t="shared" si="4"/>
        <v>12324.022000000001</v>
      </c>
    </row>
    <row r="29" spans="1:21" ht="12.95" customHeight="1">
      <c r="A29" s="48" t="s">
        <v>77</v>
      </c>
      <c r="B29" s="50" t="s">
        <v>34</v>
      </c>
      <c r="C29" s="49">
        <v>27386.12</v>
      </c>
      <c r="D29" s="49" t="s">
        <v>59</v>
      </c>
      <c r="E29">
        <f t="shared" si="0"/>
        <v>27.990749788453503</v>
      </c>
      <c r="F29">
        <f t="shared" si="1"/>
        <v>28</v>
      </c>
      <c r="G29">
        <f t="shared" ref="G29:G53" si="5">+C29-(C$7+F29*C$8)</f>
        <v>-1.4408000002731569E-2</v>
      </c>
      <c r="I29">
        <f t="shared" ref="I29:I41" si="6">+G29</f>
        <v>-1.4408000002731569E-2</v>
      </c>
      <c r="Q29" s="2">
        <f t="shared" si="4"/>
        <v>12367.619999999999</v>
      </c>
    </row>
    <row r="30" spans="1:21">
      <c r="A30" s="48" t="s">
        <v>77</v>
      </c>
      <c r="B30" s="50" t="s">
        <v>34</v>
      </c>
      <c r="C30" s="49">
        <v>27403.29</v>
      </c>
      <c r="D30" s="49" t="s">
        <v>59</v>
      </c>
      <c r="E30">
        <f t="shared" si="0"/>
        <v>39.014218155530436</v>
      </c>
      <c r="F30">
        <f t="shared" si="1"/>
        <v>39</v>
      </c>
      <c r="G30">
        <f t="shared" si="5"/>
        <v>2.2145999999338528E-2</v>
      </c>
      <c r="I30">
        <f t="shared" si="6"/>
        <v>2.2145999999338528E-2</v>
      </c>
      <c r="Q30" s="2">
        <f t="shared" si="4"/>
        <v>12384.79</v>
      </c>
    </row>
    <row r="31" spans="1:21">
      <c r="A31" s="48" t="s">
        <v>82</v>
      </c>
      <c r="B31" s="50" t="s">
        <v>34</v>
      </c>
      <c r="C31" s="49">
        <v>27420.404999999999</v>
      </c>
      <c r="D31" s="49" t="s">
        <v>59</v>
      </c>
      <c r="E31">
        <f t="shared" si="0"/>
        <v>50.002375470759233</v>
      </c>
      <c r="F31">
        <f t="shared" si="1"/>
        <v>50</v>
      </c>
      <c r="G31">
        <f t="shared" si="5"/>
        <v>3.6999999974796083E-3</v>
      </c>
      <c r="I31">
        <f t="shared" si="6"/>
        <v>3.6999999974796083E-3</v>
      </c>
      <c r="Q31" s="2">
        <f t="shared" si="4"/>
        <v>12401.904999999999</v>
      </c>
    </row>
    <row r="32" spans="1:21">
      <c r="A32" s="48" t="s">
        <v>82</v>
      </c>
      <c r="B32" s="50" t="s">
        <v>34</v>
      </c>
      <c r="C32" s="49">
        <v>27470.243999999999</v>
      </c>
      <c r="D32" s="49" t="s">
        <v>59</v>
      </c>
      <c r="E32">
        <f t="shared" si="0"/>
        <v>81.999966615004212</v>
      </c>
      <c r="F32">
        <f t="shared" si="1"/>
        <v>82</v>
      </c>
      <c r="G32">
        <f t="shared" si="5"/>
        <v>-5.2000003051944077E-5</v>
      </c>
      <c r="I32">
        <f t="shared" si="6"/>
        <v>-5.2000003051944077E-5</v>
      </c>
      <c r="Q32" s="2">
        <f t="shared" si="4"/>
        <v>12451.743999999999</v>
      </c>
    </row>
    <row r="33" spans="1:32">
      <c r="A33" s="48" t="s">
        <v>77</v>
      </c>
      <c r="B33" s="50" t="s">
        <v>34</v>
      </c>
      <c r="C33" s="49">
        <v>27484.3</v>
      </c>
      <c r="D33" s="49" t="s">
        <v>59</v>
      </c>
      <c r="E33">
        <f t="shared" si="0"/>
        <v>91.024187428494116</v>
      </c>
      <c r="F33">
        <f t="shared" si="1"/>
        <v>91</v>
      </c>
      <c r="G33">
        <f t="shared" si="5"/>
        <v>3.7673999999242369E-2</v>
      </c>
      <c r="I33">
        <f t="shared" si="6"/>
        <v>3.7673999999242369E-2</v>
      </c>
      <c r="Q33" s="2">
        <f t="shared" si="4"/>
        <v>12465.8</v>
      </c>
    </row>
    <row r="34" spans="1:32">
      <c r="A34" s="48" t="s">
        <v>109</v>
      </c>
      <c r="B34" s="50" t="s">
        <v>34</v>
      </c>
      <c r="C34" s="49">
        <v>27663.388999999999</v>
      </c>
      <c r="D34" s="49" t="s">
        <v>59</v>
      </c>
      <c r="E34">
        <f t="shared" si="0"/>
        <v>206.00275040992818</v>
      </c>
      <c r="F34">
        <f t="shared" si="1"/>
        <v>206</v>
      </c>
      <c r="G34">
        <f t="shared" si="5"/>
        <v>4.2839999987336341E-3</v>
      </c>
      <c r="I34">
        <f t="shared" si="6"/>
        <v>4.2839999987336341E-3</v>
      </c>
      <c r="Q34" s="2">
        <f t="shared" si="4"/>
        <v>12644.888999999999</v>
      </c>
    </row>
    <row r="35" spans="1:32">
      <c r="A35" s="48" t="s">
        <v>82</v>
      </c>
      <c r="B35" s="50" t="s">
        <v>34</v>
      </c>
      <c r="C35" s="49">
        <v>27719.456999999999</v>
      </c>
      <c r="D35" s="49" t="s">
        <v>59</v>
      </c>
      <c r="E35">
        <f t="shared" si="0"/>
        <v>241.99947868046945</v>
      </c>
      <c r="F35">
        <f t="shared" si="1"/>
        <v>242</v>
      </c>
      <c r="G35">
        <f t="shared" si="5"/>
        <v>-8.1200000204262324E-4</v>
      </c>
      <c r="I35">
        <f t="shared" si="6"/>
        <v>-8.1200000204262324E-4</v>
      </c>
      <c r="Q35" s="2">
        <f t="shared" si="4"/>
        <v>12700.956999999999</v>
      </c>
    </row>
    <row r="36" spans="1:32">
      <c r="A36" s="48" t="s">
        <v>77</v>
      </c>
      <c r="B36" s="50" t="s">
        <v>34</v>
      </c>
      <c r="C36" s="49">
        <v>27858.080000000002</v>
      </c>
      <c r="D36" s="49" t="s">
        <v>59</v>
      </c>
      <c r="E36">
        <f t="shared" si="0"/>
        <v>330.99809577127741</v>
      </c>
      <c r="F36">
        <f t="shared" si="1"/>
        <v>331</v>
      </c>
      <c r="G36">
        <f t="shared" si="5"/>
        <v>-2.9660000000149012E-3</v>
      </c>
      <c r="I36">
        <f t="shared" si="6"/>
        <v>-2.9660000000149012E-3</v>
      </c>
      <c r="Q36" s="2">
        <f t="shared" si="4"/>
        <v>12839.580000000002</v>
      </c>
    </row>
    <row r="37" spans="1:32">
      <c r="A37" s="48" t="s">
        <v>77</v>
      </c>
      <c r="B37" s="50" t="s">
        <v>34</v>
      </c>
      <c r="C37" s="49">
        <v>27861.200000000001</v>
      </c>
      <c r="D37" s="49" t="s">
        <v>59</v>
      </c>
      <c r="E37">
        <f t="shared" si="0"/>
        <v>333.00119543960972</v>
      </c>
      <c r="F37">
        <f t="shared" si="1"/>
        <v>333</v>
      </c>
      <c r="G37">
        <f t="shared" si="5"/>
        <v>1.8620000009832438E-3</v>
      </c>
      <c r="I37">
        <f t="shared" si="6"/>
        <v>1.8620000009832438E-3</v>
      </c>
      <c r="Q37" s="2">
        <f t="shared" si="4"/>
        <v>12842.7</v>
      </c>
    </row>
    <row r="38" spans="1:32">
      <c r="A38" s="48" t="s">
        <v>82</v>
      </c>
      <c r="B38" s="50" t="s">
        <v>34</v>
      </c>
      <c r="C38" s="49">
        <v>28110.415000000001</v>
      </c>
      <c r="D38" s="49" t="s">
        <v>59</v>
      </c>
      <c r="E38">
        <f t="shared" si="0"/>
        <v>493.00199154332415</v>
      </c>
      <c r="F38">
        <f t="shared" si="1"/>
        <v>493</v>
      </c>
      <c r="G38">
        <f t="shared" si="5"/>
        <v>3.1019999987620395E-3</v>
      </c>
      <c r="I38">
        <f t="shared" si="6"/>
        <v>3.1019999987620395E-3</v>
      </c>
      <c r="Q38" s="2">
        <f t="shared" si="4"/>
        <v>13091.915000000001</v>
      </c>
    </row>
    <row r="39" spans="1:32">
      <c r="A39" s="48" t="s">
        <v>123</v>
      </c>
      <c r="B39" s="50" t="s">
        <v>34</v>
      </c>
      <c r="C39" s="49">
        <v>35010.514999999999</v>
      </c>
      <c r="D39" s="49" t="s">
        <v>59</v>
      </c>
      <c r="E39">
        <f t="shared" si="0"/>
        <v>4922.9981522689595</v>
      </c>
      <c r="F39">
        <f t="shared" si="1"/>
        <v>4923</v>
      </c>
      <c r="G39">
        <f t="shared" si="5"/>
        <v>-2.8779999993275851E-3</v>
      </c>
      <c r="I39">
        <f t="shared" si="6"/>
        <v>-2.8779999993275851E-3</v>
      </c>
      <c r="Q39" s="2">
        <f t="shared" si="4"/>
        <v>19992.014999999999</v>
      </c>
    </row>
    <row r="40" spans="1:32" ht="12.75" customHeight="1">
      <c r="A40" t="s">
        <v>30</v>
      </c>
      <c r="C40" s="17">
        <v>48597.445</v>
      </c>
      <c r="D40" s="16">
        <v>3.0000000000000001E-3</v>
      </c>
      <c r="E40">
        <f t="shared" si="0"/>
        <v>13646.067055045436</v>
      </c>
      <c r="F40">
        <f t="shared" si="1"/>
        <v>13646</v>
      </c>
      <c r="G40">
        <f t="shared" si="5"/>
        <v>0.10444400000415044</v>
      </c>
      <c r="I40">
        <f t="shared" si="6"/>
        <v>0.10444400000415044</v>
      </c>
      <c r="O40">
        <f ca="1">+C$11+C$12*$F40</f>
        <v>0.10975439908403484</v>
      </c>
      <c r="Q40" s="2">
        <f t="shared" si="4"/>
        <v>33578.945</v>
      </c>
      <c r="AA40" t="s">
        <v>28</v>
      </c>
      <c r="AB40">
        <v>16</v>
      </c>
      <c r="AD40" t="s">
        <v>29</v>
      </c>
      <c r="AF40" t="s">
        <v>31</v>
      </c>
    </row>
    <row r="41" spans="1:32" ht="12.75" customHeight="1">
      <c r="A41" t="s">
        <v>32</v>
      </c>
      <c r="C41" s="17">
        <v>49340.42</v>
      </c>
      <c r="D41" s="16"/>
      <c r="E41">
        <f t="shared" si="0"/>
        <v>14123.071214045323</v>
      </c>
      <c r="F41">
        <f t="shared" si="1"/>
        <v>14123</v>
      </c>
      <c r="G41">
        <f t="shared" si="5"/>
        <v>0.11092199999984587</v>
      </c>
      <c r="I41">
        <f t="shared" si="6"/>
        <v>0.11092199999984587</v>
      </c>
      <c r="O41">
        <f ca="1">+C$11+C$12*$F41</f>
        <v>0.10506696786585093</v>
      </c>
      <c r="Q41" s="2">
        <f t="shared" si="4"/>
        <v>34321.919999999998</v>
      </c>
      <c r="AA41" t="s">
        <v>28</v>
      </c>
      <c r="AB41">
        <v>28</v>
      </c>
      <c r="AD41" t="s">
        <v>29</v>
      </c>
      <c r="AF41" t="s">
        <v>31</v>
      </c>
    </row>
    <row r="42" spans="1:32" ht="12.75" customHeight="1">
      <c r="A42" t="s">
        <v>33</v>
      </c>
      <c r="B42" s="5" t="s">
        <v>34</v>
      </c>
      <c r="C42" s="13">
        <v>51569.3073</v>
      </c>
      <c r="D42" s="13">
        <v>1.9E-3</v>
      </c>
      <c r="E42">
        <f t="shared" si="0"/>
        <v>15554.059486923998</v>
      </c>
      <c r="F42">
        <f t="shared" si="1"/>
        <v>15554</v>
      </c>
      <c r="G42">
        <f t="shared" si="5"/>
        <v>9.2656000000715721E-2</v>
      </c>
      <c r="K42">
        <f t="shared" ref="K42:K53" si="7">+G42</f>
        <v>9.2656000000715721E-2</v>
      </c>
      <c r="O42">
        <f t="shared" ref="O42:O53" ca="1" si="8">+C$11+C$12*$F42</f>
        <v>9.1004674211299125E-2</v>
      </c>
      <c r="Q42" s="2">
        <f t="shared" si="4"/>
        <v>36550.8073</v>
      </c>
    </row>
    <row r="43" spans="1:32">
      <c r="A43" s="48" t="s">
        <v>144</v>
      </c>
      <c r="B43" s="50" t="s">
        <v>34</v>
      </c>
      <c r="C43" s="49">
        <v>52175.2042</v>
      </c>
      <c r="D43" s="49" t="s">
        <v>59</v>
      </c>
      <c r="E43">
        <f t="shared" si="0"/>
        <v>15943.056884178466</v>
      </c>
      <c r="F43">
        <f t="shared" si="1"/>
        <v>15943</v>
      </c>
      <c r="G43">
        <f t="shared" si="5"/>
        <v>8.8601999996171799E-2</v>
      </c>
      <c r="I43">
        <f>+G43</f>
        <v>8.8601999996171799E-2</v>
      </c>
      <c r="O43">
        <f t="shared" ca="1" si="8"/>
        <v>8.7182010178021269E-2</v>
      </c>
      <c r="Q43" s="2">
        <f t="shared" si="4"/>
        <v>37156.7042</v>
      </c>
    </row>
    <row r="44" spans="1:32">
      <c r="A44" s="48" t="s">
        <v>149</v>
      </c>
      <c r="B44" s="50" t="s">
        <v>34</v>
      </c>
      <c r="C44" s="49">
        <v>52278.002399999998</v>
      </c>
      <c r="D44" s="49" t="s">
        <v>59</v>
      </c>
      <c r="E44">
        <f t="shared" si="0"/>
        <v>16009.055294539112</v>
      </c>
      <c r="F44">
        <f t="shared" si="1"/>
        <v>16009</v>
      </c>
      <c r="G44">
        <f t="shared" si="5"/>
        <v>8.6125999994692393E-2</v>
      </c>
      <c r="I44">
        <f>+G44</f>
        <v>8.6125999994692393E-2</v>
      </c>
      <c r="O44">
        <f t="shared" ca="1" si="8"/>
        <v>8.6533434789341723E-2</v>
      </c>
      <c r="Q44" s="2">
        <f t="shared" si="4"/>
        <v>37259.502399999998</v>
      </c>
    </row>
    <row r="45" spans="1:32">
      <c r="A45" s="48" t="s">
        <v>153</v>
      </c>
      <c r="B45" s="50" t="s">
        <v>34</v>
      </c>
      <c r="C45" s="49">
        <v>53344.942199999998</v>
      </c>
      <c r="D45" s="49" t="s">
        <v>59</v>
      </c>
      <c r="E45">
        <f t="shared" si="0"/>
        <v>16694.051050792699</v>
      </c>
      <c r="F45">
        <f t="shared" si="1"/>
        <v>16694</v>
      </c>
      <c r="G45">
        <f t="shared" si="5"/>
        <v>7.9515999997965991E-2</v>
      </c>
      <c r="I45">
        <f>+G45</f>
        <v>7.9515999997965991E-2</v>
      </c>
      <c r="O45">
        <f t="shared" ca="1" si="8"/>
        <v>7.9802008406834407E-2</v>
      </c>
      <c r="Q45" s="2">
        <f t="shared" si="4"/>
        <v>38326.442199999998</v>
      </c>
    </row>
    <row r="46" spans="1:32" ht="12.75" customHeight="1">
      <c r="A46" s="11" t="s">
        <v>35</v>
      </c>
      <c r="B46" s="12" t="s">
        <v>34</v>
      </c>
      <c r="C46" s="13">
        <v>53377.650099999999</v>
      </c>
      <c r="D46" s="13">
        <v>4.0000000000000002E-4</v>
      </c>
      <c r="E46">
        <f t="shared" si="0"/>
        <v>16715.050148113813</v>
      </c>
      <c r="F46">
        <f t="shared" si="1"/>
        <v>16715</v>
      </c>
      <c r="G46">
        <f t="shared" si="5"/>
        <v>7.8110000002197921E-2</v>
      </c>
      <c r="K46">
        <f t="shared" si="7"/>
        <v>7.8110000002197921E-2</v>
      </c>
      <c r="O46">
        <f t="shared" ca="1" si="8"/>
        <v>7.9595643510436381E-2</v>
      </c>
      <c r="Q46" s="2">
        <f t="shared" si="4"/>
        <v>38359.150099999999</v>
      </c>
    </row>
    <row r="47" spans="1:32">
      <c r="A47" s="48" t="s">
        <v>165</v>
      </c>
      <c r="B47" s="50" t="s">
        <v>34</v>
      </c>
      <c r="C47" s="49">
        <v>54115.943200000002</v>
      </c>
      <c r="D47" s="49" t="s">
        <v>59</v>
      </c>
      <c r="E47">
        <f t="shared" si="0"/>
        <v>17189.048437774865</v>
      </c>
      <c r="F47">
        <f t="shared" si="1"/>
        <v>17189</v>
      </c>
      <c r="G47">
        <f t="shared" si="5"/>
        <v>7.5446000002557412E-2</v>
      </c>
      <c r="I47">
        <f>+G47</f>
        <v>7.5446000002557412E-2</v>
      </c>
      <c r="O47">
        <f t="shared" ca="1" si="8"/>
        <v>7.4937692991737886E-2</v>
      </c>
      <c r="Q47" s="2">
        <f t="shared" si="4"/>
        <v>39097.443200000002</v>
      </c>
    </row>
    <row r="48" spans="1:32" ht="12.75" customHeight="1">
      <c r="A48" s="33" t="s">
        <v>46</v>
      </c>
      <c r="B48" s="34" t="s">
        <v>34</v>
      </c>
      <c r="C48" s="33">
        <v>55858.866999999998</v>
      </c>
      <c r="D48" s="33">
        <v>6.9999999999999999E-4</v>
      </c>
      <c r="E48">
        <f t="shared" si="0"/>
        <v>18308.038849861259</v>
      </c>
      <c r="F48">
        <f t="shared" si="1"/>
        <v>18308</v>
      </c>
      <c r="G48">
        <f t="shared" si="5"/>
        <v>6.0511999996379018E-2</v>
      </c>
      <c r="K48">
        <f t="shared" si="7"/>
        <v>6.0511999996379018E-2</v>
      </c>
      <c r="O48">
        <f t="shared" ca="1" si="8"/>
        <v>6.3941392083671167E-2</v>
      </c>
      <c r="Q48" s="2">
        <f t="shared" si="4"/>
        <v>40840.366999999998</v>
      </c>
    </row>
    <row r="49" spans="1:17">
      <c r="A49" s="52" t="s">
        <v>47</v>
      </c>
      <c r="B49" s="53" t="s">
        <v>34</v>
      </c>
      <c r="C49" s="54">
        <v>55877.560899999997</v>
      </c>
      <c r="D49" s="54">
        <v>1.6000000000000001E-3</v>
      </c>
      <c r="E49">
        <f t="shared" si="0"/>
        <v>18320.040691172107</v>
      </c>
      <c r="F49">
        <f t="shared" si="1"/>
        <v>18320</v>
      </c>
      <c r="G49">
        <f t="shared" si="5"/>
        <v>6.3379999992321245E-2</v>
      </c>
      <c r="K49">
        <f t="shared" si="7"/>
        <v>6.3379999992321245E-2</v>
      </c>
      <c r="O49">
        <f t="shared" ca="1" si="8"/>
        <v>6.3823469285729434E-2</v>
      </c>
      <c r="Q49" s="2">
        <f t="shared" si="4"/>
        <v>40859.060899999997</v>
      </c>
    </row>
    <row r="50" spans="1:17">
      <c r="A50" s="52" t="s">
        <v>47</v>
      </c>
      <c r="B50" s="53" t="s">
        <v>34</v>
      </c>
      <c r="C50" s="54">
        <v>55891.579400000002</v>
      </c>
      <c r="D50" s="54">
        <v>5.9999999999999995E-4</v>
      </c>
      <c r="E50">
        <f t="shared" si="0"/>
        <v>18329.040836268432</v>
      </c>
      <c r="F50">
        <f t="shared" si="1"/>
        <v>18329</v>
      </c>
      <c r="G50">
        <f t="shared" si="5"/>
        <v>6.3606000003346708E-2</v>
      </c>
      <c r="K50">
        <f t="shared" si="7"/>
        <v>6.3606000003346708E-2</v>
      </c>
      <c r="O50">
        <f t="shared" ca="1" si="8"/>
        <v>6.3735027187273141E-2</v>
      </c>
      <c r="Q50" s="2">
        <f t="shared" si="4"/>
        <v>40873.079400000002</v>
      </c>
    </row>
    <row r="51" spans="1:17">
      <c r="A51" s="52" t="s">
        <v>47</v>
      </c>
      <c r="B51" s="53" t="s">
        <v>48</v>
      </c>
      <c r="C51" s="54">
        <v>55895.469499999999</v>
      </c>
      <c r="D51" s="54">
        <v>3.3999999999999998E-3</v>
      </c>
      <c r="E51">
        <f t="shared" si="0"/>
        <v>18331.538354864515</v>
      </c>
      <c r="F51">
        <f t="shared" si="1"/>
        <v>18331.5</v>
      </c>
      <c r="G51">
        <f t="shared" si="5"/>
        <v>5.9740999997302424E-2</v>
      </c>
      <c r="K51">
        <f t="shared" si="7"/>
        <v>5.9740999997302424E-2</v>
      </c>
      <c r="O51">
        <f t="shared" ca="1" si="8"/>
        <v>6.3710459937701941E-2</v>
      </c>
      <c r="Q51" s="2">
        <f t="shared" si="4"/>
        <v>40876.969499999999</v>
      </c>
    </row>
    <row r="52" spans="1:17">
      <c r="A52" s="52" t="s">
        <v>47</v>
      </c>
      <c r="B52" s="53" t="s">
        <v>34</v>
      </c>
      <c r="C52" s="54">
        <v>55952.3246</v>
      </c>
      <c r="D52" s="54">
        <v>2.9999999999999997E-4</v>
      </c>
      <c r="E52">
        <f t="shared" si="0"/>
        <v>18368.040416387925</v>
      </c>
      <c r="F52">
        <f t="shared" si="1"/>
        <v>18368</v>
      </c>
      <c r="G52">
        <f t="shared" si="5"/>
        <v>6.2952000000223052E-2</v>
      </c>
      <c r="K52">
        <f t="shared" si="7"/>
        <v>6.2952000000223052E-2</v>
      </c>
      <c r="O52">
        <f t="shared" ca="1" si="8"/>
        <v>6.3351778093962502E-2</v>
      </c>
      <c r="Q52" s="2">
        <f t="shared" si="4"/>
        <v>40933.8246</v>
      </c>
    </row>
    <row r="53" spans="1:17">
      <c r="A53" s="52" t="s">
        <v>47</v>
      </c>
      <c r="B53" s="53" t="s">
        <v>34</v>
      </c>
      <c r="C53" s="54">
        <v>55952.324800000002</v>
      </c>
      <c r="D53" s="54">
        <v>4.0000000000000002E-4</v>
      </c>
      <c r="E53">
        <f t="shared" si="0"/>
        <v>18368.040544791751</v>
      </c>
      <c r="F53">
        <f t="shared" si="1"/>
        <v>18368</v>
      </c>
      <c r="G53">
        <f t="shared" si="5"/>
        <v>6.3152000002446584E-2</v>
      </c>
      <c r="K53">
        <f t="shared" si="7"/>
        <v>6.3152000002446584E-2</v>
      </c>
      <c r="O53">
        <f t="shared" ca="1" si="8"/>
        <v>6.3351778093962502E-2</v>
      </c>
      <c r="Q53" s="2">
        <f t="shared" si="4"/>
        <v>40933.824800000002</v>
      </c>
    </row>
    <row r="54" spans="1:17">
      <c r="A54" s="55" t="s">
        <v>191</v>
      </c>
      <c r="B54" s="56" t="s">
        <v>34</v>
      </c>
      <c r="C54" s="57">
        <v>56911.791550000002</v>
      </c>
      <c r="D54" s="57">
        <v>1E-4</v>
      </c>
      <c r="E54">
        <f>+(C54-C$7)/C$8</f>
        <v>18984.036547580679</v>
      </c>
      <c r="F54">
        <f t="shared" si="1"/>
        <v>18984</v>
      </c>
      <c r="G54">
        <f>+C54-(C$7+F54*C$8)</f>
        <v>5.6925999997474719E-2</v>
      </c>
      <c r="K54">
        <f>+G54</f>
        <v>5.6925999997474719E-2</v>
      </c>
      <c r="O54">
        <f ca="1">+C$11+C$12*$F54</f>
        <v>5.7298407799620171E-2</v>
      </c>
      <c r="Q54" s="2">
        <f>+C54-15018.5</f>
        <v>41893.291550000002</v>
      </c>
    </row>
    <row r="55" spans="1:17">
      <c r="A55" s="55" t="s">
        <v>191</v>
      </c>
      <c r="B55" s="56" t="s">
        <v>34</v>
      </c>
      <c r="C55" s="57">
        <v>56911.794110000003</v>
      </c>
      <c r="D55" s="57">
        <v>2.9999999999999997E-4</v>
      </c>
      <c r="E55">
        <f>+(C55-C$7)/C$8</f>
        <v>18984.038191149641</v>
      </c>
      <c r="F55">
        <f t="shared" si="1"/>
        <v>18984</v>
      </c>
      <c r="G55">
        <f>+C55-(C$7+F55*C$8)</f>
        <v>5.9485999998287298E-2</v>
      </c>
      <c r="K55">
        <f>+G55</f>
        <v>5.9485999998287298E-2</v>
      </c>
      <c r="O55">
        <f ca="1">+C$11+C$12*$F55</f>
        <v>5.7298407799620171E-2</v>
      </c>
      <c r="Q55" s="2">
        <f>+C55-15018.5</f>
        <v>41893.294110000003</v>
      </c>
    </row>
    <row r="56" spans="1:17">
      <c r="A56" s="55" t="s">
        <v>191</v>
      </c>
      <c r="B56" s="56" t="s">
        <v>34</v>
      </c>
      <c r="C56" s="57">
        <v>56911.794159999998</v>
      </c>
      <c r="D56" s="57">
        <v>2.0000000000000001E-4</v>
      </c>
      <c r="E56">
        <f>+(C56-C$7)/C$8</f>
        <v>18984.038223250594</v>
      </c>
      <c r="F56">
        <f t="shared" si="1"/>
        <v>18984</v>
      </c>
      <c r="G56">
        <f>+C56-(C$7+F56*C$8)</f>
        <v>5.9535999993386213E-2</v>
      </c>
      <c r="K56">
        <f>+G56</f>
        <v>5.9535999993386213E-2</v>
      </c>
      <c r="O56">
        <f ca="1">+C$11+C$12*$F56</f>
        <v>5.7298407799620171E-2</v>
      </c>
      <c r="Q56" s="2">
        <f>+C56-15018.5</f>
        <v>41893.294159999998</v>
      </c>
    </row>
    <row r="57" spans="1:17">
      <c r="A57" s="55" t="s">
        <v>191</v>
      </c>
      <c r="B57" s="56" t="s">
        <v>34</v>
      </c>
      <c r="C57" s="57">
        <v>56911.795039999997</v>
      </c>
      <c r="D57" s="57">
        <v>2.0000000000000001E-4</v>
      </c>
      <c r="E57">
        <f>+(C57-C$7)/C$8</f>
        <v>18984.038788227423</v>
      </c>
      <c r="F57">
        <f t="shared" si="1"/>
        <v>18984</v>
      </c>
      <c r="G57">
        <f>+C57-(C$7+F57*C$8)</f>
        <v>6.0415999992983416E-2</v>
      </c>
      <c r="K57">
        <f>+G57</f>
        <v>6.0415999992983416E-2</v>
      </c>
      <c r="O57">
        <f ca="1">+C$11+C$12*$F57</f>
        <v>5.7298407799620171E-2</v>
      </c>
      <c r="Q57" s="2">
        <f>+C57-15018.5</f>
        <v>41893.295039999997</v>
      </c>
    </row>
    <row r="58" spans="1:17">
      <c r="B58" s="5"/>
      <c r="C58" s="16"/>
      <c r="D58" s="16"/>
    </row>
    <row r="59" spans="1:17">
      <c r="B59" s="5"/>
      <c r="C59" s="16"/>
      <c r="D59" s="16"/>
    </row>
    <row r="60" spans="1:17">
      <c r="B60" s="5"/>
      <c r="C60" s="16"/>
      <c r="D60" s="16"/>
    </row>
    <row r="61" spans="1:17">
      <c r="B61" s="5"/>
      <c r="C61" s="16"/>
      <c r="D61" s="16"/>
    </row>
    <row r="62" spans="1:17">
      <c r="B62" s="5"/>
      <c r="C62" s="16"/>
      <c r="D62" s="16"/>
    </row>
    <row r="63" spans="1:17">
      <c r="B63" s="5"/>
      <c r="C63" s="16"/>
      <c r="D63" s="16"/>
    </row>
    <row r="64" spans="1:17">
      <c r="B64" s="5"/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</sheetData>
  <phoneticPr fontId="7" type="noConversion"/>
  <hyperlinks>
    <hyperlink ref="H49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7"/>
  <sheetViews>
    <sheetView workbookViewId="0">
      <selection activeCell="A21" sqref="A21:D42"/>
    </sheetView>
  </sheetViews>
  <sheetFormatPr defaultRowHeight="12.75"/>
  <cols>
    <col min="1" max="1" width="19.7109375" style="16" customWidth="1"/>
    <col min="2" max="2" width="4.42578125" style="19" customWidth="1"/>
    <col min="3" max="3" width="12.7109375" style="16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6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35" t="s">
        <v>49</v>
      </c>
      <c r="I1" s="36" t="s">
        <v>50</v>
      </c>
      <c r="J1" s="37" t="s">
        <v>51</v>
      </c>
    </row>
    <row r="2" spans="1:16">
      <c r="I2" s="38" t="s">
        <v>52</v>
      </c>
      <c r="J2" s="39" t="s">
        <v>53</v>
      </c>
    </row>
    <row r="3" spans="1:16">
      <c r="A3" s="40" t="s">
        <v>54</v>
      </c>
      <c r="I3" s="38" t="s">
        <v>55</v>
      </c>
      <c r="J3" s="39" t="s">
        <v>56</v>
      </c>
    </row>
    <row r="4" spans="1:16">
      <c r="I4" s="38" t="s">
        <v>57</v>
      </c>
      <c r="J4" s="39" t="s">
        <v>56</v>
      </c>
    </row>
    <row r="5" spans="1:16" ht="13.5" thickBot="1">
      <c r="I5" s="41" t="s">
        <v>58</v>
      </c>
      <c r="J5" s="42" t="s">
        <v>59</v>
      </c>
    </row>
    <row r="10" spans="1:16" ht="13.5" thickBot="1"/>
    <row r="11" spans="1:16" ht="12.75" customHeight="1" thickBot="1">
      <c r="A11" s="16" t="str">
        <f t="shared" ref="A11:A42" si="0">P11</f>
        <v> BBS 100 </v>
      </c>
      <c r="B11" s="5" t="str">
        <f t="shared" ref="B11:B42" si="1">IF(H11=INT(H11),"I","II")</f>
        <v>I</v>
      </c>
      <c r="C11" s="16">
        <f t="shared" ref="C11:C42" si="2">1*G11</f>
        <v>48597.445</v>
      </c>
      <c r="D11" s="19" t="str">
        <f t="shared" ref="D11:D42" si="3">VLOOKUP(F11,I$1:J$5,2,FALSE)</f>
        <v>vis</v>
      </c>
      <c r="E11" s="43">
        <f>VLOOKUP(C11,Active!C$21:E$973,3,FALSE)</f>
        <v>13646.067055045436</v>
      </c>
      <c r="F11" s="5" t="s">
        <v>58</v>
      </c>
      <c r="G11" s="19" t="str">
        <f t="shared" ref="G11:G42" si="4">MID(I11,3,LEN(I11)-3)</f>
        <v>48597.445</v>
      </c>
      <c r="H11" s="16">
        <f t="shared" ref="H11:H42" si="5">1*K11</f>
        <v>13646</v>
      </c>
      <c r="I11" s="44" t="s">
        <v>124</v>
      </c>
      <c r="J11" s="45" t="s">
        <v>125</v>
      </c>
      <c r="K11" s="44">
        <v>13646</v>
      </c>
      <c r="L11" s="44" t="s">
        <v>126</v>
      </c>
      <c r="M11" s="45" t="s">
        <v>127</v>
      </c>
      <c r="N11" s="45" t="s">
        <v>128</v>
      </c>
      <c r="O11" s="46" t="s">
        <v>129</v>
      </c>
      <c r="P11" s="46" t="s">
        <v>130</v>
      </c>
    </row>
    <row r="12" spans="1:16" ht="12.75" customHeight="1" thickBot="1">
      <c r="A12" s="16" t="str">
        <f t="shared" si="0"/>
        <v> BBS 106 </v>
      </c>
      <c r="B12" s="5" t="str">
        <f t="shared" si="1"/>
        <v>I</v>
      </c>
      <c r="C12" s="16">
        <f t="shared" si="2"/>
        <v>49340.42</v>
      </c>
      <c r="D12" s="19" t="str">
        <f t="shared" si="3"/>
        <v>vis</v>
      </c>
      <c r="E12" s="43">
        <f>VLOOKUP(C12,Active!C$21:E$973,3,FALSE)</f>
        <v>14123.071214045323</v>
      </c>
      <c r="F12" s="5" t="s">
        <v>58</v>
      </c>
      <c r="G12" s="19" t="str">
        <f t="shared" si="4"/>
        <v>49340.420</v>
      </c>
      <c r="H12" s="16">
        <f t="shared" si="5"/>
        <v>14123</v>
      </c>
      <c r="I12" s="44" t="s">
        <v>131</v>
      </c>
      <c r="J12" s="45" t="s">
        <v>132</v>
      </c>
      <c r="K12" s="44">
        <v>14123</v>
      </c>
      <c r="L12" s="44" t="s">
        <v>133</v>
      </c>
      <c r="M12" s="45" t="s">
        <v>127</v>
      </c>
      <c r="N12" s="45" t="s">
        <v>128</v>
      </c>
      <c r="O12" s="46" t="s">
        <v>129</v>
      </c>
      <c r="P12" s="46" t="s">
        <v>134</v>
      </c>
    </row>
    <row r="13" spans="1:16" ht="12.75" customHeight="1" thickBot="1">
      <c r="A13" s="16" t="str">
        <f t="shared" si="0"/>
        <v>IBVS 5287 </v>
      </c>
      <c r="B13" s="5" t="str">
        <f t="shared" si="1"/>
        <v>I</v>
      </c>
      <c r="C13" s="16">
        <f t="shared" si="2"/>
        <v>51569.3073</v>
      </c>
      <c r="D13" s="19" t="str">
        <f t="shared" si="3"/>
        <v>vis</v>
      </c>
      <c r="E13" s="43">
        <f>VLOOKUP(C13,Active!C$21:E$973,3,FALSE)</f>
        <v>15554.059486923998</v>
      </c>
      <c r="F13" s="5" t="s">
        <v>58</v>
      </c>
      <c r="G13" s="19" t="str">
        <f t="shared" si="4"/>
        <v>51569.3073</v>
      </c>
      <c r="H13" s="16">
        <f t="shared" si="5"/>
        <v>15554</v>
      </c>
      <c r="I13" s="44" t="s">
        <v>135</v>
      </c>
      <c r="J13" s="45" t="s">
        <v>136</v>
      </c>
      <c r="K13" s="44">
        <v>15554</v>
      </c>
      <c r="L13" s="44" t="s">
        <v>137</v>
      </c>
      <c r="M13" s="45" t="s">
        <v>127</v>
      </c>
      <c r="N13" s="45" t="s">
        <v>128</v>
      </c>
      <c r="O13" s="46" t="s">
        <v>138</v>
      </c>
      <c r="P13" s="47" t="s">
        <v>139</v>
      </c>
    </row>
    <row r="14" spans="1:16" ht="12.75" customHeight="1" thickBot="1">
      <c r="A14" s="16" t="str">
        <f t="shared" si="0"/>
        <v>IBVS 5677 </v>
      </c>
      <c r="B14" s="5" t="str">
        <f t="shared" si="1"/>
        <v>I</v>
      </c>
      <c r="C14" s="16">
        <f t="shared" si="2"/>
        <v>53377.650099999999</v>
      </c>
      <c r="D14" s="19" t="str">
        <f t="shared" si="3"/>
        <v>vis</v>
      </c>
      <c r="E14" s="43">
        <f>VLOOKUP(C14,Active!C$21:E$973,3,FALSE)</f>
        <v>16715.050148113813</v>
      </c>
      <c r="F14" s="5" t="s">
        <v>58</v>
      </c>
      <c r="G14" s="19" t="str">
        <f t="shared" si="4"/>
        <v>53377.6501</v>
      </c>
      <c r="H14" s="16">
        <f t="shared" si="5"/>
        <v>16715</v>
      </c>
      <c r="I14" s="44" t="s">
        <v>154</v>
      </c>
      <c r="J14" s="45" t="s">
        <v>155</v>
      </c>
      <c r="K14" s="44">
        <v>16715</v>
      </c>
      <c r="L14" s="44" t="s">
        <v>156</v>
      </c>
      <c r="M14" s="45" t="s">
        <v>127</v>
      </c>
      <c r="N14" s="45" t="s">
        <v>128</v>
      </c>
      <c r="O14" s="46" t="s">
        <v>157</v>
      </c>
      <c r="P14" s="47" t="s">
        <v>158</v>
      </c>
    </row>
    <row r="15" spans="1:16" ht="12.75" customHeight="1" thickBot="1">
      <c r="A15" s="16" t="str">
        <f t="shared" si="0"/>
        <v>IBVS 6011 </v>
      </c>
      <c r="B15" s="5" t="str">
        <f t="shared" si="1"/>
        <v>I</v>
      </c>
      <c r="C15" s="16">
        <f t="shared" si="2"/>
        <v>55858.866999999998</v>
      </c>
      <c r="D15" s="19" t="str">
        <f t="shared" si="3"/>
        <v>vis</v>
      </c>
      <c r="E15" s="43">
        <f>VLOOKUP(C15,Active!C$21:E$973,3,FALSE)</f>
        <v>18308.038849861259</v>
      </c>
      <c r="F15" s="5" t="s">
        <v>58</v>
      </c>
      <c r="G15" s="19" t="str">
        <f t="shared" si="4"/>
        <v>55858.8670</v>
      </c>
      <c r="H15" s="16">
        <f t="shared" si="5"/>
        <v>18308</v>
      </c>
      <c r="I15" s="44" t="s">
        <v>166</v>
      </c>
      <c r="J15" s="45" t="s">
        <v>167</v>
      </c>
      <c r="K15" s="44">
        <v>18308</v>
      </c>
      <c r="L15" s="44" t="s">
        <v>168</v>
      </c>
      <c r="M15" s="45" t="s">
        <v>162</v>
      </c>
      <c r="N15" s="45" t="s">
        <v>58</v>
      </c>
      <c r="O15" s="46" t="s">
        <v>169</v>
      </c>
      <c r="P15" s="47" t="s">
        <v>170</v>
      </c>
    </row>
    <row r="16" spans="1:16" ht="12.75" customHeight="1" thickBot="1">
      <c r="A16" s="16" t="str">
        <f t="shared" si="0"/>
        <v>IBVS 6033 </v>
      </c>
      <c r="B16" s="5" t="str">
        <f t="shared" si="1"/>
        <v>I</v>
      </c>
      <c r="C16" s="16">
        <f t="shared" si="2"/>
        <v>55877.560899999997</v>
      </c>
      <c r="D16" s="19" t="str">
        <f t="shared" si="3"/>
        <v>vis</v>
      </c>
      <c r="E16" s="43">
        <f>VLOOKUP(C16,Active!C$21:E$973,3,FALSE)</f>
        <v>18320.040691172107</v>
      </c>
      <c r="F16" s="5" t="s">
        <v>58</v>
      </c>
      <c r="G16" s="19" t="str">
        <f t="shared" si="4"/>
        <v>55877.5609</v>
      </c>
      <c r="H16" s="16">
        <f t="shared" si="5"/>
        <v>18320</v>
      </c>
      <c r="I16" s="44" t="s">
        <v>171</v>
      </c>
      <c r="J16" s="45" t="s">
        <v>172</v>
      </c>
      <c r="K16" s="44">
        <v>18320</v>
      </c>
      <c r="L16" s="44" t="s">
        <v>173</v>
      </c>
      <c r="M16" s="45" t="s">
        <v>162</v>
      </c>
      <c r="N16" s="45" t="s">
        <v>58</v>
      </c>
      <c r="O16" s="46" t="s">
        <v>174</v>
      </c>
      <c r="P16" s="47" t="s">
        <v>175</v>
      </c>
    </row>
    <row r="17" spans="1:16" ht="12.75" customHeight="1" thickBot="1">
      <c r="A17" s="16" t="str">
        <f t="shared" si="0"/>
        <v>IBVS 6033 </v>
      </c>
      <c r="B17" s="5" t="str">
        <f t="shared" si="1"/>
        <v>I</v>
      </c>
      <c r="C17" s="16">
        <f t="shared" si="2"/>
        <v>55891.579400000002</v>
      </c>
      <c r="D17" s="19" t="str">
        <f t="shared" si="3"/>
        <v>vis</v>
      </c>
      <c r="E17" s="43">
        <f>VLOOKUP(C17,Active!C$21:E$973,3,FALSE)</f>
        <v>18329.040836268432</v>
      </c>
      <c r="F17" s="5" t="s">
        <v>58</v>
      </c>
      <c r="G17" s="19" t="str">
        <f t="shared" si="4"/>
        <v>55891.5794</v>
      </c>
      <c r="H17" s="16">
        <f t="shared" si="5"/>
        <v>18329</v>
      </c>
      <c r="I17" s="44" t="s">
        <v>176</v>
      </c>
      <c r="J17" s="45" t="s">
        <v>177</v>
      </c>
      <c r="K17" s="44">
        <v>18329</v>
      </c>
      <c r="L17" s="44" t="s">
        <v>178</v>
      </c>
      <c r="M17" s="45" t="s">
        <v>162</v>
      </c>
      <c r="N17" s="45" t="s">
        <v>58</v>
      </c>
      <c r="O17" s="46" t="s">
        <v>174</v>
      </c>
      <c r="P17" s="47" t="s">
        <v>175</v>
      </c>
    </row>
    <row r="18" spans="1:16" ht="12.75" customHeight="1" thickBot="1">
      <c r="A18" s="16" t="str">
        <f t="shared" si="0"/>
        <v>IBVS 6033 </v>
      </c>
      <c r="B18" s="5" t="str">
        <f t="shared" si="1"/>
        <v>II</v>
      </c>
      <c r="C18" s="16">
        <f t="shared" si="2"/>
        <v>55895.469499999999</v>
      </c>
      <c r="D18" s="19" t="str">
        <f t="shared" si="3"/>
        <v>vis</v>
      </c>
      <c r="E18" s="43">
        <f>VLOOKUP(C18,Active!C$21:E$973,3,FALSE)</f>
        <v>18331.538354864515</v>
      </c>
      <c r="F18" s="5" t="s">
        <v>58</v>
      </c>
      <c r="G18" s="19" t="str">
        <f t="shared" si="4"/>
        <v>55895.4695</v>
      </c>
      <c r="H18" s="16">
        <f t="shared" si="5"/>
        <v>18331.5</v>
      </c>
      <c r="I18" s="44" t="s">
        <v>179</v>
      </c>
      <c r="J18" s="45" t="s">
        <v>180</v>
      </c>
      <c r="K18" s="44">
        <v>18331.5</v>
      </c>
      <c r="L18" s="44" t="s">
        <v>181</v>
      </c>
      <c r="M18" s="45" t="s">
        <v>162</v>
      </c>
      <c r="N18" s="45" t="s">
        <v>58</v>
      </c>
      <c r="O18" s="46" t="s">
        <v>174</v>
      </c>
      <c r="P18" s="47" t="s">
        <v>175</v>
      </c>
    </row>
    <row r="19" spans="1:16" ht="12.75" customHeight="1" thickBot="1">
      <c r="A19" s="16" t="str">
        <f t="shared" si="0"/>
        <v>IBVS 6033 </v>
      </c>
      <c r="B19" s="5" t="str">
        <f t="shared" si="1"/>
        <v>I</v>
      </c>
      <c r="C19" s="16">
        <f t="shared" si="2"/>
        <v>55952.3246</v>
      </c>
      <c r="D19" s="19" t="str">
        <f t="shared" si="3"/>
        <v>vis</v>
      </c>
      <c r="E19" s="43">
        <f>VLOOKUP(C19,Active!C$21:E$973,3,FALSE)</f>
        <v>18368.040416387925</v>
      </c>
      <c r="F19" s="5" t="s">
        <v>58</v>
      </c>
      <c r="G19" s="19" t="str">
        <f t="shared" si="4"/>
        <v>55952.3246</v>
      </c>
      <c r="H19" s="16">
        <f t="shared" si="5"/>
        <v>18368</v>
      </c>
      <c r="I19" s="44" t="s">
        <v>182</v>
      </c>
      <c r="J19" s="45" t="s">
        <v>183</v>
      </c>
      <c r="K19" s="44">
        <v>18368</v>
      </c>
      <c r="L19" s="44" t="s">
        <v>184</v>
      </c>
      <c r="M19" s="45" t="s">
        <v>162</v>
      </c>
      <c r="N19" s="45" t="s">
        <v>58</v>
      </c>
      <c r="O19" s="46" t="s">
        <v>185</v>
      </c>
      <c r="P19" s="47" t="s">
        <v>175</v>
      </c>
    </row>
    <row r="20" spans="1:16" ht="12.75" customHeight="1" thickBot="1">
      <c r="A20" s="16" t="str">
        <f t="shared" si="0"/>
        <v>IBVS 6033 </v>
      </c>
      <c r="B20" s="5" t="str">
        <f t="shared" si="1"/>
        <v>I</v>
      </c>
      <c r="C20" s="16">
        <f t="shared" si="2"/>
        <v>55952.324800000002</v>
      </c>
      <c r="D20" s="19" t="str">
        <f t="shared" si="3"/>
        <v>vis</v>
      </c>
      <c r="E20" s="43">
        <f>VLOOKUP(C20,Active!C$21:E$973,3,FALSE)</f>
        <v>18368.040544791751</v>
      </c>
      <c r="F20" s="5" t="s">
        <v>58</v>
      </c>
      <c r="G20" s="19" t="str">
        <f t="shared" si="4"/>
        <v>55952.3248</v>
      </c>
      <c r="H20" s="16">
        <f t="shared" si="5"/>
        <v>18368</v>
      </c>
      <c r="I20" s="44" t="s">
        <v>186</v>
      </c>
      <c r="J20" s="45" t="s">
        <v>183</v>
      </c>
      <c r="K20" s="44">
        <v>18368</v>
      </c>
      <c r="L20" s="44" t="s">
        <v>187</v>
      </c>
      <c r="M20" s="45" t="s">
        <v>162</v>
      </c>
      <c r="N20" s="45" t="s">
        <v>188</v>
      </c>
      <c r="O20" s="46" t="s">
        <v>189</v>
      </c>
      <c r="P20" s="47" t="s">
        <v>175</v>
      </c>
    </row>
    <row r="21" spans="1:16" ht="12.75" customHeight="1" thickBot="1">
      <c r="A21" s="16" t="str">
        <f t="shared" si="0"/>
        <v> AAC 2.154 </v>
      </c>
      <c r="B21" s="5" t="str">
        <f t="shared" si="1"/>
        <v>I</v>
      </c>
      <c r="C21" s="16">
        <f t="shared" si="2"/>
        <v>25646.273000000001</v>
      </c>
      <c r="D21" s="19" t="str">
        <f t="shared" si="3"/>
        <v>vis</v>
      </c>
      <c r="E21" s="43">
        <f>VLOOKUP(C21,Active!C$21:E$973,3,FALSE)</f>
        <v>-1089.0242978557844</v>
      </c>
      <c r="F21" s="5" t="s">
        <v>58</v>
      </c>
      <c r="G21" s="19" t="str">
        <f t="shared" si="4"/>
        <v>25646.273</v>
      </c>
      <c r="H21" s="16">
        <f t="shared" si="5"/>
        <v>-1089</v>
      </c>
      <c r="I21" s="44" t="s">
        <v>61</v>
      </c>
      <c r="J21" s="45" t="s">
        <v>62</v>
      </c>
      <c r="K21" s="44">
        <v>-1089</v>
      </c>
      <c r="L21" s="44" t="s">
        <v>63</v>
      </c>
      <c r="M21" s="45" t="s">
        <v>64</v>
      </c>
      <c r="N21" s="45"/>
      <c r="O21" s="46" t="s">
        <v>65</v>
      </c>
      <c r="P21" s="46" t="s">
        <v>66</v>
      </c>
    </row>
    <row r="22" spans="1:16" ht="12.75" customHeight="1" thickBot="1">
      <c r="A22" s="16" t="str">
        <f t="shared" si="0"/>
        <v> PZ 4.24 </v>
      </c>
      <c r="B22" s="5" t="str">
        <f t="shared" si="1"/>
        <v>I</v>
      </c>
      <c r="C22" s="16">
        <f t="shared" si="2"/>
        <v>26607.306</v>
      </c>
      <c r="D22" s="19" t="str">
        <f t="shared" si="3"/>
        <v>vis</v>
      </c>
      <c r="E22" s="43">
        <f>VLOOKUP(C22,Active!C$21:E$973,3,FALSE)</f>
        <v>-472.02273261315935</v>
      </c>
      <c r="F22" s="5" t="s">
        <v>58</v>
      </c>
      <c r="G22" s="19" t="str">
        <f t="shared" si="4"/>
        <v>26607.306</v>
      </c>
      <c r="H22" s="16">
        <f t="shared" si="5"/>
        <v>-472</v>
      </c>
      <c r="I22" s="44" t="s">
        <v>67</v>
      </c>
      <c r="J22" s="45" t="s">
        <v>68</v>
      </c>
      <c r="K22" s="44">
        <v>-472</v>
      </c>
      <c r="L22" s="44" t="s">
        <v>69</v>
      </c>
      <c r="M22" s="45" t="s">
        <v>70</v>
      </c>
      <c r="N22" s="45"/>
      <c r="O22" s="46" t="s">
        <v>71</v>
      </c>
      <c r="P22" s="46" t="s">
        <v>72</v>
      </c>
    </row>
    <row r="23" spans="1:16" ht="12.75" customHeight="1" thickBot="1">
      <c r="A23" s="16" t="str">
        <f t="shared" si="0"/>
        <v> CTAD 4 </v>
      </c>
      <c r="B23" s="5" t="str">
        <f t="shared" si="1"/>
        <v>I</v>
      </c>
      <c r="C23" s="16">
        <f t="shared" si="2"/>
        <v>26607.31</v>
      </c>
      <c r="D23" s="19" t="str">
        <f t="shared" si="3"/>
        <v>vis</v>
      </c>
      <c r="E23" s="43">
        <f>VLOOKUP(C23,Active!C$21:E$973,3,FALSE)</f>
        <v>-472.02016453666096</v>
      </c>
      <c r="F23" s="5" t="s">
        <v>58</v>
      </c>
      <c r="G23" s="19" t="str">
        <f t="shared" si="4"/>
        <v>26607.31</v>
      </c>
      <c r="H23" s="16">
        <f t="shared" si="5"/>
        <v>-472</v>
      </c>
      <c r="I23" s="44" t="s">
        <v>73</v>
      </c>
      <c r="J23" s="45" t="s">
        <v>74</v>
      </c>
      <c r="K23" s="44">
        <v>-472</v>
      </c>
      <c r="L23" s="44" t="s">
        <v>75</v>
      </c>
      <c r="M23" s="45" t="s">
        <v>70</v>
      </c>
      <c r="N23" s="45"/>
      <c r="O23" s="46" t="s">
        <v>76</v>
      </c>
      <c r="P23" s="46" t="s">
        <v>77</v>
      </c>
    </row>
    <row r="24" spans="1:16" ht="12.75" customHeight="1" thickBot="1">
      <c r="A24" s="16" t="str">
        <f t="shared" si="0"/>
        <v> AAC 2.152 </v>
      </c>
      <c r="B24" s="5" t="str">
        <f t="shared" si="1"/>
        <v>I</v>
      </c>
      <c r="C24" s="16">
        <f t="shared" si="2"/>
        <v>26624.476999999999</v>
      </c>
      <c r="D24" s="19" t="str">
        <f t="shared" si="3"/>
        <v>vis</v>
      </c>
      <c r="E24" s="43">
        <f>VLOOKUP(C24,Active!C$21:E$973,3,FALSE)</f>
        <v>-460.99862222696015</v>
      </c>
      <c r="F24" s="5" t="s">
        <v>58</v>
      </c>
      <c r="G24" s="19" t="str">
        <f t="shared" si="4"/>
        <v>26624.477</v>
      </c>
      <c r="H24" s="16">
        <f t="shared" si="5"/>
        <v>-461</v>
      </c>
      <c r="I24" s="44" t="s">
        <v>78</v>
      </c>
      <c r="J24" s="45" t="s">
        <v>79</v>
      </c>
      <c r="K24" s="44">
        <v>-461</v>
      </c>
      <c r="L24" s="44" t="s">
        <v>80</v>
      </c>
      <c r="M24" s="45" t="s">
        <v>70</v>
      </c>
      <c r="N24" s="45"/>
      <c r="O24" s="46" t="s">
        <v>81</v>
      </c>
      <c r="P24" s="46" t="s">
        <v>82</v>
      </c>
    </row>
    <row r="25" spans="1:16" ht="12.75" customHeight="1" thickBot="1">
      <c r="A25" s="16" t="str">
        <f t="shared" si="0"/>
        <v> AAC 2.152 </v>
      </c>
      <c r="B25" s="5" t="str">
        <f t="shared" si="1"/>
        <v>I</v>
      </c>
      <c r="C25" s="16">
        <f t="shared" si="2"/>
        <v>26649.395</v>
      </c>
      <c r="D25" s="19" t="str">
        <f t="shared" si="3"/>
        <v>vis</v>
      </c>
      <c r="E25" s="43">
        <f>VLOOKUP(C25,Active!C$21:E$973,3,FALSE)</f>
        <v>-445.00078968352335</v>
      </c>
      <c r="F25" s="5" t="s">
        <v>58</v>
      </c>
      <c r="G25" s="19" t="str">
        <f t="shared" si="4"/>
        <v>26649.395</v>
      </c>
      <c r="H25" s="16">
        <f t="shared" si="5"/>
        <v>-445</v>
      </c>
      <c r="I25" s="44" t="s">
        <v>83</v>
      </c>
      <c r="J25" s="45" t="s">
        <v>84</v>
      </c>
      <c r="K25" s="44">
        <v>-445</v>
      </c>
      <c r="L25" s="44" t="s">
        <v>85</v>
      </c>
      <c r="M25" s="45" t="s">
        <v>70</v>
      </c>
      <c r="N25" s="45"/>
      <c r="O25" s="46" t="s">
        <v>81</v>
      </c>
      <c r="P25" s="46" t="s">
        <v>82</v>
      </c>
    </row>
    <row r="26" spans="1:16" ht="12.75" customHeight="1" thickBot="1">
      <c r="A26" s="16" t="str">
        <f t="shared" si="0"/>
        <v> AAC 2.152 </v>
      </c>
      <c r="B26" s="5" t="str">
        <f t="shared" si="1"/>
        <v>I</v>
      </c>
      <c r="C26" s="16">
        <f t="shared" si="2"/>
        <v>26976.49</v>
      </c>
      <c r="D26" s="19" t="str">
        <f t="shared" si="3"/>
        <v>vis</v>
      </c>
      <c r="E26" s="43">
        <f>VLOOKUP(C26,Active!C$21:E$973,3,FALSE)</f>
        <v>-234.99954416642115</v>
      </c>
      <c r="F26" s="5" t="s">
        <v>58</v>
      </c>
      <c r="G26" s="19" t="str">
        <f t="shared" si="4"/>
        <v>26976.490</v>
      </c>
      <c r="H26" s="16">
        <f t="shared" si="5"/>
        <v>-235</v>
      </c>
      <c r="I26" s="44" t="s">
        <v>86</v>
      </c>
      <c r="J26" s="45" t="s">
        <v>87</v>
      </c>
      <c r="K26" s="44">
        <v>-235</v>
      </c>
      <c r="L26" s="44" t="s">
        <v>88</v>
      </c>
      <c r="M26" s="45" t="s">
        <v>70</v>
      </c>
      <c r="N26" s="45"/>
      <c r="O26" s="46" t="s">
        <v>81</v>
      </c>
      <c r="P26" s="46" t="s">
        <v>82</v>
      </c>
    </row>
    <row r="27" spans="1:16" ht="12.75" customHeight="1" thickBot="1">
      <c r="A27" s="16" t="str">
        <f t="shared" si="0"/>
        <v> AAC 2.152 </v>
      </c>
      <c r="B27" s="5" t="str">
        <f t="shared" si="1"/>
        <v>I</v>
      </c>
      <c r="C27" s="16">
        <f t="shared" si="2"/>
        <v>27342.516</v>
      </c>
      <c r="D27" s="19" t="str">
        <f t="shared" si="3"/>
        <v>vis</v>
      </c>
      <c r="E27" s="43">
        <f>VLOOKUP(C27,Active!C$21:E$973,3,FALSE)</f>
        <v>-3.8521147475788567E-3</v>
      </c>
      <c r="F27" s="5" t="s">
        <v>58</v>
      </c>
      <c r="G27" s="19" t="str">
        <f t="shared" si="4"/>
        <v>27342.516</v>
      </c>
      <c r="H27" s="16">
        <f t="shared" si="5"/>
        <v>0</v>
      </c>
      <c r="I27" s="44" t="s">
        <v>89</v>
      </c>
      <c r="J27" s="45" t="s">
        <v>90</v>
      </c>
      <c r="K27" s="44">
        <v>0</v>
      </c>
      <c r="L27" s="44" t="s">
        <v>91</v>
      </c>
      <c r="M27" s="45" t="s">
        <v>70</v>
      </c>
      <c r="N27" s="45"/>
      <c r="O27" s="46" t="s">
        <v>81</v>
      </c>
      <c r="P27" s="46" t="s">
        <v>82</v>
      </c>
    </row>
    <row r="28" spans="1:16" ht="12.75" customHeight="1" thickBot="1">
      <c r="A28" s="16" t="str">
        <f t="shared" si="0"/>
        <v> CTAD 4 </v>
      </c>
      <c r="B28" s="5" t="str">
        <f t="shared" si="1"/>
        <v>I</v>
      </c>
      <c r="C28" s="16">
        <f t="shared" si="2"/>
        <v>27386.12</v>
      </c>
      <c r="D28" s="19" t="str">
        <f t="shared" si="3"/>
        <v>vis</v>
      </c>
      <c r="E28" s="43">
        <f>VLOOKUP(C28,Active!C$21:E$973,3,FALSE)</f>
        <v>27.990749788453503</v>
      </c>
      <c r="F28" s="5" t="s">
        <v>58</v>
      </c>
      <c r="G28" s="19" t="str">
        <f t="shared" si="4"/>
        <v>27386.12</v>
      </c>
      <c r="H28" s="16">
        <f t="shared" si="5"/>
        <v>28</v>
      </c>
      <c r="I28" s="44" t="s">
        <v>92</v>
      </c>
      <c r="J28" s="45" t="s">
        <v>93</v>
      </c>
      <c r="K28" s="44">
        <v>28</v>
      </c>
      <c r="L28" s="44" t="s">
        <v>94</v>
      </c>
      <c r="M28" s="45" t="s">
        <v>70</v>
      </c>
      <c r="N28" s="45"/>
      <c r="O28" s="46" t="s">
        <v>76</v>
      </c>
      <c r="P28" s="46" t="s">
        <v>77</v>
      </c>
    </row>
    <row r="29" spans="1:16" ht="12.75" customHeight="1" thickBot="1">
      <c r="A29" s="16" t="str">
        <f t="shared" si="0"/>
        <v> CTAD 4 </v>
      </c>
      <c r="B29" s="5" t="str">
        <f t="shared" si="1"/>
        <v>I</v>
      </c>
      <c r="C29" s="16">
        <f t="shared" si="2"/>
        <v>27403.29</v>
      </c>
      <c r="D29" s="19" t="str">
        <f t="shared" si="3"/>
        <v>vis</v>
      </c>
      <c r="E29" s="43">
        <f>VLOOKUP(C29,Active!C$21:E$973,3,FALSE)</f>
        <v>39.014218155530436</v>
      </c>
      <c r="F29" s="5" t="s">
        <v>58</v>
      </c>
      <c r="G29" s="19" t="str">
        <f t="shared" si="4"/>
        <v>27403.29</v>
      </c>
      <c r="H29" s="16">
        <f t="shared" si="5"/>
        <v>39</v>
      </c>
      <c r="I29" s="44" t="s">
        <v>95</v>
      </c>
      <c r="J29" s="45" t="s">
        <v>96</v>
      </c>
      <c r="K29" s="44">
        <v>39</v>
      </c>
      <c r="L29" s="44" t="s">
        <v>97</v>
      </c>
      <c r="M29" s="45" t="s">
        <v>70</v>
      </c>
      <c r="N29" s="45"/>
      <c r="O29" s="46" t="s">
        <v>76</v>
      </c>
      <c r="P29" s="46" t="s">
        <v>77</v>
      </c>
    </row>
    <row r="30" spans="1:16" ht="12.75" customHeight="1" thickBot="1">
      <c r="A30" s="16" t="str">
        <f t="shared" si="0"/>
        <v> AAC 2.152 </v>
      </c>
      <c r="B30" s="5" t="str">
        <f t="shared" si="1"/>
        <v>I</v>
      </c>
      <c r="C30" s="16">
        <f t="shared" si="2"/>
        <v>27420.404999999999</v>
      </c>
      <c r="D30" s="19" t="str">
        <f t="shared" si="3"/>
        <v>vis</v>
      </c>
      <c r="E30" s="43">
        <f>VLOOKUP(C30,Active!C$21:E$973,3,FALSE)</f>
        <v>50.002375470759233</v>
      </c>
      <c r="F30" s="5" t="s">
        <v>58</v>
      </c>
      <c r="G30" s="19" t="str">
        <f t="shared" si="4"/>
        <v>27420.405</v>
      </c>
      <c r="H30" s="16">
        <f t="shared" si="5"/>
        <v>50</v>
      </c>
      <c r="I30" s="44" t="s">
        <v>98</v>
      </c>
      <c r="J30" s="45" t="s">
        <v>99</v>
      </c>
      <c r="K30" s="44">
        <v>50</v>
      </c>
      <c r="L30" s="44" t="s">
        <v>100</v>
      </c>
      <c r="M30" s="45" t="s">
        <v>70</v>
      </c>
      <c r="N30" s="45"/>
      <c r="O30" s="46" t="s">
        <v>81</v>
      </c>
      <c r="P30" s="46" t="s">
        <v>82</v>
      </c>
    </row>
    <row r="31" spans="1:16" ht="12.75" customHeight="1" thickBot="1">
      <c r="A31" s="16" t="str">
        <f t="shared" si="0"/>
        <v> AAC 2.152 </v>
      </c>
      <c r="B31" s="5" t="str">
        <f t="shared" si="1"/>
        <v>I</v>
      </c>
      <c r="C31" s="16">
        <f t="shared" si="2"/>
        <v>27470.243999999999</v>
      </c>
      <c r="D31" s="19" t="str">
        <f t="shared" si="3"/>
        <v>vis</v>
      </c>
      <c r="E31" s="43">
        <f>VLOOKUP(C31,Active!C$21:E$973,3,FALSE)</f>
        <v>81.999966615004212</v>
      </c>
      <c r="F31" s="5" t="s">
        <v>58</v>
      </c>
      <c r="G31" s="19" t="str">
        <f t="shared" si="4"/>
        <v>27470.244</v>
      </c>
      <c r="H31" s="16">
        <f t="shared" si="5"/>
        <v>82</v>
      </c>
      <c r="I31" s="44" t="s">
        <v>101</v>
      </c>
      <c r="J31" s="45" t="s">
        <v>102</v>
      </c>
      <c r="K31" s="44">
        <v>82</v>
      </c>
      <c r="L31" s="44" t="s">
        <v>103</v>
      </c>
      <c r="M31" s="45" t="s">
        <v>70</v>
      </c>
      <c r="N31" s="45"/>
      <c r="O31" s="46" t="s">
        <v>81</v>
      </c>
      <c r="P31" s="46" t="s">
        <v>82</v>
      </c>
    </row>
    <row r="32" spans="1:16" ht="12.75" customHeight="1" thickBot="1">
      <c r="A32" s="16" t="str">
        <f t="shared" si="0"/>
        <v> CTAD 4 </v>
      </c>
      <c r="B32" s="5" t="str">
        <f t="shared" si="1"/>
        <v>I</v>
      </c>
      <c r="C32" s="16">
        <f t="shared" si="2"/>
        <v>27484.3</v>
      </c>
      <c r="D32" s="19" t="str">
        <f t="shared" si="3"/>
        <v>vis</v>
      </c>
      <c r="E32" s="43">
        <f>VLOOKUP(C32,Active!C$21:E$973,3,FALSE)</f>
        <v>91.024187428494116</v>
      </c>
      <c r="F32" s="5" t="s">
        <v>58</v>
      </c>
      <c r="G32" s="19" t="str">
        <f t="shared" si="4"/>
        <v>27484.30</v>
      </c>
      <c r="H32" s="16">
        <f t="shared" si="5"/>
        <v>91</v>
      </c>
      <c r="I32" s="44" t="s">
        <v>104</v>
      </c>
      <c r="J32" s="45" t="s">
        <v>105</v>
      </c>
      <c r="K32" s="44">
        <v>91</v>
      </c>
      <c r="L32" s="44" t="s">
        <v>106</v>
      </c>
      <c r="M32" s="45" t="s">
        <v>70</v>
      </c>
      <c r="N32" s="45"/>
      <c r="O32" s="46" t="s">
        <v>76</v>
      </c>
      <c r="P32" s="46" t="s">
        <v>77</v>
      </c>
    </row>
    <row r="33" spans="1:16" ht="12.75" customHeight="1" thickBot="1">
      <c r="A33" s="16" t="str">
        <f t="shared" si="0"/>
        <v> IODE 4.2.40 </v>
      </c>
      <c r="B33" s="5" t="str">
        <f t="shared" si="1"/>
        <v>I</v>
      </c>
      <c r="C33" s="16">
        <f t="shared" si="2"/>
        <v>27663.388999999999</v>
      </c>
      <c r="D33" s="19" t="str">
        <f t="shared" si="3"/>
        <v>vis</v>
      </c>
      <c r="E33" s="43">
        <f>VLOOKUP(C33,Active!C$21:E$973,3,FALSE)</f>
        <v>206.00275040992818</v>
      </c>
      <c r="F33" s="5" t="s">
        <v>58</v>
      </c>
      <c r="G33" s="19" t="str">
        <f t="shared" si="4"/>
        <v>27663.389</v>
      </c>
      <c r="H33" s="16">
        <f t="shared" si="5"/>
        <v>206</v>
      </c>
      <c r="I33" s="44" t="s">
        <v>107</v>
      </c>
      <c r="J33" s="45" t="s">
        <v>108</v>
      </c>
      <c r="K33" s="44">
        <v>206</v>
      </c>
      <c r="L33" s="44" t="s">
        <v>100</v>
      </c>
      <c r="M33" s="45" t="s">
        <v>70</v>
      </c>
      <c r="N33" s="45"/>
      <c r="O33" s="46" t="s">
        <v>76</v>
      </c>
      <c r="P33" s="46" t="s">
        <v>109</v>
      </c>
    </row>
    <row r="34" spans="1:16" ht="12.75" customHeight="1" thickBot="1">
      <c r="A34" s="16" t="str">
        <f t="shared" si="0"/>
        <v> AAC 2.152 </v>
      </c>
      <c r="B34" s="5" t="str">
        <f t="shared" si="1"/>
        <v>I</v>
      </c>
      <c r="C34" s="16">
        <f t="shared" si="2"/>
        <v>27719.456999999999</v>
      </c>
      <c r="D34" s="19" t="str">
        <f t="shared" si="3"/>
        <v>vis</v>
      </c>
      <c r="E34" s="43">
        <f>VLOOKUP(C34,Active!C$21:E$973,3,FALSE)</f>
        <v>241.99947868046945</v>
      </c>
      <c r="F34" s="5" t="s">
        <v>58</v>
      </c>
      <c r="G34" s="19" t="str">
        <f t="shared" si="4"/>
        <v>27719.457</v>
      </c>
      <c r="H34" s="16">
        <f t="shared" si="5"/>
        <v>242</v>
      </c>
      <c r="I34" s="44" t="s">
        <v>110</v>
      </c>
      <c r="J34" s="45" t="s">
        <v>111</v>
      </c>
      <c r="K34" s="44">
        <v>242</v>
      </c>
      <c r="L34" s="44" t="s">
        <v>85</v>
      </c>
      <c r="M34" s="45" t="s">
        <v>70</v>
      </c>
      <c r="N34" s="45"/>
      <c r="O34" s="46" t="s">
        <v>81</v>
      </c>
      <c r="P34" s="46" t="s">
        <v>82</v>
      </c>
    </row>
    <row r="35" spans="1:16" ht="12.75" customHeight="1" thickBot="1">
      <c r="A35" s="16" t="str">
        <f t="shared" si="0"/>
        <v> CTAD 4 </v>
      </c>
      <c r="B35" s="5" t="str">
        <f t="shared" si="1"/>
        <v>I</v>
      </c>
      <c r="C35" s="16">
        <f t="shared" si="2"/>
        <v>27858.080000000002</v>
      </c>
      <c r="D35" s="19" t="str">
        <f t="shared" si="3"/>
        <v>vis</v>
      </c>
      <c r="E35" s="43">
        <f>VLOOKUP(C35,Active!C$21:E$973,3,FALSE)</f>
        <v>330.99809577127741</v>
      </c>
      <c r="F35" s="5" t="s">
        <v>58</v>
      </c>
      <c r="G35" s="19" t="str">
        <f t="shared" si="4"/>
        <v>27858.08</v>
      </c>
      <c r="H35" s="16">
        <f t="shared" si="5"/>
        <v>331</v>
      </c>
      <c r="I35" s="44" t="s">
        <v>112</v>
      </c>
      <c r="J35" s="45" t="s">
        <v>113</v>
      </c>
      <c r="K35" s="44">
        <v>331</v>
      </c>
      <c r="L35" s="44" t="s">
        <v>114</v>
      </c>
      <c r="M35" s="45" t="s">
        <v>70</v>
      </c>
      <c r="N35" s="45"/>
      <c r="O35" s="46" t="s">
        <v>76</v>
      </c>
      <c r="P35" s="46" t="s">
        <v>77</v>
      </c>
    </row>
    <row r="36" spans="1:16" ht="12.75" customHeight="1" thickBot="1">
      <c r="A36" s="16" t="str">
        <f t="shared" si="0"/>
        <v> CTAD 4 </v>
      </c>
      <c r="B36" s="5" t="str">
        <f t="shared" si="1"/>
        <v>I</v>
      </c>
      <c r="C36" s="16">
        <f t="shared" si="2"/>
        <v>27861.200000000001</v>
      </c>
      <c r="D36" s="19" t="str">
        <f t="shared" si="3"/>
        <v>vis</v>
      </c>
      <c r="E36" s="43">
        <f>VLOOKUP(C36,Active!C$21:E$973,3,FALSE)</f>
        <v>333.00119543960972</v>
      </c>
      <c r="F36" s="5" t="s">
        <v>58</v>
      </c>
      <c r="G36" s="19" t="str">
        <f t="shared" si="4"/>
        <v>27861.20</v>
      </c>
      <c r="H36" s="16">
        <f t="shared" si="5"/>
        <v>333</v>
      </c>
      <c r="I36" s="44" t="s">
        <v>115</v>
      </c>
      <c r="J36" s="45" t="s">
        <v>116</v>
      </c>
      <c r="K36" s="44">
        <v>333</v>
      </c>
      <c r="L36" s="44" t="s">
        <v>117</v>
      </c>
      <c r="M36" s="45" t="s">
        <v>70</v>
      </c>
      <c r="N36" s="45"/>
      <c r="O36" s="46" t="s">
        <v>76</v>
      </c>
      <c r="P36" s="46" t="s">
        <v>77</v>
      </c>
    </row>
    <row r="37" spans="1:16" ht="12.75" customHeight="1" thickBot="1">
      <c r="A37" s="16" t="str">
        <f t="shared" si="0"/>
        <v> AAC 2.152 </v>
      </c>
      <c r="B37" s="5" t="str">
        <f t="shared" si="1"/>
        <v>I</v>
      </c>
      <c r="C37" s="16">
        <f t="shared" si="2"/>
        <v>28110.415000000001</v>
      </c>
      <c r="D37" s="19" t="str">
        <f t="shared" si="3"/>
        <v>vis</v>
      </c>
      <c r="E37" s="43">
        <f>VLOOKUP(C37,Active!C$21:E$973,3,FALSE)</f>
        <v>493.00199154332415</v>
      </c>
      <c r="F37" s="5" t="s">
        <v>58</v>
      </c>
      <c r="G37" s="19" t="str">
        <f t="shared" si="4"/>
        <v>28110.415</v>
      </c>
      <c r="H37" s="16">
        <f t="shared" si="5"/>
        <v>493</v>
      </c>
      <c r="I37" s="44" t="s">
        <v>118</v>
      </c>
      <c r="J37" s="45" t="s">
        <v>119</v>
      </c>
      <c r="K37" s="44">
        <v>493</v>
      </c>
      <c r="L37" s="44" t="s">
        <v>120</v>
      </c>
      <c r="M37" s="45" t="s">
        <v>70</v>
      </c>
      <c r="N37" s="45"/>
      <c r="O37" s="46" t="s">
        <v>81</v>
      </c>
      <c r="P37" s="46" t="s">
        <v>82</v>
      </c>
    </row>
    <row r="38" spans="1:16" ht="12.75" customHeight="1" thickBot="1">
      <c r="A38" s="16" t="str">
        <f t="shared" si="0"/>
        <v> AC 174.17 </v>
      </c>
      <c r="B38" s="5" t="str">
        <f t="shared" si="1"/>
        <v>I</v>
      </c>
      <c r="C38" s="16">
        <f t="shared" si="2"/>
        <v>35010.514999999999</v>
      </c>
      <c r="D38" s="19" t="str">
        <f t="shared" si="3"/>
        <v>vis</v>
      </c>
      <c r="E38" s="43">
        <f>VLOOKUP(C38,Active!C$21:E$973,3,FALSE)</f>
        <v>4922.9981522689595</v>
      </c>
      <c r="F38" s="5" t="s">
        <v>58</v>
      </c>
      <c r="G38" s="19" t="str">
        <f t="shared" si="4"/>
        <v>35010.515</v>
      </c>
      <c r="H38" s="16">
        <f t="shared" si="5"/>
        <v>4923</v>
      </c>
      <c r="I38" s="44" t="s">
        <v>121</v>
      </c>
      <c r="J38" s="45" t="s">
        <v>122</v>
      </c>
      <c r="K38" s="44">
        <v>4923</v>
      </c>
      <c r="L38" s="44" t="s">
        <v>60</v>
      </c>
      <c r="M38" s="45" t="s">
        <v>70</v>
      </c>
      <c r="N38" s="45"/>
      <c r="O38" s="46" t="s">
        <v>76</v>
      </c>
      <c r="P38" s="46" t="s">
        <v>123</v>
      </c>
    </row>
    <row r="39" spans="1:16" ht="12.75" customHeight="1" thickBot="1">
      <c r="A39" s="16" t="str">
        <f t="shared" si="0"/>
        <v>VSB 39 </v>
      </c>
      <c r="B39" s="5" t="str">
        <f t="shared" si="1"/>
        <v>I</v>
      </c>
      <c r="C39" s="16">
        <f t="shared" si="2"/>
        <v>52175.2042</v>
      </c>
      <c r="D39" s="19" t="str">
        <f t="shared" si="3"/>
        <v>vis</v>
      </c>
      <c r="E39" s="43">
        <f>VLOOKUP(C39,Active!C$21:E$973,3,FALSE)</f>
        <v>15943.056884178466</v>
      </c>
      <c r="F39" s="5" t="s">
        <v>58</v>
      </c>
      <c r="G39" s="19" t="str">
        <f t="shared" si="4"/>
        <v>52175.2042</v>
      </c>
      <c r="H39" s="16">
        <f t="shared" si="5"/>
        <v>15943</v>
      </c>
      <c r="I39" s="44" t="s">
        <v>140</v>
      </c>
      <c r="J39" s="45" t="s">
        <v>141</v>
      </c>
      <c r="K39" s="44">
        <v>15943</v>
      </c>
      <c r="L39" s="44" t="s">
        <v>142</v>
      </c>
      <c r="M39" s="45" t="s">
        <v>127</v>
      </c>
      <c r="N39" s="45" t="s">
        <v>128</v>
      </c>
      <c r="O39" s="46" t="s">
        <v>143</v>
      </c>
      <c r="P39" s="47" t="s">
        <v>144</v>
      </c>
    </row>
    <row r="40" spans="1:16" ht="12.75" customHeight="1" thickBot="1">
      <c r="A40" s="16" t="str">
        <f t="shared" si="0"/>
        <v>VSB 40 </v>
      </c>
      <c r="B40" s="5" t="str">
        <f t="shared" si="1"/>
        <v>I</v>
      </c>
      <c r="C40" s="16">
        <f t="shared" si="2"/>
        <v>52278.002399999998</v>
      </c>
      <c r="D40" s="19" t="str">
        <f t="shared" si="3"/>
        <v>vis</v>
      </c>
      <c r="E40" s="43">
        <f>VLOOKUP(C40,Active!C$21:E$973,3,FALSE)</f>
        <v>16009.055294539112</v>
      </c>
      <c r="F40" s="5" t="s">
        <v>58</v>
      </c>
      <c r="G40" s="19" t="str">
        <f t="shared" si="4"/>
        <v>52278.0024</v>
      </c>
      <c r="H40" s="16">
        <f t="shared" si="5"/>
        <v>16009</v>
      </c>
      <c r="I40" s="44" t="s">
        <v>145</v>
      </c>
      <c r="J40" s="45" t="s">
        <v>146</v>
      </c>
      <c r="K40" s="44">
        <v>16009</v>
      </c>
      <c r="L40" s="44" t="s">
        <v>147</v>
      </c>
      <c r="M40" s="45" t="s">
        <v>127</v>
      </c>
      <c r="N40" s="45" t="s">
        <v>128</v>
      </c>
      <c r="O40" s="46" t="s">
        <v>148</v>
      </c>
      <c r="P40" s="47" t="s">
        <v>149</v>
      </c>
    </row>
    <row r="41" spans="1:16" ht="12.75" customHeight="1" thickBot="1">
      <c r="A41" s="16" t="str">
        <f t="shared" si="0"/>
        <v>VSB 43 </v>
      </c>
      <c r="B41" s="5" t="str">
        <f t="shared" si="1"/>
        <v>I</v>
      </c>
      <c r="C41" s="16">
        <f t="shared" si="2"/>
        <v>53344.942199999998</v>
      </c>
      <c r="D41" s="19" t="str">
        <f t="shared" si="3"/>
        <v>vis</v>
      </c>
      <c r="E41" s="43">
        <f>VLOOKUP(C41,Active!C$21:E$973,3,FALSE)</f>
        <v>16694.051050792699</v>
      </c>
      <c r="F41" s="5" t="s">
        <v>58</v>
      </c>
      <c r="G41" s="19" t="str">
        <f t="shared" si="4"/>
        <v>53344.9422</v>
      </c>
      <c r="H41" s="16">
        <f t="shared" si="5"/>
        <v>16694</v>
      </c>
      <c r="I41" s="44" t="s">
        <v>150</v>
      </c>
      <c r="J41" s="45" t="s">
        <v>151</v>
      </c>
      <c r="K41" s="44">
        <v>16694</v>
      </c>
      <c r="L41" s="44" t="s">
        <v>152</v>
      </c>
      <c r="M41" s="45" t="s">
        <v>127</v>
      </c>
      <c r="N41" s="45" t="s">
        <v>128</v>
      </c>
      <c r="O41" s="46" t="s">
        <v>143</v>
      </c>
      <c r="P41" s="47" t="s">
        <v>153</v>
      </c>
    </row>
    <row r="42" spans="1:16" ht="12.75" customHeight="1" thickBot="1">
      <c r="A42" s="16" t="str">
        <f t="shared" si="0"/>
        <v>VSB 46 </v>
      </c>
      <c r="B42" s="5" t="str">
        <f t="shared" si="1"/>
        <v>I</v>
      </c>
      <c r="C42" s="16">
        <f t="shared" si="2"/>
        <v>54115.943200000002</v>
      </c>
      <c r="D42" s="19" t="str">
        <f t="shared" si="3"/>
        <v>vis</v>
      </c>
      <c r="E42" s="43">
        <f>VLOOKUP(C42,Active!C$21:E$973,3,FALSE)</f>
        <v>17189.048437774865</v>
      </c>
      <c r="F42" s="5" t="s">
        <v>58</v>
      </c>
      <c r="G42" s="19" t="str">
        <f t="shared" si="4"/>
        <v>54115.9432</v>
      </c>
      <c r="H42" s="16">
        <f t="shared" si="5"/>
        <v>17189</v>
      </c>
      <c r="I42" s="44" t="s">
        <v>159</v>
      </c>
      <c r="J42" s="45" t="s">
        <v>160</v>
      </c>
      <c r="K42" s="44">
        <v>17189</v>
      </c>
      <c r="L42" s="44" t="s">
        <v>161</v>
      </c>
      <c r="M42" s="45" t="s">
        <v>162</v>
      </c>
      <c r="N42" s="45" t="s">
        <v>163</v>
      </c>
      <c r="O42" s="46" t="s">
        <v>164</v>
      </c>
      <c r="P42" s="47" t="s">
        <v>165</v>
      </c>
    </row>
    <row r="43" spans="1:16">
      <c r="B43" s="5"/>
      <c r="F43" s="5"/>
    </row>
    <row r="44" spans="1:16">
      <c r="B44" s="5"/>
      <c r="F44" s="5"/>
    </row>
    <row r="45" spans="1:16">
      <c r="B45" s="5"/>
      <c r="F45" s="5"/>
    </row>
    <row r="46" spans="1:16">
      <c r="B46" s="5"/>
      <c r="F46" s="5"/>
    </row>
    <row r="47" spans="1:16">
      <c r="B47" s="5"/>
      <c r="F47" s="5"/>
    </row>
    <row r="48" spans="1:1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</sheetData>
  <phoneticPr fontId="7" type="noConversion"/>
  <hyperlinks>
    <hyperlink ref="P13" r:id="rId1" display="http://www.konkoly.hu/cgi-bin/IBVS?5287" xr:uid="{00000000-0004-0000-0100-000000000000}"/>
    <hyperlink ref="P39" r:id="rId2" display="http://vsolj.cetus-net.org/no39.pdf" xr:uid="{00000000-0004-0000-0100-000001000000}"/>
    <hyperlink ref="P40" r:id="rId3" display="http://vsolj.cetus-net.org/no40.pdf" xr:uid="{00000000-0004-0000-0100-000002000000}"/>
    <hyperlink ref="P41" r:id="rId4" display="http://vsolj.cetus-net.org/no43.pdf" xr:uid="{00000000-0004-0000-0100-000003000000}"/>
    <hyperlink ref="P14" r:id="rId5" display="http://www.konkoly.hu/cgi-bin/IBVS?5677" xr:uid="{00000000-0004-0000-0100-000004000000}"/>
    <hyperlink ref="P42" r:id="rId6" display="http://vsolj.cetus-net.org/no46.pdf" xr:uid="{00000000-0004-0000-0100-000005000000}"/>
    <hyperlink ref="P15" r:id="rId7" display="http://www.konkoly.hu/cgi-bin/IBVS?6011" xr:uid="{00000000-0004-0000-0100-000006000000}"/>
    <hyperlink ref="P16" r:id="rId8" display="http://www.konkoly.hu/cgi-bin/IBVS?6033" xr:uid="{00000000-0004-0000-0100-000007000000}"/>
    <hyperlink ref="P17" r:id="rId9" display="http://www.konkoly.hu/cgi-bin/IBVS?6033" xr:uid="{00000000-0004-0000-0100-000008000000}"/>
    <hyperlink ref="P18" r:id="rId10" display="http://www.konkoly.hu/cgi-bin/IBVS?6033" xr:uid="{00000000-0004-0000-0100-000009000000}"/>
    <hyperlink ref="P19" r:id="rId11" display="http://www.konkoly.hu/cgi-bin/IBVS?6033" xr:uid="{00000000-0004-0000-0100-00000A000000}"/>
    <hyperlink ref="P20" r:id="rId12" display="http://www.konkoly.hu/cgi-bin/IBVS?6033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2024-07-29T08:52:35Z</dcterms:modified>
</cp:coreProperties>
</file>