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F46394A-5511-4774-86A3-AA53562BC13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5" r:id="rId1"/>
    <sheet name="A (old)" sheetId="1" r:id="rId2"/>
    <sheet name="A (2)" sheetId="2" r:id="rId3"/>
    <sheet name="A (3)" sheetId="3" r:id="rId4"/>
    <sheet name="A (4)" sheetId="4" r:id="rId5"/>
    <sheet name="BAV" sheetId="6" r:id="rId6"/>
  </sheets>
  <calcPr calcId="181029"/>
</workbook>
</file>

<file path=xl/calcChain.xml><?xml version="1.0" encoding="utf-8"?>
<calcChain xmlns="http://schemas.openxmlformats.org/spreadsheetml/2006/main">
  <c r="Q52" i="5" l="1"/>
  <c r="D9" i="5"/>
  <c r="C9" i="5"/>
  <c r="C21" i="5"/>
  <c r="E21" i="5"/>
  <c r="F21" i="5"/>
  <c r="Q22" i="5"/>
  <c r="Q23" i="5"/>
  <c r="Q43" i="5"/>
  <c r="Q45" i="5"/>
  <c r="G36" i="6"/>
  <c r="C36" i="6"/>
  <c r="G35" i="6"/>
  <c r="C35" i="6"/>
  <c r="G34" i="6"/>
  <c r="C34" i="6"/>
  <c r="G33" i="6"/>
  <c r="C33" i="6"/>
  <c r="G32" i="6"/>
  <c r="C32" i="6"/>
  <c r="G31" i="6"/>
  <c r="C31" i="6"/>
  <c r="G40" i="6"/>
  <c r="C40" i="6"/>
  <c r="G30" i="6"/>
  <c r="C30" i="6"/>
  <c r="G39" i="6"/>
  <c r="C39" i="6"/>
  <c r="G29" i="6"/>
  <c r="C29" i="6"/>
  <c r="G28" i="6"/>
  <c r="C28" i="6"/>
  <c r="G27" i="6"/>
  <c r="C27" i="6"/>
  <c r="G26" i="6"/>
  <c r="C26" i="6"/>
  <c r="G25" i="6"/>
  <c r="C25" i="6"/>
  <c r="G24" i="6"/>
  <c r="C24" i="6"/>
  <c r="G23" i="6"/>
  <c r="C23" i="6"/>
  <c r="G22" i="6"/>
  <c r="C22" i="6"/>
  <c r="G21" i="6"/>
  <c r="C21" i="6"/>
  <c r="G20" i="6"/>
  <c r="C20" i="6"/>
  <c r="G19" i="6"/>
  <c r="C19" i="6"/>
  <c r="G18" i="6"/>
  <c r="C18" i="6"/>
  <c r="G17" i="6"/>
  <c r="C17" i="6"/>
  <c r="G16" i="6"/>
  <c r="C16" i="6"/>
  <c r="G15" i="6"/>
  <c r="C15" i="6"/>
  <c r="G14" i="6"/>
  <c r="C14" i="6"/>
  <c r="G13" i="6"/>
  <c r="C13" i="6"/>
  <c r="G12" i="6"/>
  <c r="C12" i="6"/>
  <c r="G11" i="6"/>
  <c r="C11" i="6"/>
  <c r="G38" i="6"/>
  <c r="C38" i="6"/>
  <c r="G37" i="6"/>
  <c r="C37" i="6"/>
  <c r="H36" i="6"/>
  <c r="B36" i="6"/>
  <c r="D36" i="6"/>
  <c r="A36" i="6"/>
  <c r="H35" i="6"/>
  <c r="D35" i="6"/>
  <c r="B35" i="6"/>
  <c r="A35" i="6"/>
  <c r="H34" i="6"/>
  <c r="B34" i="6"/>
  <c r="D34" i="6"/>
  <c r="A34" i="6"/>
  <c r="H33" i="6"/>
  <c r="D33" i="6"/>
  <c r="B33" i="6"/>
  <c r="A33" i="6"/>
  <c r="H32" i="6"/>
  <c r="B32" i="6"/>
  <c r="D32" i="6"/>
  <c r="A32" i="6"/>
  <c r="H31" i="6"/>
  <c r="D31" i="6"/>
  <c r="B31" i="6"/>
  <c r="A31" i="6"/>
  <c r="H40" i="6"/>
  <c r="B40" i="6"/>
  <c r="D40" i="6"/>
  <c r="A40" i="6"/>
  <c r="H30" i="6"/>
  <c r="D30" i="6"/>
  <c r="B30" i="6"/>
  <c r="A30" i="6"/>
  <c r="H39" i="6"/>
  <c r="B39" i="6"/>
  <c r="D39" i="6"/>
  <c r="A39" i="6"/>
  <c r="H29" i="6"/>
  <c r="D29" i="6"/>
  <c r="B29" i="6"/>
  <c r="A29" i="6"/>
  <c r="H28" i="6"/>
  <c r="B28" i="6"/>
  <c r="D28" i="6"/>
  <c r="A28" i="6"/>
  <c r="H27" i="6"/>
  <c r="D27" i="6"/>
  <c r="B27" i="6"/>
  <c r="A27" i="6"/>
  <c r="H26" i="6"/>
  <c r="B26" i="6"/>
  <c r="D26" i="6"/>
  <c r="A26" i="6"/>
  <c r="H25" i="6"/>
  <c r="D25" i="6"/>
  <c r="B25" i="6"/>
  <c r="A25" i="6"/>
  <c r="H24" i="6"/>
  <c r="B24" i="6"/>
  <c r="D24" i="6"/>
  <c r="A24" i="6"/>
  <c r="H23" i="6"/>
  <c r="D23" i="6"/>
  <c r="B23" i="6"/>
  <c r="A23" i="6"/>
  <c r="H22" i="6"/>
  <c r="B22" i="6"/>
  <c r="D22" i="6"/>
  <c r="A22" i="6"/>
  <c r="H21" i="6"/>
  <c r="D21" i="6"/>
  <c r="B21" i="6"/>
  <c r="A21" i="6"/>
  <c r="H20" i="6"/>
  <c r="B20" i="6"/>
  <c r="D20" i="6"/>
  <c r="A20" i="6"/>
  <c r="H19" i="6"/>
  <c r="D19" i="6"/>
  <c r="B19" i="6"/>
  <c r="A19" i="6"/>
  <c r="H18" i="6"/>
  <c r="B18" i="6"/>
  <c r="D18" i="6"/>
  <c r="A18" i="6"/>
  <c r="H17" i="6"/>
  <c r="D17" i="6"/>
  <c r="B17" i="6"/>
  <c r="A17" i="6"/>
  <c r="H16" i="6"/>
  <c r="B16" i="6"/>
  <c r="D16" i="6"/>
  <c r="A16" i="6"/>
  <c r="H15" i="6"/>
  <c r="D15" i="6"/>
  <c r="B15" i="6"/>
  <c r="A15" i="6"/>
  <c r="H14" i="6"/>
  <c r="B14" i="6"/>
  <c r="D14" i="6"/>
  <c r="A14" i="6"/>
  <c r="H13" i="6"/>
  <c r="D13" i="6"/>
  <c r="B13" i="6"/>
  <c r="A13" i="6"/>
  <c r="H12" i="6"/>
  <c r="B12" i="6"/>
  <c r="D12" i="6"/>
  <c r="A12" i="6"/>
  <c r="H11" i="6"/>
  <c r="D11" i="6"/>
  <c r="B11" i="6"/>
  <c r="A11" i="6"/>
  <c r="H38" i="6"/>
  <c r="B38" i="6"/>
  <c r="D38" i="6"/>
  <c r="A38" i="6"/>
  <c r="H37" i="6"/>
  <c r="D37" i="6"/>
  <c r="B37" i="6"/>
  <c r="A37" i="6"/>
  <c r="Q51" i="5"/>
  <c r="Q46" i="5"/>
  <c r="Q47" i="5"/>
  <c r="Q48" i="5"/>
  <c r="Q50" i="5"/>
  <c r="F16" i="5"/>
  <c r="F17" i="5" s="1"/>
  <c r="C17" i="5"/>
  <c r="Q49" i="5"/>
  <c r="C7" i="5"/>
  <c r="Q36" i="5"/>
  <c r="Q32" i="5"/>
  <c r="Q42" i="5"/>
  <c r="Q41" i="5"/>
  <c r="Q40" i="5"/>
  <c r="Q39" i="5"/>
  <c r="Q38" i="5"/>
  <c r="Q37" i="5"/>
  <c r="Q35" i="5"/>
  <c r="Q44" i="5"/>
  <c r="Q21" i="5"/>
  <c r="Q24" i="5"/>
  <c r="Q25" i="5"/>
  <c r="Q26" i="5"/>
  <c r="Q27" i="5"/>
  <c r="Q28" i="5"/>
  <c r="Q29" i="5"/>
  <c r="Q30" i="5"/>
  <c r="Q31" i="5"/>
  <c r="Q33" i="5"/>
  <c r="Q34" i="5"/>
  <c r="C7" i="4"/>
  <c r="E22" i="4"/>
  <c r="F22" i="4"/>
  <c r="C21" i="4"/>
  <c r="Q22" i="4"/>
  <c r="Q23" i="4"/>
  <c r="Q24" i="4"/>
  <c r="Q25" i="4"/>
  <c r="Q26" i="4"/>
  <c r="E27" i="4"/>
  <c r="F27" i="4"/>
  <c r="Q27" i="4"/>
  <c r="Q28" i="4"/>
  <c r="Q29" i="4"/>
  <c r="Q30" i="4"/>
  <c r="E31" i="4"/>
  <c r="F31" i="4"/>
  <c r="Q31" i="4"/>
  <c r="C7" i="3"/>
  <c r="E30" i="3"/>
  <c r="F30" i="3"/>
  <c r="C21" i="3"/>
  <c r="E21" i="3"/>
  <c r="F21" i="3"/>
  <c r="Q22" i="3"/>
  <c r="Q23" i="3"/>
  <c r="Q24" i="3"/>
  <c r="Q25" i="3"/>
  <c r="E26" i="3"/>
  <c r="F26" i="3"/>
  <c r="Q26" i="3"/>
  <c r="Q27" i="3"/>
  <c r="Q28" i="3"/>
  <c r="E29" i="3"/>
  <c r="F29" i="3"/>
  <c r="Q29" i="3"/>
  <c r="Q30" i="3"/>
  <c r="Q31" i="3"/>
  <c r="C7" i="2"/>
  <c r="E24" i="2"/>
  <c r="F24" i="2"/>
  <c r="C8" i="2"/>
  <c r="C21" i="2"/>
  <c r="Q21" i="2"/>
  <c r="Q22" i="2"/>
  <c r="Q23" i="2"/>
  <c r="Q24" i="2"/>
  <c r="Q25" i="2"/>
  <c r="Q26" i="2"/>
  <c r="Q27" i="2"/>
  <c r="Q28" i="2"/>
  <c r="Q29" i="2"/>
  <c r="Q30" i="2"/>
  <c r="Q31" i="2"/>
  <c r="E30" i="1"/>
  <c r="F30" i="1"/>
  <c r="Q22" i="1"/>
  <c r="Q23" i="1"/>
  <c r="Q24" i="1"/>
  <c r="Q25" i="1"/>
  <c r="Q26" i="1"/>
  <c r="Q27" i="1"/>
  <c r="Q28" i="1"/>
  <c r="Q29" i="1"/>
  <c r="Q30" i="1"/>
  <c r="Q31" i="1"/>
  <c r="C21" i="1"/>
  <c r="G21" i="1"/>
  <c r="C8" i="1"/>
  <c r="C7" i="1"/>
  <c r="E21" i="1"/>
  <c r="F21" i="1"/>
  <c r="Q21" i="1"/>
  <c r="E16" i="6"/>
  <c r="E17" i="6"/>
  <c r="E13" i="6"/>
  <c r="E19" i="6"/>
  <c r="E40" i="6"/>
  <c r="E39" i="6"/>
  <c r="E11" i="6"/>
  <c r="E12" i="6"/>
  <c r="H21" i="1"/>
  <c r="E34" i="6"/>
  <c r="E37" i="6"/>
  <c r="E29" i="6"/>
  <c r="E22" i="3"/>
  <c r="F22" i="3"/>
  <c r="G22" i="3"/>
  <c r="I22" i="3"/>
  <c r="E31" i="1"/>
  <c r="F31" i="1"/>
  <c r="G25" i="1"/>
  <c r="I25" i="1"/>
  <c r="E23" i="1"/>
  <c r="F23" i="1"/>
  <c r="E30" i="2"/>
  <c r="F30" i="2"/>
  <c r="G27" i="2"/>
  <c r="I27" i="2"/>
  <c r="E26" i="2"/>
  <c r="F26" i="2"/>
  <c r="G26" i="2"/>
  <c r="I26" i="2"/>
  <c r="G23" i="2"/>
  <c r="I23" i="2"/>
  <c r="E22" i="2"/>
  <c r="F22" i="2"/>
  <c r="E25" i="3"/>
  <c r="F25" i="3"/>
  <c r="Q21" i="3"/>
  <c r="G30" i="4"/>
  <c r="I30" i="4"/>
  <c r="E29" i="4"/>
  <c r="F29" i="4"/>
  <c r="G26" i="4"/>
  <c r="I26" i="4"/>
  <c r="E25" i="4"/>
  <c r="F25" i="4"/>
  <c r="G25" i="4"/>
  <c r="I25" i="4"/>
  <c r="Q21" i="4"/>
  <c r="E47" i="5"/>
  <c r="F47" i="5"/>
  <c r="E37" i="5"/>
  <c r="F37" i="5"/>
  <c r="G29" i="5"/>
  <c r="J29" i="5"/>
  <c r="E27" i="5"/>
  <c r="F27" i="5"/>
  <c r="E22" i="1"/>
  <c r="F22" i="1"/>
  <c r="G22" i="1"/>
  <c r="E26" i="1"/>
  <c r="F26" i="1"/>
  <c r="G30" i="1"/>
  <c r="I30" i="1"/>
  <c r="E28" i="1"/>
  <c r="F28" i="1"/>
  <c r="G28" i="1"/>
  <c r="I28" i="1"/>
  <c r="E28" i="3"/>
  <c r="F28" i="3"/>
  <c r="G28" i="3"/>
  <c r="I28" i="3"/>
  <c r="G26" i="3"/>
  <c r="I26" i="3"/>
  <c r="G23" i="4"/>
  <c r="I23" i="4"/>
  <c r="E21" i="4"/>
  <c r="F21" i="4"/>
  <c r="G21" i="4"/>
  <c r="H21" i="4"/>
  <c r="E42" i="5"/>
  <c r="F42" i="5"/>
  <c r="E33" i="5"/>
  <c r="F33" i="5"/>
  <c r="G26" i="5"/>
  <c r="J26" i="5"/>
  <c r="E32" i="5"/>
  <c r="F32" i="5"/>
  <c r="G32" i="5"/>
  <c r="K32" i="5"/>
  <c r="G45" i="5"/>
  <c r="I45" i="5"/>
  <c r="E23" i="5"/>
  <c r="F23" i="5"/>
  <c r="G23" i="5"/>
  <c r="K23" i="5"/>
  <c r="E49" i="5"/>
  <c r="F49" i="5"/>
  <c r="G49" i="5"/>
  <c r="K49" i="5"/>
  <c r="E27" i="1"/>
  <c r="F27" i="1"/>
  <c r="E28" i="2"/>
  <c r="F28" i="2"/>
  <c r="G28" i="2"/>
  <c r="I28" i="2"/>
  <c r="E21" i="2"/>
  <c r="F21" i="2"/>
  <c r="G27" i="1"/>
  <c r="I27" i="1"/>
  <c r="E25" i="1"/>
  <c r="F25" i="1"/>
  <c r="E31" i="2"/>
  <c r="F31" i="2"/>
  <c r="G31" i="2"/>
  <c r="I31" i="2"/>
  <c r="E27" i="2"/>
  <c r="F27" i="2"/>
  <c r="G24" i="2"/>
  <c r="I24" i="2"/>
  <c r="E23" i="2"/>
  <c r="F23" i="2"/>
  <c r="E31" i="3"/>
  <c r="F31" i="3"/>
  <c r="G31" i="3"/>
  <c r="I31" i="3"/>
  <c r="G29" i="3"/>
  <c r="I29" i="3"/>
  <c r="E23" i="3"/>
  <c r="F23" i="3"/>
  <c r="G23" i="3"/>
  <c r="I23" i="3"/>
  <c r="G31" i="4"/>
  <c r="I31" i="4"/>
  <c r="E30" i="4"/>
  <c r="F30" i="4"/>
  <c r="G27" i="4"/>
  <c r="I27" i="4"/>
  <c r="E26" i="4"/>
  <c r="F26" i="4"/>
  <c r="E23" i="4"/>
  <c r="F23" i="4"/>
  <c r="E51" i="5"/>
  <c r="F51" i="5"/>
  <c r="G51" i="5"/>
  <c r="J51" i="5"/>
  <c r="G41" i="5"/>
  <c r="J41" i="5"/>
  <c r="E39" i="5"/>
  <c r="F39" i="5"/>
  <c r="G39" i="5"/>
  <c r="J39" i="5"/>
  <c r="E29" i="5"/>
  <c r="F29" i="5"/>
  <c r="G24" i="5"/>
  <c r="J24" i="5"/>
  <c r="G48" i="5"/>
  <c r="J48" i="5"/>
  <c r="E46" i="5"/>
  <c r="F46" i="5"/>
  <c r="G46" i="5"/>
  <c r="J46" i="5"/>
  <c r="E35" i="5"/>
  <c r="F35" i="5"/>
  <c r="G35" i="5"/>
  <c r="J35" i="5"/>
  <c r="G28" i="5"/>
  <c r="J28" i="5"/>
  <c r="E26" i="5"/>
  <c r="F26" i="5"/>
  <c r="E45" i="5"/>
  <c r="F45" i="5"/>
  <c r="G22" i="5"/>
  <c r="I22" i="5"/>
  <c r="G50" i="5"/>
  <c r="K50" i="5"/>
  <c r="E41" i="5"/>
  <c r="F41" i="5"/>
  <c r="E31" i="5"/>
  <c r="F31" i="5"/>
  <c r="G31" i="5"/>
  <c r="J31" i="5"/>
  <c r="E24" i="5"/>
  <c r="F24" i="5"/>
  <c r="G43" i="5"/>
  <c r="I43" i="5"/>
  <c r="G52" i="5"/>
  <c r="K52" i="5"/>
  <c r="G25" i="2"/>
  <c r="I25" i="2"/>
  <c r="E24" i="1"/>
  <c r="F24" i="1"/>
  <c r="G24" i="1"/>
  <c r="I24" i="1"/>
  <c r="G30" i="3"/>
  <c r="I30" i="3"/>
  <c r="E24" i="3"/>
  <c r="F24" i="3"/>
  <c r="G24" i="3"/>
  <c r="I24" i="3"/>
  <c r="E24" i="4"/>
  <c r="F24" i="4"/>
  <c r="G24" i="4"/>
  <c r="I24" i="4"/>
  <c r="E48" i="5"/>
  <c r="F48" i="5"/>
  <c r="E38" i="5"/>
  <c r="F38" i="5"/>
  <c r="G38" i="5"/>
  <c r="J38" i="5"/>
  <c r="G30" i="5"/>
  <c r="E28" i="5"/>
  <c r="F28" i="5"/>
  <c r="G21" i="5"/>
  <c r="H21" i="5"/>
  <c r="E22" i="5"/>
  <c r="F22" i="5"/>
  <c r="E50" i="5"/>
  <c r="F50" i="5"/>
  <c r="G29" i="2"/>
  <c r="I29" i="2"/>
  <c r="G31" i="1"/>
  <c r="I31" i="1"/>
  <c r="E29" i="1"/>
  <c r="F29" i="1"/>
  <c r="G29" i="1"/>
  <c r="I29" i="1"/>
  <c r="G23" i="1"/>
  <c r="I23" i="1"/>
  <c r="G30" i="2"/>
  <c r="I30" i="2"/>
  <c r="E29" i="2"/>
  <c r="F29" i="2"/>
  <c r="E25" i="2"/>
  <c r="F25" i="2"/>
  <c r="G22" i="2"/>
  <c r="E27" i="3"/>
  <c r="F27" i="3"/>
  <c r="G27" i="3"/>
  <c r="I27" i="3"/>
  <c r="G25" i="3"/>
  <c r="G29" i="4"/>
  <c r="I29" i="4"/>
  <c r="E28" i="4"/>
  <c r="F28" i="4"/>
  <c r="G28" i="4"/>
  <c r="I28" i="4"/>
  <c r="G22" i="4"/>
  <c r="G47" i="5"/>
  <c r="J47" i="5"/>
  <c r="E44" i="5"/>
  <c r="F44" i="5"/>
  <c r="G44" i="5"/>
  <c r="K44" i="5"/>
  <c r="G37" i="5"/>
  <c r="J37" i="5"/>
  <c r="E34" i="5"/>
  <c r="F34" i="5"/>
  <c r="G34" i="5"/>
  <c r="J34" i="5"/>
  <c r="G27" i="5"/>
  <c r="J27" i="5"/>
  <c r="E25" i="5"/>
  <c r="F25" i="5"/>
  <c r="G25" i="5"/>
  <c r="J25" i="5"/>
  <c r="E43" i="5"/>
  <c r="F43" i="5"/>
  <c r="E52" i="5"/>
  <c r="F52" i="5"/>
  <c r="G26" i="1"/>
  <c r="I26" i="1"/>
  <c r="E36" i="5"/>
  <c r="F36" i="5"/>
  <c r="G42" i="5"/>
  <c r="J42" i="5"/>
  <c r="E40" i="5"/>
  <c r="F40" i="5"/>
  <c r="G40" i="5"/>
  <c r="J40" i="5"/>
  <c r="G33" i="5"/>
  <c r="J33" i="5"/>
  <c r="E30" i="5"/>
  <c r="F30" i="5"/>
  <c r="I22" i="1"/>
  <c r="C12" i="1"/>
  <c r="C16" i="1"/>
  <c r="D18" i="1"/>
  <c r="C11" i="1"/>
  <c r="E20" i="6"/>
  <c r="E14" i="6"/>
  <c r="E22" i="6"/>
  <c r="E35" i="6"/>
  <c r="C12" i="2"/>
  <c r="C16" i="2"/>
  <c r="D18" i="2"/>
  <c r="I22" i="2"/>
  <c r="C11" i="2"/>
  <c r="E26" i="6"/>
  <c r="E36" i="6"/>
  <c r="I22" i="4"/>
  <c r="C12" i="4"/>
  <c r="C16" i="4"/>
  <c r="D18" i="4"/>
  <c r="C11" i="4"/>
  <c r="E18" i="6"/>
  <c r="E32" i="6"/>
  <c r="E24" i="6"/>
  <c r="E27" i="6"/>
  <c r="E25" i="6"/>
  <c r="E21" i="6"/>
  <c r="E38" i="6"/>
  <c r="C12" i="3"/>
  <c r="C16" i="3"/>
  <c r="D18" i="3"/>
  <c r="C11" i="3"/>
  <c r="I25" i="3"/>
  <c r="J30" i="5"/>
  <c r="E15" i="6"/>
  <c r="E30" i="6"/>
  <c r="E23" i="6"/>
  <c r="E31" i="6"/>
  <c r="E33" i="6"/>
  <c r="E28" i="6"/>
  <c r="O29" i="1"/>
  <c r="O22" i="1"/>
  <c r="O24" i="1"/>
  <c r="O30" i="1"/>
  <c r="O25" i="1"/>
  <c r="O28" i="1"/>
  <c r="O27" i="1"/>
  <c r="O23" i="1"/>
  <c r="O31" i="1"/>
  <c r="O21" i="1"/>
  <c r="O26" i="1"/>
  <c r="C15" i="1"/>
  <c r="C18" i="1"/>
  <c r="O23" i="2"/>
  <c r="O27" i="2"/>
  <c r="O31" i="2"/>
  <c r="O22" i="2"/>
  <c r="O30" i="2"/>
  <c r="O21" i="2"/>
  <c r="O25" i="2"/>
  <c r="O29" i="2"/>
  <c r="O26" i="2"/>
  <c r="O24" i="2"/>
  <c r="O28" i="2"/>
  <c r="C15" i="2"/>
  <c r="C18" i="2"/>
  <c r="O28" i="3"/>
  <c r="O27" i="3"/>
  <c r="O24" i="3"/>
  <c r="O29" i="3"/>
  <c r="O25" i="3"/>
  <c r="O31" i="3"/>
  <c r="O23" i="3"/>
  <c r="O26" i="3"/>
  <c r="O30" i="3"/>
  <c r="O22" i="3"/>
  <c r="C15" i="3"/>
  <c r="C18" i="3"/>
  <c r="O21" i="4"/>
  <c r="O23" i="4"/>
  <c r="O22" i="4"/>
  <c r="O26" i="4"/>
  <c r="O30" i="4"/>
  <c r="O24" i="4"/>
  <c r="O28" i="4"/>
  <c r="O25" i="4"/>
  <c r="O29" i="4"/>
  <c r="O27" i="4"/>
  <c r="O31" i="4"/>
  <c r="C15" i="4"/>
  <c r="C18" i="4"/>
  <c r="C11" i="5"/>
  <c r="C12" i="5"/>
  <c r="C16" i="5" l="1"/>
  <c r="D18" i="5" s="1"/>
  <c r="O39" i="5"/>
  <c r="O33" i="5"/>
  <c r="O30" i="5"/>
  <c r="O49" i="5"/>
  <c r="O48" i="5"/>
  <c r="O45" i="5"/>
  <c r="O23" i="5"/>
  <c r="O42" i="5"/>
  <c r="O46" i="5"/>
  <c r="O21" i="5"/>
  <c r="O31" i="5"/>
  <c r="O26" i="5"/>
  <c r="O35" i="5"/>
  <c r="O40" i="5"/>
  <c r="O50" i="5"/>
  <c r="O25" i="5"/>
  <c r="O52" i="5"/>
  <c r="O36" i="5"/>
  <c r="O27" i="5"/>
  <c r="O47" i="5"/>
  <c r="C15" i="5"/>
  <c r="O22" i="5"/>
  <c r="O43" i="5"/>
  <c r="O41" i="5"/>
  <c r="O32" i="5"/>
  <c r="O37" i="5"/>
  <c r="O29" i="5"/>
  <c r="O34" i="5"/>
  <c r="O51" i="5"/>
  <c r="O24" i="5"/>
  <c r="O44" i="5"/>
  <c r="O28" i="5"/>
  <c r="O38" i="5"/>
  <c r="C18" i="5" l="1"/>
  <c r="F18" i="5"/>
  <c r="F19" i="5" s="1"/>
</calcChain>
</file>

<file path=xl/sharedStrings.xml><?xml version="1.0" encoding="utf-8"?>
<sst xmlns="http://schemas.openxmlformats.org/spreadsheetml/2006/main" count="553" uniqueCount="213">
  <si>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</si>
  <si>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</si>
  <si>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</si>
  <si>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</si>
  <si>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</si>
  <si>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</si>
  <si>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</si>
  <si>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</si>
  <si>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</si>
  <si>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</si>
  <si>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</si>
  <si>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</si>
  <si>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</si>
  <si>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</si>
  <si>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</si>
  <si>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</si>
  <si>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</si>
  <si>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</si>
  <si>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</si>
  <si>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</si>
  <si>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</si>
  <si>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</si>
  <si>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</si>
  <si>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</si>
  <si>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</si>
  <si>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</si>
  <si>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</si>
  <si>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</si>
  <si>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</si>
  <si>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</si>
  <si>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</si>
  <si>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</si>
  <si>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AI Gem</t>
  </si>
  <si>
    <t>I</t>
  </si>
  <si>
    <t>IBVS 5296</t>
  </si>
  <si>
    <t>IBVS 5484</t>
  </si>
  <si>
    <t>IBVS 5643</t>
  </si>
  <si>
    <t>IBVS</t>
  </si>
  <si>
    <t>EB</t>
  </si>
  <si>
    <t>IBVS 5657</t>
  </si>
  <si>
    <t># of data points:</t>
  </si>
  <si>
    <t>IBVS 5438</t>
  </si>
  <si>
    <t>IBVS 5653</t>
  </si>
  <si>
    <t>II</t>
  </si>
  <si>
    <t>My time zone &gt;&gt;&gt;&gt;&gt;</t>
  </si>
  <si>
    <t>(PST=8, PDT=MDT=7, MDT=CST=6, etc.)</t>
  </si>
  <si>
    <t>JD today</t>
  </si>
  <si>
    <t>New Cycle</t>
  </si>
  <si>
    <t>Next ToM</t>
  </si>
  <si>
    <t>IBVS 5760</t>
  </si>
  <si>
    <t>Start of linear fit &gt;&gt;&gt;&gt;&gt;&gt;&gt;&gt;&gt;&gt;&gt;&gt;&gt;&gt;&gt;&gt;&gt;&gt;&gt;&gt;&gt;</t>
  </si>
  <si>
    <t>IBVS 5894</t>
  </si>
  <si>
    <t>Add cycle</t>
  </si>
  <si>
    <t>Old Cycle</t>
  </si>
  <si>
    <t>IBVS 5960</t>
  </si>
  <si>
    <t>IBVS 5918</t>
  </si>
  <si>
    <t>IBVS 5984</t>
  </si>
  <si>
    <t>AI Gem / GSC 1331-1973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</si>
  <si>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</si>
  <si>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</si>
  <si>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</si>
  <si>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</si>
  <si>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</si>
  <si>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</si>
  <si>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</si>
  <si>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</si>
  <si>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</si>
  <si>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</si>
  <si>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</si>
  <si>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2451616.324 </t>
  </si>
  <si>
    <t> 12.03.2000 19:46 </t>
  </si>
  <si>
    <t> 0.214 </t>
  </si>
  <si>
    <t>E </t>
  </si>
  <si>
    <t>?</t>
  </si>
  <si>
    <t> E.Blättler </t>
  </si>
  <si>
    <t> BBS 122 </t>
  </si>
  <si>
    <t>2451879.5741 </t>
  </si>
  <si>
    <t> 01.12.2000 01:46 </t>
  </si>
  <si>
    <t> -0.0734 </t>
  </si>
  <si>
    <t> R.Diethelm </t>
  </si>
  <si>
    <t> BBS 124 </t>
  </si>
  <si>
    <t>2451899.4945 </t>
  </si>
  <si>
    <t> 20.12.2000 23:52 </t>
  </si>
  <si>
    <t> -0.0905 </t>
  </si>
  <si>
    <t>o</t>
  </si>
  <si>
    <t> P.Frank </t>
  </si>
  <si>
    <t>BAVM 152 </t>
  </si>
  <si>
    <t>2451901.6658 </t>
  </si>
  <si>
    <t> 23.12.2000 03:58 </t>
  </si>
  <si>
    <t> -0.0942 </t>
  </si>
  <si>
    <t>BAVM 158 </t>
  </si>
  <si>
    <t>2451925.5639 </t>
  </si>
  <si>
    <t> 16.01.2001 01:32 </t>
  </si>
  <si>
    <t> -0.1211 </t>
  </si>
  <si>
    <t>2452371.3208 </t>
  </si>
  <si>
    <t> 06.04.2002 19:41 </t>
  </si>
  <si>
    <t> -0.2392 </t>
  </si>
  <si>
    <t>-I</t>
  </si>
  <si>
    <t>2452680.5519 </t>
  </si>
  <si>
    <t> 10.02.2003 01:14 </t>
  </si>
  <si>
    <t>37789.5</t>
  </si>
  <si>
    <t> -0.2206 </t>
  </si>
  <si>
    <t>2452691.4154 </t>
  </si>
  <si>
    <t> 20.02.2003 21:58 </t>
  </si>
  <si>
    <t>37804.5</t>
  </si>
  <si>
    <t> -0.2321 </t>
  </si>
  <si>
    <t> F.Agerer </t>
  </si>
  <si>
    <t>2452707.3515 </t>
  </si>
  <si>
    <t> 08.03.2003 20:26 </t>
  </si>
  <si>
    <t>37826.5</t>
  </si>
  <si>
    <t> -0.2460 </t>
  </si>
  <si>
    <t>2452716.4005 </t>
  </si>
  <si>
    <t> 17.03.2003 21:36 </t>
  </si>
  <si>
    <t>37839</t>
  </si>
  <si>
    <t> -0.2595 </t>
  </si>
  <si>
    <t>2452719.3001 </t>
  </si>
  <si>
    <t> 20.03.2003 19:12 </t>
  </si>
  <si>
    <t>37843</t>
  </si>
  <si>
    <t> -0.2599 </t>
  </si>
  <si>
    <t> BBS 129 </t>
  </si>
  <si>
    <t>2453007.5348 </t>
  </si>
  <si>
    <t> 03.01.2004 00:50 </t>
  </si>
  <si>
    <t>38240.5</t>
  </si>
  <si>
    <t> -0.2127 </t>
  </si>
  <si>
    <t>BAVM 172 </t>
  </si>
  <si>
    <t>2453055.3307 </t>
  </si>
  <si>
    <t> 19.02.2004 19:56 </t>
  </si>
  <si>
    <t>38306.5</t>
  </si>
  <si>
    <t> -0.2668 </t>
  </si>
  <si>
    <t>2453381.5861 </t>
  </si>
  <si>
    <t> 11.01.2005 02:03 </t>
  </si>
  <si>
    <t>38756.5</t>
  </si>
  <si>
    <t> -0.2614 </t>
  </si>
  <si>
    <t>BAVM 173 </t>
  </si>
  <si>
    <t>2453385.234 </t>
  </si>
  <si>
    <t> 14.01.2005 17:36 </t>
  </si>
  <si>
    <t>38761.5</t>
  </si>
  <si>
    <t> -0.238 </t>
  </si>
  <si>
    <t> E. Blättler </t>
  </si>
  <si>
    <t>IBVS 5653 </t>
  </si>
  <si>
    <t>2453386.2950 </t>
  </si>
  <si>
    <t> 15.01.2005 19:04 </t>
  </si>
  <si>
    <t>38763</t>
  </si>
  <si>
    <t> -0.2650 </t>
  </si>
  <si>
    <t>2453387.3810 </t>
  </si>
  <si>
    <t> 16.01.2005 21:08 </t>
  </si>
  <si>
    <t>38764.5</t>
  </si>
  <si>
    <t> -0.2665 </t>
  </si>
  <si>
    <t>2453407.2965 </t>
  </si>
  <si>
    <t> 05.02.2005 19:06 </t>
  </si>
  <si>
    <t>38792</t>
  </si>
  <si>
    <t> -0.2885 </t>
  </si>
  <si>
    <t>2453408.3836 </t>
  </si>
  <si>
    <t> 06.02.2005 21:12 </t>
  </si>
  <si>
    <t>38793.5</t>
  </si>
  <si>
    <t> -0.2889 </t>
  </si>
  <si>
    <t>2453409.4695 </t>
  </si>
  <si>
    <t> 07.02.2005 23:16 </t>
  </si>
  <si>
    <t>38795</t>
  </si>
  <si>
    <t> -0.2905 </t>
  </si>
  <si>
    <t>2453410.5566 </t>
  </si>
  <si>
    <t> 09.02.2005 01:21 </t>
  </si>
  <si>
    <t>38796.5</t>
  </si>
  <si>
    <t> -0.2909 </t>
  </si>
  <si>
    <t>2453446.4036 </t>
  </si>
  <si>
    <t> 16.03.2005 21:41 </t>
  </si>
  <si>
    <t>38846</t>
  </si>
  <si>
    <t> -0.3314 </t>
  </si>
  <si>
    <t>C </t>
  </si>
  <si>
    <t> W.Proksch </t>
  </si>
  <si>
    <t>BAVM 203 </t>
  </si>
  <si>
    <t>2453741.8795 </t>
  </si>
  <si>
    <t> 06.01.2006 09:06 </t>
  </si>
  <si>
    <t>39253.5</t>
  </si>
  <si>
    <t> -0.2930 </t>
  </si>
  <si>
    <t>R</t>
  </si>
  <si>
    <t> R. Nelson </t>
  </si>
  <si>
    <t>IBVS 5760 </t>
  </si>
  <si>
    <t>2454823.1211 </t>
  </si>
  <si>
    <t> 22.12.2008 14:54 </t>
  </si>
  <si>
    <t>40745</t>
  </si>
  <si>
    <t> -0.3889 </t>
  </si>
  <si>
    <t> K.Nakajima </t>
  </si>
  <si>
    <t>VSB 48 </t>
  </si>
  <si>
    <t>2454830.3638 </t>
  </si>
  <si>
    <t> 29.12.2008 20:43 </t>
  </si>
  <si>
    <t>40755</t>
  </si>
  <si>
    <t> -0.3962 </t>
  </si>
  <si>
    <t>BAVM 209 </t>
  </si>
  <si>
    <t>2454843.4000 </t>
  </si>
  <si>
    <t> 11.01.2009 21:36 </t>
  </si>
  <si>
    <t>40773</t>
  </si>
  <si>
    <t> -0.4100 </t>
  </si>
  <si>
    <t>2454856.4361 </t>
  </si>
  <si>
    <t> 24.01.2009 22:27 </t>
  </si>
  <si>
    <t>40791</t>
  </si>
  <si>
    <t> -0.4239 </t>
  </si>
  <si>
    <t>2454884.6749 </t>
  </si>
  <si>
    <t> 22.02.2009 04:11 </t>
  </si>
  <si>
    <t>40830</t>
  </si>
  <si>
    <t> -0.4601 </t>
  </si>
  <si>
    <t>IBVS 5894 </t>
  </si>
  <si>
    <t>2455545.8804 </t>
  </si>
  <si>
    <t> 15.12.2010 09:07 </t>
  </si>
  <si>
    <t>41742</t>
  </si>
  <si>
    <t> -0.4546 </t>
  </si>
  <si>
    <t>IBVS 5960 </t>
  </si>
  <si>
    <t>2455578.4700 </t>
  </si>
  <si>
    <t> 16.01.2011 23:16 </t>
  </si>
  <si>
    <t>41787</t>
  </si>
  <si>
    <t> -0.4900 </t>
  </si>
  <si>
    <t>BAVM 215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</si>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</sst>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4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39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10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39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8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11" xfId="0" applyFont="1" applyBorder="1" applyAlignment="1"/>
    <xf numFmtId="0" fontId="9" fillId="0" borderId="12" xfId="0" applyFont="1" applyBorder="1" applyAlignme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NumberFormat="1" applyAlignment="1"/>
    <xf numFmtId="0" fontId="0" fillId="0" borderId="0" xfId="0" applyNumberFormat="1" applyAlignment="1">
      <alignment horizontal="center"/>
    </xf>
    <xf numFmtId="0" fontId="12" fillId="0" borderId="0" xfId="0" applyFont="1" applyAlignment="1"/>
    <xf numFmtId="0" fontId="13" fillId="0" borderId="0" xfId="0" applyFont="1" applyAlignment="1"/>
    <xf numFmtId="0" fontId="5" fillId="0" borderId="5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10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>
      <alignment vertical="top"/>
    </xf>
    <xf numFmtId="0" fontId="14" fillId="0" borderId="0" xfId="0" applyFont="1" applyAlignment="1"/>
    <xf numFmtId="0" fontId="16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4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0" fillId="0" borderId="11" xfId="0" applyFont="1" applyBorder="1" applyAlignment="1"/>
    <xf numFmtId="0" fontId="10" fillId="0" borderId="12" xfId="0" applyFont="1" applyBorder="1" applyAlignment="1"/>
    <xf numFmtId="0" fontId="14" fillId="0" borderId="0" xfId="0" applyFont="1">
      <alignment vertical="top"/>
    </xf>
    <xf numFmtId="0" fontId="14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wrapText="1"/>
    </xf>
    <xf numFmtId="0" fontId="18" fillId="0" borderId="0" xfId="0" applyFont="1" applyAlignme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top"/>
    </xf>
    <xf numFmtId="0" fontId="19" fillId="0" borderId="0" xfId="0" applyFont="1">
      <alignment vertical="top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5" fillId="24" borderId="19" xfId="0" applyFont="1" applyFill="1" applyBorder="1" applyAlignment="1">
      <alignment horizontal="left" vertical="top" wrapText="1" indent="1"/>
    </xf>
    <xf numFmtId="0" fontId="5" fillId="24" borderId="19" xfId="0" applyFont="1" applyFill="1" applyBorder="1" applyAlignment="1">
      <alignment horizontal="center" vertical="top" wrapText="1"/>
    </xf>
    <xf numFmtId="0" fontId="5" fillId="24" borderId="19" xfId="0" applyFont="1" applyFill="1" applyBorder="1" applyAlignment="1">
      <alignment horizontal="right" vertical="top" wrapText="1"/>
    </xf>
    <xf numFmtId="0" fontId="21" fillId="24" borderId="19" xfId="38" applyFill="1" applyBorder="1" applyAlignment="1" applyProtection="1">
      <alignment horizontal="right" vertical="top" wrapText="1"/>
    </xf>
    <xf numFmtId="0" fontId="22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10" xfId="0" applyFont="1" applyBorder="1" applyAlignment="1">
      <alignment horizontal="center"/>
    </xf>
    <xf numFmtId="0" fontId="38" fillId="0" borderId="0" xfId="42" applyFont="1" applyAlignment="1">
      <alignment wrapText="1"/>
    </xf>
    <xf numFmtId="0" fontId="38" fillId="0" borderId="0" xfId="42" applyFont="1" applyAlignment="1">
      <alignment horizontal="center" wrapText="1"/>
    </xf>
    <xf numFmtId="0" fontId="38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AI Gem - O-C Diagr.</a:t>
            </a:r>
          </a:p>
        </c:rich>
      </c:tx>
      <c:layout>
        <c:manualLayout>
          <c:xMode val="edge"/>
          <c:yMode val="edge"/>
          <c:x val="0.37903225806451613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"/>
          <c:y val="0.14678942920199375"/>
          <c:w val="0.8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36361</c:v>
                </c:pt>
                <c:pt idx="2">
                  <c:v>36724.5</c:v>
                </c:pt>
                <c:pt idx="3">
                  <c:v>36752</c:v>
                </c:pt>
                <c:pt idx="4">
                  <c:v>36755</c:v>
                </c:pt>
                <c:pt idx="5">
                  <c:v>36788</c:v>
                </c:pt>
                <c:pt idx="6">
                  <c:v>37403.5</c:v>
                </c:pt>
                <c:pt idx="7">
                  <c:v>37830.5</c:v>
                </c:pt>
                <c:pt idx="8">
                  <c:v>37845.5</c:v>
                </c:pt>
                <c:pt idx="9">
                  <c:v>37867.5</c:v>
                </c:pt>
                <c:pt idx="10">
                  <c:v>37880</c:v>
                </c:pt>
                <c:pt idx="11">
                  <c:v>37884</c:v>
                </c:pt>
                <c:pt idx="12">
                  <c:v>38282</c:v>
                </c:pt>
                <c:pt idx="13">
                  <c:v>38348</c:v>
                </c:pt>
                <c:pt idx="14">
                  <c:v>38798.5</c:v>
                </c:pt>
                <c:pt idx="15">
                  <c:v>38803.5</c:v>
                </c:pt>
                <c:pt idx="16">
                  <c:v>38805</c:v>
                </c:pt>
                <c:pt idx="17">
                  <c:v>38806.5</c:v>
                </c:pt>
                <c:pt idx="18">
                  <c:v>38834</c:v>
                </c:pt>
                <c:pt idx="19">
                  <c:v>38835.5</c:v>
                </c:pt>
                <c:pt idx="20">
                  <c:v>38837</c:v>
                </c:pt>
                <c:pt idx="21">
                  <c:v>38838.5</c:v>
                </c:pt>
                <c:pt idx="22">
                  <c:v>38888</c:v>
                </c:pt>
                <c:pt idx="23">
                  <c:v>39296</c:v>
                </c:pt>
                <c:pt idx="24">
                  <c:v>40789</c:v>
                </c:pt>
                <c:pt idx="25">
                  <c:v>40799</c:v>
                </c:pt>
                <c:pt idx="26">
                  <c:v>40817</c:v>
                </c:pt>
                <c:pt idx="27">
                  <c:v>40835</c:v>
                </c:pt>
                <c:pt idx="28">
                  <c:v>40874</c:v>
                </c:pt>
                <c:pt idx="29">
                  <c:v>41787</c:v>
                </c:pt>
                <c:pt idx="30">
                  <c:v>41832</c:v>
                </c:pt>
                <c:pt idx="31">
                  <c:v>44326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7F-4A06-BA29-2C6C01C16B7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Active!$D$21:$D$408</c:f>
                <c:numCache>
                  <c:formatCode>General</c:formatCode>
                  <c:ptCount val="38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1.5E-3</c:v>
                  </c:pt>
                  <c:pt idx="5">
                    <c:v>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1.8E-3</c:v>
                  </c:pt>
                  <c:pt idx="9">
                    <c:v>2.2000000000000001E-3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2.3999999999999998E-3</c:v>
                  </c:pt>
                  <c:pt idx="13">
                    <c:v>1.6999999999999999E-3</c:v>
                  </c:pt>
                  <c:pt idx="14">
                    <c:v>5.0000000000000001E-4</c:v>
                  </c:pt>
                  <c:pt idx="15">
                    <c:v>2E-3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5.9999999999999995E-4</c:v>
                  </c:pt>
                  <c:pt idx="19">
                    <c:v>6.9999999999999999E-4</c:v>
                  </c:pt>
                  <c:pt idx="20">
                    <c:v>4.0000000000000002E-4</c:v>
                  </c:pt>
                  <c:pt idx="21">
                    <c:v>4.3E-3</c:v>
                  </c:pt>
                  <c:pt idx="22">
                    <c:v>0</c:v>
                  </c:pt>
                  <c:pt idx="23">
                    <c:v>2.9999999999999997E-4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1.4E-3</c:v>
                  </c:pt>
                  <c:pt idx="27">
                    <c:v>8.0000000000000004E-4</c:v>
                  </c:pt>
                  <c:pt idx="28">
                    <c:v>4.0000000000000002E-4</c:v>
                  </c:pt>
                  <c:pt idx="29">
                    <c:v>5.0000000000000001E-4</c:v>
                  </c:pt>
                  <c:pt idx="30">
                    <c:v>1.1999999999999999E-3</c:v>
                  </c:pt>
                  <c:pt idx="31">
                    <c:v>3.0999999999999999E-3</c:v>
                  </c:pt>
                </c:numCache>
              </c:numRef>
            </c:plus>
            <c:minus>
              <c:numRef>
                <c:f>Active!$D$21:$D$408</c:f>
                <c:numCache>
                  <c:formatCode>General</c:formatCode>
                  <c:ptCount val="38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1.5E-3</c:v>
                  </c:pt>
                  <c:pt idx="5">
                    <c:v>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1.8E-3</c:v>
                  </c:pt>
                  <c:pt idx="9">
                    <c:v>2.2000000000000001E-3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2.3999999999999998E-3</c:v>
                  </c:pt>
                  <c:pt idx="13">
                    <c:v>1.6999999999999999E-3</c:v>
                  </c:pt>
                  <c:pt idx="14">
                    <c:v>5.0000000000000001E-4</c:v>
                  </c:pt>
                  <c:pt idx="15">
                    <c:v>2E-3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5.9999999999999995E-4</c:v>
                  </c:pt>
                  <c:pt idx="19">
                    <c:v>6.9999999999999999E-4</c:v>
                  </c:pt>
                  <c:pt idx="20">
                    <c:v>4.0000000000000002E-4</c:v>
                  </c:pt>
                  <c:pt idx="21">
                    <c:v>4.3E-3</c:v>
                  </c:pt>
                  <c:pt idx="22">
                    <c:v>0</c:v>
                  </c:pt>
                  <c:pt idx="23">
                    <c:v>2.9999999999999997E-4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1.4E-3</c:v>
                  </c:pt>
                  <c:pt idx="27">
                    <c:v>8.0000000000000004E-4</c:v>
                  </c:pt>
                  <c:pt idx="28">
                    <c:v>4.0000000000000002E-4</c:v>
                  </c:pt>
                  <c:pt idx="29">
                    <c:v>5.0000000000000001E-4</c:v>
                  </c:pt>
                  <c:pt idx="30">
                    <c:v>1.1999999999999999E-3</c:v>
                  </c:pt>
                  <c:pt idx="3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36361</c:v>
                </c:pt>
                <c:pt idx="2">
                  <c:v>36724.5</c:v>
                </c:pt>
                <c:pt idx="3">
                  <c:v>36752</c:v>
                </c:pt>
                <c:pt idx="4">
                  <c:v>36755</c:v>
                </c:pt>
                <c:pt idx="5">
                  <c:v>36788</c:v>
                </c:pt>
                <c:pt idx="6">
                  <c:v>37403.5</c:v>
                </c:pt>
                <c:pt idx="7">
                  <c:v>37830.5</c:v>
                </c:pt>
                <c:pt idx="8">
                  <c:v>37845.5</c:v>
                </c:pt>
                <c:pt idx="9">
                  <c:v>37867.5</c:v>
                </c:pt>
                <c:pt idx="10">
                  <c:v>37880</c:v>
                </c:pt>
                <c:pt idx="11">
                  <c:v>37884</c:v>
                </c:pt>
                <c:pt idx="12">
                  <c:v>38282</c:v>
                </c:pt>
                <c:pt idx="13">
                  <c:v>38348</c:v>
                </c:pt>
                <c:pt idx="14">
                  <c:v>38798.5</c:v>
                </c:pt>
                <c:pt idx="15">
                  <c:v>38803.5</c:v>
                </c:pt>
                <c:pt idx="16">
                  <c:v>38805</c:v>
                </c:pt>
                <c:pt idx="17">
                  <c:v>38806.5</c:v>
                </c:pt>
                <c:pt idx="18">
                  <c:v>38834</c:v>
                </c:pt>
                <c:pt idx="19">
                  <c:v>38835.5</c:v>
                </c:pt>
                <c:pt idx="20">
                  <c:v>38837</c:v>
                </c:pt>
                <c:pt idx="21">
                  <c:v>38838.5</c:v>
                </c:pt>
                <c:pt idx="22">
                  <c:v>38888</c:v>
                </c:pt>
                <c:pt idx="23">
                  <c:v>39296</c:v>
                </c:pt>
                <c:pt idx="24">
                  <c:v>40789</c:v>
                </c:pt>
                <c:pt idx="25">
                  <c:v>40799</c:v>
                </c:pt>
                <c:pt idx="26">
                  <c:v>40817</c:v>
                </c:pt>
                <c:pt idx="27">
                  <c:v>40835</c:v>
                </c:pt>
                <c:pt idx="28">
                  <c:v>40874</c:v>
                </c:pt>
                <c:pt idx="29">
                  <c:v>41787</c:v>
                </c:pt>
                <c:pt idx="30">
                  <c:v>41832</c:v>
                </c:pt>
                <c:pt idx="31">
                  <c:v>44326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1">
                  <c:v>-2.8972056905331556E-2</c:v>
                </c:pt>
                <c:pt idx="22">
                  <c:v>-2.5829398240603041E-2</c:v>
                </c:pt>
                <c:pt idx="24">
                  <c:v>-2.987486948404694E-2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7F-4A06-BA29-2C6C01C16B7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Active!$D$21:$D$48</c:f>
                <c:numCache>
                  <c:formatCode>General</c:formatCode>
                  <c:ptCount val="2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1.5E-3</c:v>
                  </c:pt>
                  <c:pt idx="5">
                    <c:v>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1.8E-3</c:v>
                  </c:pt>
                  <c:pt idx="9">
                    <c:v>2.2000000000000001E-3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2.3999999999999998E-3</c:v>
                  </c:pt>
                  <c:pt idx="13">
                    <c:v>1.6999999999999999E-3</c:v>
                  </c:pt>
                  <c:pt idx="14">
                    <c:v>5.0000000000000001E-4</c:v>
                  </c:pt>
                  <c:pt idx="15">
                    <c:v>2E-3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5.9999999999999995E-4</c:v>
                  </c:pt>
                  <c:pt idx="19">
                    <c:v>6.9999999999999999E-4</c:v>
                  </c:pt>
                  <c:pt idx="20">
                    <c:v>4.0000000000000002E-4</c:v>
                  </c:pt>
                  <c:pt idx="21">
                    <c:v>4.3E-3</c:v>
                  </c:pt>
                  <c:pt idx="22">
                    <c:v>0</c:v>
                  </c:pt>
                  <c:pt idx="23">
                    <c:v>2.9999999999999997E-4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1.4E-3</c:v>
                  </c:pt>
                  <c:pt idx="27">
                    <c:v>8.0000000000000004E-4</c:v>
                  </c:pt>
                </c:numCache>
              </c:numRef>
            </c:plus>
            <c:minus>
              <c:numRef>
                <c:f>Active!$D$21:$D$48</c:f>
                <c:numCache>
                  <c:formatCode>General</c:formatCode>
                  <c:ptCount val="2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1.5E-3</c:v>
                  </c:pt>
                  <c:pt idx="5">
                    <c:v>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1.8E-3</c:v>
                  </c:pt>
                  <c:pt idx="9">
                    <c:v>2.2000000000000001E-3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2.3999999999999998E-3</c:v>
                  </c:pt>
                  <c:pt idx="13">
                    <c:v>1.6999999999999999E-3</c:v>
                  </c:pt>
                  <c:pt idx="14">
                    <c:v>5.0000000000000001E-4</c:v>
                  </c:pt>
                  <c:pt idx="15">
                    <c:v>2E-3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5.9999999999999995E-4</c:v>
                  </c:pt>
                  <c:pt idx="19">
                    <c:v>6.9999999999999999E-4</c:v>
                  </c:pt>
                  <c:pt idx="20">
                    <c:v>4.0000000000000002E-4</c:v>
                  </c:pt>
                  <c:pt idx="21">
                    <c:v>4.3E-3</c:v>
                  </c:pt>
                  <c:pt idx="22">
                    <c:v>0</c:v>
                  </c:pt>
                  <c:pt idx="23">
                    <c:v>2.9999999999999997E-4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1.4E-3</c:v>
                  </c:pt>
                  <c:pt idx="2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36361</c:v>
                </c:pt>
                <c:pt idx="2">
                  <c:v>36724.5</c:v>
                </c:pt>
                <c:pt idx="3">
                  <c:v>36752</c:v>
                </c:pt>
                <c:pt idx="4">
                  <c:v>36755</c:v>
                </c:pt>
                <c:pt idx="5">
                  <c:v>36788</c:v>
                </c:pt>
                <c:pt idx="6">
                  <c:v>37403.5</c:v>
                </c:pt>
                <c:pt idx="7">
                  <c:v>37830.5</c:v>
                </c:pt>
                <c:pt idx="8">
                  <c:v>37845.5</c:v>
                </c:pt>
                <c:pt idx="9">
                  <c:v>37867.5</c:v>
                </c:pt>
                <c:pt idx="10">
                  <c:v>37880</c:v>
                </c:pt>
                <c:pt idx="11">
                  <c:v>37884</c:v>
                </c:pt>
                <c:pt idx="12">
                  <c:v>38282</c:v>
                </c:pt>
                <c:pt idx="13">
                  <c:v>38348</c:v>
                </c:pt>
                <c:pt idx="14">
                  <c:v>38798.5</c:v>
                </c:pt>
                <c:pt idx="15">
                  <c:v>38803.5</c:v>
                </c:pt>
                <c:pt idx="16">
                  <c:v>38805</c:v>
                </c:pt>
                <c:pt idx="17">
                  <c:v>38806.5</c:v>
                </c:pt>
                <c:pt idx="18">
                  <c:v>38834</c:v>
                </c:pt>
                <c:pt idx="19">
                  <c:v>38835.5</c:v>
                </c:pt>
                <c:pt idx="20">
                  <c:v>38837</c:v>
                </c:pt>
                <c:pt idx="21">
                  <c:v>38838.5</c:v>
                </c:pt>
                <c:pt idx="22">
                  <c:v>38888</c:v>
                </c:pt>
                <c:pt idx="23">
                  <c:v>39296</c:v>
                </c:pt>
                <c:pt idx="24">
                  <c:v>40789</c:v>
                </c:pt>
                <c:pt idx="25">
                  <c:v>40799</c:v>
                </c:pt>
                <c:pt idx="26">
                  <c:v>40817</c:v>
                </c:pt>
                <c:pt idx="27">
                  <c:v>40835</c:v>
                </c:pt>
                <c:pt idx="28">
                  <c:v>40874</c:v>
                </c:pt>
                <c:pt idx="29">
                  <c:v>41787</c:v>
                </c:pt>
                <c:pt idx="30">
                  <c:v>41832</c:v>
                </c:pt>
                <c:pt idx="31">
                  <c:v>44326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3">
                  <c:v>-2.4239694605057593E-2</c:v>
                </c:pt>
                <c:pt idx="4">
                  <c:v>-2.5567067787051201E-2</c:v>
                </c:pt>
                <c:pt idx="5">
                  <c:v>-2.6368172759248409E-2</c:v>
                </c:pt>
                <c:pt idx="6">
                  <c:v>-2.0184236695058644E-2</c:v>
                </c:pt>
                <c:pt idx="7">
                  <c:v>-2.6380352552223485E-2</c:v>
                </c:pt>
                <c:pt idx="8">
                  <c:v>-2.6017218449851498E-2</c:v>
                </c:pt>
                <c:pt idx="9">
                  <c:v>-2.2517955098010134E-2</c:v>
                </c:pt>
                <c:pt idx="10">
                  <c:v>-2.6132010003493633E-2</c:v>
                </c:pt>
                <c:pt idx="12">
                  <c:v>-2.3900016029074322E-2</c:v>
                </c:pt>
                <c:pt idx="13">
                  <c:v>-2.580222597316606E-2</c:v>
                </c:pt>
                <c:pt idx="14">
                  <c:v>-2.6612765053869225E-2</c:v>
                </c:pt>
                <c:pt idx="16">
                  <c:v>-2.5072073607589118E-2</c:v>
                </c:pt>
                <c:pt idx="17">
                  <c:v>-2.5385760200151708E-2</c:v>
                </c:pt>
                <c:pt idx="18">
                  <c:v>-2.5636681006290019E-2</c:v>
                </c:pt>
                <c:pt idx="19">
                  <c:v>-2.4850367597537115E-2</c:v>
                </c:pt>
                <c:pt idx="20">
                  <c:v>-2.5264054187573493E-2</c:v>
                </c:pt>
                <c:pt idx="21">
                  <c:v>-2.4477740771544632E-2</c:v>
                </c:pt>
                <c:pt idx="25">
                  <c:v>-2.9266113415360451E-2</c:v>
                </c:pt>
                <c:pt idx="26">
                  <c:v>-2.8830352493969258E-2</c:v>
                </c:pt>
                <c:pt idx="27">
                  <c:v>-2.8494591570051853E-2</c:v>
                </c:pt>
                <c:pt idx="30">
                  <c:v>-3.1091611468582414E-2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7F-4A06-BA29-2C6C01C16B7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36361</c:v>
                </c:pt>
                <c:pt idx="2">
                  <c:v>36724.5</c:v>
                </c:pt>
                <c:pt idx="3">
                  <c:v>36752</c:v>
                </c:pt>
                <c:pt idx="4">
                  <c:v>36755</c:v>
                </c:pt>
                <c:pt idx="5">
                  <c:v>36788</c:v>
                </c:pt>
                <c:pt idx="6">
                  <c:v>37403.5</c:v>
                </c:pt>
                <c:pt idx="7">
                  <c:v>37830.5</c:v>
                </c:pt>
                <c:pt idx="8">
                  <c:v>37845.5</c:v>
                </c:pt>
                <c:pt idx="9">
                  <c:v>37867.5</c:v>
                </c:pt>
                <c:pt idx="10">
                  <c:v>37880</c:v>
                </c:pt>
                <c:pt idx="11">
                  <c:v>37884</c:v>
                </c:pt>
                <c:pt idx="12">
                  <c:v>38282</c:v>
                </c:pt>
                <c:pt idx="13">
                  <c:v>38348</c:v>
                </c:pt>
                <c:pt idx="14">
                  <c:v>38798.5</c:v>
                </c:pt>
                <c:pt idx="15">
                  <c:v>38803.5</c:v>
                </c:pt>
                <c:pt idx="16">
                  <c:v>38805</c:v>
                </c:pt>
                <c:pt idx="17">
                  <c:v>38806.5</c:v>
                </c:pt>
                <c:pt idx="18">
                  <c:v>38834</c:v>
                </c:pt>
                <c:pt idx="19">
                  <c:v>38835.5</c:v>
                </c:pt>
                <c:pt idx="20">
                  <c:v>38837</c:v>
                </c:pt>
                <c:pt idx="21">
                  <c:v>38838.5</c:v>
                </c:pt>
                <c:pt idx="22">
                  <c:v>38888</c:v>
                </c:pt>
                <c:pt idx="23">
                  <c:v>39296</c:v>
                </c:pt>
                <c:pt idx="24">
                  <c:v>40789</c:v>
                </c:pt>
                <c:pt idx="25">
                  <c:v>40799</c:v>
                </c:pt>
                <c:pt idx="26">
                  <c:v>40817</c:v>
                </c:pt>
                <c:pt idx="27">
                  <c:v>40835</c:v>
                </c:pt>
                <c:pt idx="28">
                  <c:v>40874</c:v>
                </c:pt>
                <c:pt idx="29">
                  <c:v>41787</c:v>
                </c:pt>
                <c:pt idx="30">
                  <c:v>41832</c:v>
                </c:pt>
                <c:pt idx="31">
                  <c:v>44326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2">
                  <c:v>-2.8888773798826151E-2</c:v>
                </c:pt>
                <c:pt idx="11">
                  <c:v>-2.3368507572740782E-2</c:v>
                </c:pt>
                <c:pt idx="23">
                  <c:v>-2.725215060490882E-2</c:v>
                </c:pt>
                <c:pt idx="28">
                  <c:v>-3.3850442894618027E-2</c:v>
                </c:pt>
                <c:pt idx="29">
                  <c:v>-3.1281013776606414E-2</c:v>
                </c:pt>
                <c:pt idx="31">
                  <c:v>-4.2547847813693807E-2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7F-4A06-BA29-2C6C01C16B7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36361</c:v>
                </c:pt>
                <c:pt idx="2">
                  <c:v>36724.5</c:v>
                </c:pt>
                <c:pt idx="3">
                  <c:v>36752</c:v>
                </c:pt>
                <c:pt idx="4">
                  <c:v>36755</c:v>
                </c:pt>
                <c:pt idx="5">
                  <c:v>36788</c:v>
                </c:pt>
                <c:pt idx="6">
                  <c:v>37403.5</c:v>
                </c:pt>
                <c:pt idx="7">
                  <c:v>37830.5</c:v>
                </c:pt>
                <c:pt idx="8">
                  <c:v>37845.5</c:v>
                </c:pt>
                <c:pt idx="9">
                  <c:v>37867.5</c:v>
                </c:pt>
                <c:pt idx="10">
                  <c:v>37880</c:v>
                </c:pt>
                <c:pt idx="11">
                  <c:v>37884</c:v>
                </c:pt>
                <c:pt idx="12">
                  <c:v>38282</c:v>
                </c:pt>
                <c:pt idx="13">
                  <c:v>38348</c:v>
                </c:pt>
                <c:pt idx="14">
                  <c:v>38798.5</c:v>
                </c:pt>
                <c:pt idx="15">
                  <c:v>38803.5</c:v>
                </c:pt>
                <c:pt idx="16">
                  <c:v>38805</c:v>
                </c:pt>
                <c:pt idx="17">
                  <c:v>38806.5</c:v>
                </c:pt>
                <c:pt idx="18">
                  <c:v>38834</c:v>
                </c:pt>
                <c:pt idx="19">
                  <c:v>38835.5</c:v>
                </c:pt>
                <c:pt idx="20">
                  <c:v>38837</c:v>
                </c:pt>
                <c:pt idx="21">
                  <c:v>38838.5</c:v>
                </c:pt>
                <c:pt idx="22">
                  <c:v>38888</c:v>
                </c:pt>
                <c:pt idx="23">
                  <c:v>39296</c:v>
                </c:pt>
                <c:pt idx="24">
                  <c:v>40789</c:v>
                </c:pt>
                <c:pt idx="25">
                  <c:v>40799</c:v>
                </c:pt>
                <c:pt idx="26">
                  <c:v>40817</c:v>
                </c:pt>
                <c:pt idx="27">
                  <c:v>40835</c:v>
                </c:pt>
                <c:pt idx="28">
                  <c:v>40874</c:v>
                </c:pt>
                <c:pt idx="29">
                  <c:v>41787</c:v>
                </c:pt>
                <c:pt idx="30">
                  <c:v>41832</c:v>
                </c:pt>
                <c:pt idx="31">
                  <c:v>44326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7F-4A06-BA29-2C6C01C16B7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36361</c:v>
                </c:pt>
                <c:pt idx="2">
                  <c:v>36724.5</c:v>
                </c:pt>
                <c:pt idx="3">
                  <c:v>36752</c:v>
                </c:pt>
                <c:pt idx="4">
                  <c:v>36755</c:v>
                </c:pt>
                <c:pt idx="5">
                  <c:v>36788</c:v>
                </c:pt>
                <c:pt idx="6">
                  <c:v>37403.5</c:v>
                </c:pt>
                <c:pt idx="7">
                  <c:v>37830.5</c:v>
                </c:pt>
                <c:pt idx="8">
                  <c:v>37845.5</c:v>
                </c:pt>
                <c:pt idx="9">
                  <c:v>37867.5</c:v>
                </c:pt>
                <c:pt idx="10">
                  <c:v>37880</c:v>
                </c:pt>
                <c:pt idx="11">
                  <c:v>37884</c:v>
                </c:pt>
                <c:pt idx="12">
                  <c:v>38282</c:v>
                </c:pt>
                <c:pt idx="13">
                  <c:v>38348</c:v>
                </c:pt>
                <c:pt idx="14">
                  <c:v>38798.5</c:v>
                </c:pt>
                <c:pt idx="15">
                  <c:v>38803.5</c:v>
                </c:pt>
                <c:pt idx="16">
                  <c:v>38805</c:v>
                </c:pt>
                <c:pt idx="17">
                  <c:v>38806.5</c:v>
                </c:pt>
                <c:pt idx="18">
                  <c:v>38834</c:v>
                </c:pt>
                <c:pt idx="19">
                  <c:v>38835.5</c:v>
                </c:pt>
                <c:pt idx="20">
                  <c:v>38837</c:v>
                </c:pt>
                <c:pt idx="21">
                  <c:v>38838.5</c:v>
                </c:pt>
                <c:pt idx="22">
                  <c:v>38888</c:v>
                </c:pt>
                <c:pt idx="23">
                  <c:v>39296</c:v>
                </c:pt>
                <c:pt idx="24">
                  <c:v>40789</c:v>
                </c:pt>
                <c:pt idx="25">
                  <c:v>40799</c:v>
                </c:pt>
                <c:pt idx="26">
                  <c:v>40817</c:v>
                </c:pt>
                <c:pt idx="27">
                  <c:v>40835</c:v>
                </c:pt>
                <c:pt idx="28">
                  <c:v>40874</c:v>
                </c:pt>
                <c:pt idx="29">
                  <c:v>41787</c:v>
                </c:pt>
                <c:pt idx="30">
                  <c:v>41832</c:v>
                </c:pt>
                <c:pt idx="31">
                  <c:v>44326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7F-4A06-BA29-2C6C01C16B7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36361</c:v>
                </c:pt>
                <c:pt idx="2">
                  <c:v>36724.5</c:v>
                </c:pt>
                <c:pt idx="3">
                  <c:v>36752</c:v>
                </c:pt>
                <c:pt idx="4">
                  <c:v>36755</c:v>
                </c:pt>
                <c:pt idx="5">
                  <c:v>36788</c:v>
                </c:pt>
                <c:pt idx="6">
                  <c:v>37403.5</c:v>
                </c:pt>
                <c:pt idx="7">
                  <c:v>37830.5</c:v>
                </c:pt>
                <c:pt idx="8">
                  <c:v>37845.5</c:v>
                </c:pt>
                <c:pt idx="9">
                  <c:v>37867.5</c:v>
                </c:pt>
                <c:pt idx="10">
                  <c:v>37880</c:v>
                </c:pt>
                <c:pt idx="11">
                  <c:v>37884</c:v>
                </c:pt>
                <c:pt idx="12">
                  <c:v>38282</c:v>
                </c:pt>
                <c:pt idx="13">
                  <c:v>38348</c:v>
                </c:pt>
                <c:pt idx="14">
                  <c:v>38798.5</c:v>
                </c:pt>
                <c:pt idx="15">
                  <c:v>38803.5</c:v>
                </c:pt>
                <c:pt idx="16">
                  <c:v>38805</c:v>
                </c:pt>
                <c:pt idx="17">
                  <c:v>38806.5</c:v>
                </c:pt>
                <c:pt idx="18">
                  <c:v>38834</c:v>
                </c:pt>
                <c:pt idx="19">
                  <c:v>38835.5</c:v>
                </c:pt>
                <c:pt idx="20">
                  <c:v>38837</c:v>
                </c:pt>
                <c:pt idx="21">
                  <c:v>38838.5</c:v>
                </c:pt>
                <c:pt idx="22">
                  <c:v>38888</c:v>
                </c:pt>
                <c:pt idx="23">
                  <c:v>39296</c:v>
                </c:pt>
                <c:pt idx="24">
                  <c:v>40789</c:v>
                </c:pt>
                <c:pt idx="25">
                  <c:v>40799</c:v>
                </c:pt>
                <c:pt idx="26">
                  <c:v>40817</c:v>
                </c:pt>
                <c:pt idx="27">
                  <c:v>40835</c:v>
                </c:pt>
                <c:pt idx="28">
                  <c:v>40874</c:v>
                </c:pt>
                <c:pt idx="29">
                  <c:v>41787</c:v>
                </c:pt>
                <c:pt idx="30">
                  <c:v>41832</c:v>
                </c:pt>
                <c:pt idx="31">
                  <c:v>44326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7F-4A06-BA29-2C6C01C16B7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36361</c:v>
                </c:pt>
                <c:pt idx="2">
                  <c:v>36724.5</c:v>
                </c:pt>
                <c:pt idx="3">
                  <c:v>36752</c:v>
                </c:pt>
                <c:pt idx="4">
                  <c:v>36755</c:v>
                </c:pt>
                <c:pt idx="5">
                  <c:v>36788</c:v>
                </c:pt>
                <c:pt idx="6">
                  <c:v>37403.5</c:v>
                </c:pt>
                <c:pt idx="7">
                  <c:v>37830.5</c:v>
                </c:pt>
                <c:pt idx="8">
                  <c:v>37845.5</c:v>
                </c:pt>
                <c:pt idx="9">
                  <c:v>37867.5</c:v>
                </c:pt>
                <c:pt idx="10">
                  <c:v>37880</c:v>
                </c:pt>
                <c:pt idx="11">
                  <c:v>37884</c:v>
                </c:pt>
                <c:pt idx="12">
                  <c:v>38282</c:v>
                </c:pt>
                <c:pt idx="13">
                  <c:v>38348</c:v>
                </c:pt>
                <c:pt idx="14">
                  <c:v>38798.5</c:v>
                </c:pt>
                <c:pt idx="15">
                  <c:v>38803.5</c:v>
                </c:pt>
                <c:pt idx="16">
                  <c:v>38805</c:v>
                </c:pt>
                <c:pt idx="17">
                  <c:v>38806.5</c:v>
                </c:pt>
                <c:pt idx="18">
                  <c:v>38834</c:v>
                </c:pt>
                <c:pt idx="19">
                  <c:v>38835.5</c:v>
                </c:pt>
                <c:pt idx="20">
                  <c:v>38837</c:v>
                </c:pt>
                <c:pt idx="21">
                  <c:v>38838.5</c:v>
                </c:pt>
                <c:pt idx="22">
                  <c:v>38888</c:v>
                </c:pt>
                <c:pt idx="23">
                  <c:v>39296</c:v>
                </c:pt>
                <c:pt idx="24">
                  <c:v>40789</c:v>
                </c:pt>
                <c:pt idx="25">
                  <c:v>40799</c:v>
                </c:pt>
                <c:pt idx="26">
                  <c:v>40817</c:v>
                </c:pt>
                <c:pt idx="27">
                  <c:v>40835</c:v>
                </c:pt>
                <c:pt idx="28">
                  <c:v>40874</c:v>
                </c:pt>
                <c:pt idx="29">
                  <c:v>41787</c:v>
                </c:pt>
                <c:pt idx="30">
                  <c:v>41832</c:v>
                </c:pt>
                <c:pt idx="31">
                  <c:v>44326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7.1316485304896204E-2</c:v>
                </c:pt>
                <c:pt idx="1">
                  <c:v>-1.9404783839199483E-2</c:v>
                </c:pt>
                <c:pt idx="2">
                  <c:v>-2.0311722078903527E-2</c:v>
                </c:pt>
                <c:pt idx="3">
                  <c:v>-2.0380335013131481E-2</c:v>
                </c:pt>
                <c:pt idx="4">
                  <c:v>-2.0387820060501799E-2</c:v>
                </c:pt>
                <c:pt idx="5">
                  <c:v>-2.0470155581575347E-2</c:v>
                </c:pt>
                <c:pt idx="6">
                  <c:v>-2.2005837800386452E-2</c:v>
                </c:pt>
                <c:pt idx="7">
                  <c:v>-2.307120954276233E-2</c:v>
                </c:pt>
                <c:pt idx="8">
                  <c:v>-2.3108634779613932E-2</c:v>
                </c:pt>
                <c:pt idx="9">
                  <c:v>-2.3163525126996293E-2</c:v>
                </c:pt>
                <c:pt idx="10">
                  <c:v>-2.3194712824372646E-2</c:v>
                </c:pt>
                <c:pt idx="11">
                  <c:v>-2.3204692887533074E-2</c:v>
                </c:pt>
                <c:pt idx="12">
                  <c:v>-2.4197709171995818E-2</c:v>
                </c:pt>
                <c:pt idx="13">
                  <c:v>-2.4362380214142915E-2</c:v>
                </c:pt>
                <c:pt idx="14">
                  <c:v>-2.5486384827586306E-2</c:v>
                </c:pt>
                <c:pt idx="15">
                  <c:v>-2.5498859906536844E-2</c:v>
                </c:pt>
                <c:pt idx="16">
                  <c:v>-2.5502602430221996E-2</c:v>
                </c:pt>
                <c:pt idx="17">
                  <c:v>-2.5506344953907162E-2</c:v>
                </c:pt>
                <c:pt idx="18">
                  <c:v>-2.5574957888135116E-2</c:v>
                </c:pt>
                <c:pt idx="19">
                  <c:v>-2.5578700411820282E-2</c:v>
                </c:pt>
                <c:pt idx="20">
                  <c:v>-2.5582442935505434E-2</c:v>
                </c:pt>
                <c:pt idx="21">
                  <c:v>-2.55861854591906E-2</c:v>
                </c:pt>
                <c:pt idx="22">
                  <c:v>-2.5709688740800915E-2</c:v>
                </c:pt>
                <c:pt idx="23">
                  <c:v>-2.6727655183164736E-2</c:v>
                </c:pt>
                <c:pt idx="24">
                  <c:v>-3.0452713757795111E-2</c:v>
                </c:pt>
                <c:pt idx="25">
                  <c:v>-3.0477663915696188E-2</c:v>
                </c:pt>
                <c:pt idx="26">
                  <c:v>-3.052257419991812E-2</c:v>
                </c:pt>
                <c:pt idx="27">
                  <c:v>-3.0567484484140053E-2</c:v>
                </c:pt>
                <c:pt idx="28">
                  <c:v>-3.0664790099954237E-2</c:v>
                </c:pt>
                <c:pt idx="29">
                  <c:v>-3.2942739516322303E-2</c:v>
                </c:pt>
                <c:pt idx="30">
                  <c:v>-3.3055015226877135E-2</c:v>
                </c:pt>
                <c:pt idx="31">
                  <c:v>-3.9277584607405033E-2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7F-4A06-BA29-2C6C01C16B7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36361</c:v>
                </c:pt>
                <c:pt idx="2">
                  <c:v>36724.5</c:v>
                </c:pt>
                <c:pt idx="3">
                  <c:v>36752</c:v>
                </c:pt>
                <c:pt idx="4">
                  <c:v>36755</c:v>
                </c:pt>
                <c:pt idx="5">
                  <c:v>36788</c:v>
                </c:pt>
                <c:pt idx="6">
                  <c:v>37403.5</c:v>
                </c:pt>
                <c:pt idx="7">
                  <c:v>37830.5</c:v>
                </c:pt>
                <c:pt idx="8">
                  <c:v>37845.5</c:v>
                </c:pt>
                <c:pt idx="9">
                  <c:v>37867.5</c:v>
                </c:pt>
                <c:pt idx="10">
                  <c:v>37880</c:v>
                </c:pt>
                <c:pt idx="11">
                  <c:v>37884</c:v>
                </c:pt>
                <c:pt idx="12">
                  <c:v>38282</c:v>
                </c:pt>
                <c:pt idx="13">
                  <c:v>38348</c:v>
                </c:pt>
                <c:pt idx="14">
                  <c:v>38798.5</c:v>
                </c:pt>
                <c:pt idx="15">
                  <c:v>38803.5</c:v>
                </c:pt>
                <c:pt idx="16">
                  <c:v>38805</c:v>
                </c:pt>
                <c:pt idx="17">
                  <c:v>38806.5</c:v>
                </c:pt>
                <c:pt idx="18">
                  <c:v>38834</c:v>
                </c:pt>
                <c:pt idx="19">
                  <c:v>38835.5</c:v>
                </c:pt>
                <c:pt idx="20">
                  <c:v>38837</c:v>
                </c:pt>
                <c:pt idx="21">
                  <c:v>38838.5</c:v>
                </c:pt>
                <c:pt idx="22">
                  <c:v>38888</c:v>
                </c:pt>
                <c:pt idx="23">
                  <c:v>39296</c:v>
                </c:pt>
                <c:pt idx="24">
                  <c:v>40789</c:v>
                </c:pt>
                <c:pt idx="25">
                  <c:v>40799</c:v>
                </c:pt>
                <c:pt idx="26">
                  <c:v>40817</c:v>
                </c:pt>
                <c:pt idx="27">
                  <c:v>40835</c:v>
                </c:pt>
                <c:pt idx="28">
                  <c:v>40874</c:v>
                </c:pt>
                <c:pt idx="29">
                  <c:v>41787</c:v>
                </c:pt>
                <c:pt idx="30">
                  <c:v>41832</c:v>
                </c:pt>
                <c:pt idx="31">
                  <c:v>44326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  <c:pt idx="15">
                  <c:v>2.4161297915270552E-4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E7F-4A06-BA29-2C6C01C1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050304"/>
        <c:axId val="1"/>
      </c:scatterChart>
      <c:valAx>
        <c:axId val="707050304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03225806451615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050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774193548387098"/>
          <c:y val="0.9204921861831491"/>
          <c:w val="0.76129032258064511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AI Gem - O-C Diagr.</a:t>
            </a:r>
          </a:p>
        </c:rich>
      </c:tx>
      <c:layout>
        <c:manualLayout>
          <c:xMode val="edge"/>
          <c:yMode val="edge"/>
          <c:x val="0.38003288236313454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09683866879069"/>
          <c:y val="0.14634168126798494"/>
          <c:w val="0.80998517069427256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36361</c:v>
                </c:pt>
                <c:pt idx="2">
                  <c:v>36724.5</c:v>
                </c:pt>
                <c:pt idx="3">
                  <c:v>36752</c:v>
                </c:pt>
                <c:pt idx="4">
                  <c:v>36755</c:v>
                </c:pt>
                <c:pt idx="5">
                  <c:v>36788</c:v>
                </c:pt>
                <c:pt idx="6">
                  <c:v>37403.5</c:v>
                </c:pt>
                <c:pt idx="7">
                  <c:v>37830.5</c:v>
                </c:pt>
                <c:pt idx="8">
                  <c:v>37845.5</c:v>
                </c:pt>
                <c:pt idx="9">
                  <c:v>37867.5</c:v>
                </c:pt>
                <c:pt idx="10">
                  <c:v>37880</c:v>
                </c:pt>
                <c:pt idx="11">
                  <c:v>37884</c:v>
                </c:pt>
                <c:pt idx="12">
                  <c:v>38282</c:v>
                </c:pt>
                <c:pt idx="13">
                  <c:v>38348</c:v>
                </c:pt>
                <c:pt idx="14">
                  <c:v>38798.5</c:v>
                </c:pt>
                <c:pt idx="15">
                  <c:v>38803.5</c:v>
                </c:pt>
                <c:pt idx="16">
                  <c:v>38805</c:v>
                </c:pt>
                <c:pt idx="17">
                  <c:v>38806.5</c:v>
                </c:pt>
                <c:pt idx="18">
                  <c:v>38834</c:v>
                </c:pt>
                <c:pt idx="19">
                  <c:v>38835.5</c:v>
                </c:pt>
                <c:pt idx="20">
                  <c:v>38837</c:v>
                </c:pt>
                <c:pt idx="21">
                  <c:v>38838.5</c:v>
                </c:pt>
                <c:pt idx="22">
                  <c:v>38888</c:v>
                </c:pt>
                <c:pt idx="23">
                  <c:v>39296</c:v>
                </c:pt>
                <c:pt idx="24">
                  <c:v>40789</c:v>
                </c:pt>
                <c:pt idx="25">
                  <c:v>40799</c:v>
                </c:pt>
                <c:pt idx="26">
                  <c:v>40817</c:v>
                </c:pt>
                <c:pt idx="27">
                  <c:v>40835</c:v>
                </c:pt>
                <c:pt idx="28">
                  <c:v>40874</c:v>
                </c:pt>
                <c:pt idx="29">
                  <c:v>41787</c:v>
                </c:pt>
                <c:pt idx="30">
                  <c:v>41832</c:v>
                </c:pt>
                <c:pt idx="31">
                  <c:v>44326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D0-4C6E-BB4B-2ABEE3A65EA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Active!$D$21:$D$408</c:f>
                <c:numCache>
                  <c:formatCode>General</c:formatCode>
                  <c:ptCount val="38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1.5E-3</c:v>
                  </c:pt>
                  <c:pt idx="5">
                    <c:v>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1.8E-3</c:v>
                  </c:pt>
                  <c:pt idx="9">
                    <c:v>2.2000000000000001E-3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2.3999999999999998E-3</c:v>
                  </c:pt>
                  <c:pt idx="13">
                    <c:v>1.6999999999999999E-3</c:v>
                  </c:pt>
                  <c:pt idx="14">
                    <c:v>5.0000000000000001E-4</c:v>
                  </c:pt>
                  <c:pt idx="15">
                    <c:v>2E-3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5.9999999999999995E-4</c:v>
                  </c:pt>
                  <c:pt idx="19">
                    <c:v>6.9999999999999999E-4</c:v>
                  </c:pt>
                  <c:pt idx="20">
                    <c:v>4.0000000000000002E-4</c:v>
                  </c:pt>
                  <c:pt idx="21">
                    <c:v>4.3E-3</c:v>
                  </c:pt>
                  <c:pt idx="22">
                    <c:v>0</c:v>
                  </c:pt>
                  <c:pt idx="23">
                    <c:v>2.9999999999999997E-4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1.4E-3</c:v>
                  </c:pt>
                  <c:pt idx="27">
                    <c:v>8.0000000000000004E-4</c:v>
                  </c:pt>
                  <c:pt idx="28">
                    <c:v>4.0000000000000002E-4</c:v>
                  </c:pt>
                  <c:pt idx="29">
                    <c:v>5.0000000000000001E-4</c:v>
                  </c:pt>
                  <c:pt idx="30">
                    <c:v>1.1999999999999999E-3</c:v>
                  </c:pt>
                  <c:pt idx="31">
                    <c:v>3.0999999999999999E-3</c:v>
                  </c:pt>
                </c:numCache>
              </c:numRef>
            </c:plus>
            <c:minus>
              <c:numRef>
                <c:f>Active!$D$21:$D$408</c:f>
                <c:numCache>
                  <c:formatCode>General</c:formatCode>
                  <c:ptCount val="38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1.5E-3</c:v>
                  </c:pt>
                  <c:pt idx="5">
                    <c:v>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1.8E-3</c:v>
                  </c:pt>
                  <c:pt idx="9">
                    <c:v>2.2000000000000001E-3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2.3999999999999998E-3</c:v>
                  </c:pt>
                  <c:pt idx="13">
                    <c:v>1.6999999999999999E-3</c:v>
                  </c:pt>
                  <c:pt idx="14">
                    <c:v>5.0000000000000001E-4</c:v>
                  </c:pt>
                  <c:pt idx="15">
                    <c:v>2E-3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5.9999999999999995E-4</c:v>
                  </c:pt>
                  <c:pt idx="19">
                    <c:v>6.9999999999999999E-4</c:v>
                  </c:pt>
                  <c:pt idx="20">
                    <c:v>4.0000000000000002E-4</c:v>
                  </c:pt>
                  <c:pt idx="21">
                    <c:v>4.3E-3</c:v>
                  </c:pt>
                  <c:pt idx="22">
                    <c:v>0</c:v>
                  </c:pt>
                  <c:pt idx="23">
                    <c:v>2.9999999999999997E-4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1.4E-3</c:v>
                  </c:pt>
                  <c:pt idx="27">
                    <c:v>8.0000000000000004E-4</c:v>
                  </c:pt>
                  <c:pt idx="28">
                    <c:v>4.0000000000000002E-4</c:v>
                  </c:pt>
                  <c:pt idx="29">
                    <c:v>5.0000000000000001E-4</c:v>
                  </c:pt>
                  <c:pt idx="30">
                    <c:v>1.1999999999999999E-3</c:v>
                  </c:pt>
                  <c:pt idx="3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36361</c:v>
                </c:pt>
                <c:pt idx="2">
                  <c:v>36724.5</c:v>
                </c:pt>
                <c:pt idx="3">
                  <c:v>36752</c:v>
                </c:pt>
                <c:pt idx="4">
                  <c:v>36755</c:v>
                </c:pt>
                <c:pt idx="5">
                  <c:v>36788</c:v>
                </c:pt>
                <c:pt idx="6">
                  <c:v>37403.5</c:v>
                </c:pt>
                <c:pt idx="7">
                  <c:v>37830.5</c:v>
                </c:pt>
                <c:pt idx="8">
                  <c:v>37845.5</c:v>
                </c:pt>
                <c:pt idx="9">
                  <c:v>37867.5</c:v>
                </c:pt>
                <c:pt idx="10">
                  <c:v>37880</c:v>
                </c:pt>
                <c:pt idx="11">
                  <c:v>37884</c:v>
                </c:pt>
                <c:pt idx="12">
                  <c:v>38282</c:v>
                </c:pt>
                <c:pt idx="13">
                  <c:v>38348</c:v>
                </c:pt>
                <c:pt idx="14">
                  <c:v>38798.5</c:v>
                </c:pt>
                <c:pt idx="15">
                  <c:v>38803.5</c:v>
                </c:pt>
                <c:pt idx="16">
                  <c:v>38805</c:v>
                </c:pt>
                <c:pt idx="17">
                  <c:v>38806.5</c:v>
                </c:pt>
                <c:pt idx="18">
                  <c:v>38834</c:v>
                </c:pt>
                <c:pt idx="19">
                  <c:v>38835.5</c:v>
                </c:pt>
                <c:pt idx="20">
                  <c:v>38837</c:v>
                </c:pt>
                <c:pt idx="21">
                  <c:v>38838.5</c:v>
                </c:pt>
                <c:pt idx="22">
                  <c:v>38888</c:v>
                </c:pt>
                <c:pt idx="23">
                  <c:v>39296</c:v>
                </c:pt>
                <c:pt idx="24">
                  <c:v>40789</c:v>
                </c:pt>
                <c:pt idx="25">
                  <c:v>40799</c:v>
                </c:pt>
                <c:pt idx="26">
                  <c:v>40817</c:v>
                </c:pt>
                <c:pt idx="27">
                  <c:v>40835</c:v>
                </c:pt>
                <c:pt idx="28">
                  <c:v>40874</c:v>
                </c:pt>
                <c:pt idx="29">
                  <c:v>41787</c:v>
                </c:pt>
                <c:pt idx="30">
                  <c:v>41832</c:v>
                </c:pt>
                <c:pt idx="31">
                  <c:v>44326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1">
                  <c:v>-2.8972056905331556E-2</c:v>
                </c:pt>
                <c:pt idx="22">
                  <c:v>-2.5829398240603041E-2</c:v>
                </c:pt>
                <c:pt idx="24">
                  <c:v>-2.987486948404694E-2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D0-4C6E-BB4B-2ABEE3A65EA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Active!$D$21:$D$48</c:f>
                <c:numCache>
                  <c:formatCode>General</c:formatCode>
                  <c:ptCount val="2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1.5E-3</c:v>
                  </c:pt>
                  <c:pt idx="5">
                    <c:v>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1.8E-3</c:v>
                  </c:pt>
                  <c:pt idx="9">
                    <c:v>2.2000000000000001E-3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2.3999999999999998E-3</c:v>
                  </c:pt>
                  <c:pt idx="13">
                    <c:v>1.6999999999999999E-3</c:v>
                  </c:pt>
                  <c:pt idx="14">
                    <c:v>5.0000000000000001E-4</c:v>
                  </c:pt>
                  <c:pt idx="15">
                    <c:v>2E-3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5.9999999999999995E-4</c:v>
                  </c:pt>
                  <c:pt idx="19">
                    <c:v>6.9999999999999999E-4</c:v>
                  </c:pt>
                  <c:pt idx="20">
                    <c:v>4.0000000000000002E-4</c:v>
                  </c:pt>
                  <c:pt idx="21">
                    <c:v>4.3E-3</c:v>
                  </c:pt>
                  <c:pt idx="22">
                    <c:v>0</c:v>
                  </c:pt>
                  <c:pt idx="23">
                    <c:v>2.9999999999999997E-4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1.4E-3</c:v>
                  </c:pt>
                  <c:pt idx="27">
                    <c:v>8.0000000000000004E-4</c:v>
                  </c:pt>
                </c:numCache>
              </c:numRef>
            </c:plus>
            <c:minus>
              <c:numRef>
                <c:f>Active!$D$21:$D$48</c:f>
                <c:numCache>
                  <c:formatCode>General</c:formatCode>
                  <c:ptCount val="2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1.5E-3</c:v>
                  </c:pt>
                  <c:pt idx="5">
                    <c:v>1E-4</c:v>
                  </c:pt>
                  <c:pt idx="6">
                    <c:v>8.0000000000000004E-4</c:v>
                  </c:pt>
                  <c:pt idx="7">
                    <c:v>4.0000000000000002E-4</c:v>
                  </c:pt>
                  <c:pt idx="8">
                    <c:v>1.8E-3</c:v>
                  </c:pt>
                  <c:pt idx="9">
                    <c:v>2.2000000000000001E-3</c:v>
                  </c:pt>
                  <c:pt idx="10">
                    <c:v>1.1999999999999999E-3</c:v>
                  </c:pt>
                  <c:pt idx="11">
                    <c:v>1.2999999999999999E-3</c:v>
                  </c:pt>
                  <c:pt idx="12">
                    <c:v>2.3999999999999998E-3</c:v>
                  </c:pt>
                  <c:pt idx="13">
                    <c:v>1.6999999999999999E-3</c:v>
                  </c:pt>
                  <c:pt idx="14">
                    <c:v>5.0000000000000001E-4</c:v>
                  </c:pt>
                  <c:pt idx="15">
                    <c:v>2E-3</c:v>
                  </c:pt>
                  <c:pt idx="16">
                    <c:v>4.0000000000000002E-4</c:v>
                  </c:pt>
                  <c:pt idx="17">
                    <c:v>4.0000000000000002E-4</c:v>
                  </c:pt>
                  <c:pt idx="18">
                    <c:v>5.9999999999999995E-4</c:v>
                  </c:pt>
                  <c:pt idx="19">
                    <c:v>6.9999999999999999E-4</c:v>
                  </c:pt>
                  <c:pt idx="20">
                    <c:v>4.0000000000000002E-4</c:v>
                  </c:pt>
                  <c:pt idx="21">
                    <c:v>4.3E-3</c:v>
                  </c:pt>
                  <c:pt idx="22">
                    <c:v>0</c:v>
                  </c:pt>
                  <c:pt idx="23">
                    <c:v>2.9999999999999997E-4</c:v>
                  </c:pt>
                  <c:pt idx="24">
                    <c:v>0</c:v>
                  </c:pt>
                  <c:pt idx="25">
                    <c:v>4.0000000000000002E-4</c:v>
                  </c:pt>
                  <c:pt idx="26">
                    <c:v>1.4E-3</c:v>
                  </c:pt>
                  <c:pt idx="2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36361</c:v>
                </c:pt>
                <c:pt idx="2">
                  <c:v>36724.5</c:v>
                </c:pt>
                <c:pt idx="3">
                  <c:v>36752</c:v>
                </c:pt>
                <c:pt idx="4">
                  <c:v>36755</c:v>
                </c:pt>
                <c:pt idx="5">
                  <c:v>36788</c:v>
                </c:pt>
                <c:pt idx="6">
                  <c:v>37403.5</c:v>
                </c:pt>
                <c:pt idx="7">
                  <c:v>37830.5</c:v>
                </c:pt>
                <c:pt idx="8">
                  <c:v>37845.5</c:v>
                </c:pt>
                <c:pt idx="9">
                  <c:v>37867.5</c:v>
                </c:pt>
                <c:pt idx="10">
                  <c:v>37880</c:v>
                </c:pt>
                <c:pt idx="11">
                  <c:v>37884</c:v>
                </c:pt>
                <c:pt idx="12">
                  <c:v>38282</c:v>
                </c:pt>
                <c:pt idx="13">
                  <c:v>38348</c:v>
                </c:pt>
                <c:pt idx="14">
                  <c:v>38798.5</c:v>
                </c:pt>
                <c:pt idx="15">
                  <c:v>38803.5</c:v>
                </c:pt>
                <c:pt idx="16">
                  <c:v>38805</c:v>
                </c:pt>
                <c:pt idx="17">
                  <c:v>38806.5</c:v>
                </c:pt>
                <c:pt idx="18">
                  <c:v>38834</c:v>
                </c:pt>
                <c:pt idx="19">
                  <c:v>38835.5</c:v>
                </c:pt>
                <c:pt idx="20">
                  <c:v>38837</c:v>
                </c:pt>
                <c:pt idx="21">
                  <c:v>38838.5</c:v>
                </c:pt>
                <c:pt idx="22">
                  <c:v>38888</c:v>
                </c:pt>
                <c:pt idx="23">
                  <c:v>39296</c:v>
                </c:pt>
                <c:pt idx="24">
                  <c:v>40789</c:v>
                </c:pt>
                <c:pt idx="25">
                  <c:v>40799</c:v>
                </c:pt>
                <c:pt idx="26">
                  <c:v>40817</c:v>
                </c:pt>
                <c:pt idx="27">
                  <c:v>40835</c:v>
                </c:pt>
                <c:pt idx="28">
                  <c:v>40874</c:v>
                </c:pt>
                <c:pt idx="29">
                  <c:v>41787</c:v>
                </c:pt>
                <c:pt idx="30">
                  <c:v>41832</c:v>
                </c:pt>
                <c:pt idx="31">
                  <c:v>44326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3">
                  <c:v>-2.4239694605057593E-2</c:v>
                </c:pt>
                <c:pt idx="4">
                  <c:v>-2.5567067787051201E-2</c:v>
                </c:pt>
                <c:pt idx="5">
                  <c:v>-2.6368172759248409E-2</c:v>
                </c:pt>
                <c:pt idx="6">
                  <c:v>-2.0184236695058644E-2</c:v>
                </c:pt>
                <c:pt idx="7">
                  <c:v>-2.6380352552223485E-2</c:v>
                </c:pt>
                <c:pt idx="8">
                  <c:v>-2.6017218449851498E-2</c:v>
                </c:pt>
                <c:pt idx="9">
                  <c:v>-2.2517955098010134E-2</c:v>
                </c:pt>
                <c:pt idx="10">
                  <c:v>-2.6132010003493633E-2</c:v>
                </c:pt>
                <c:pt idx="12">
                  <c:v>-2.3900016029074322E-2</c:v>
                </c:pt>
                <c:pt idx="13">
                  <c:v>-2.580222597316606E-2</c:v>
                </c:pt>
                <c:pt idx="14">
                  <c:v>-2.6612765053869225E-2</c:v>
                </c:pt>
                <c:pt idx="16">
                  <c:v>-2.5072073607589118E-2</c:v>
                </c:pt>
                <c:pt idx="17">
                  <c:v>-2.5385760200151708E-2</c:v>
                </c:pt>
                <c:pt idx="18">
                  <c:v>-2.5636681006290019E-2</c:v>
                </c:pt>
                <c:pt idx="19">
                  <c:v>-2.4850367597537115E-2</c:v>
                </c:pt>
                <c:pt idx="20">
                  <c:v>-2.5264054187573493E-2</c:v>
                </c:pt>
                <c:pt idx="21">
                  <c:v>-2.4477740771544632E-2</c:v>
                </c:pt>
                <c:pt idx="25">
                  <c:v>-2.9266113415360451E-2</c:v>
                </c:pt>
                <c:pt idx="26">
                  <c:v>-2.8830352493969258E-2</c:v>
                </c:pt>
                <c:pt idx="27">
                  <c:v>-2.8494591570051853E-2</c:v>
                </c:pt>
                <c:pt idx="30">
                  <c:v>-3.1091611468582414E-2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D0-4C6E-BB4B-2ABEE3A65EA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36361</c:v>
                </c:pt>
                <c:pt idx="2">
                  <c:v>36724.5</c:v>
                </c:pt>
                <c:pt idx="3">
                  <c:v>36752</c:v>
                </c:pt>
                <c:pt idx="4">
                  <c:v>36755</c:v>
                </c:pt>
                <c:pt idx="5">
                  <c:v>36788</c:v>
                </c:pt>
                <c:pt idx="6">
                  <c:v>37403.5</c:v>
                </c:pt>
                <c:pt idx="7">
                  <c:v>37830.5</c:v>
                </c:pt>
                <c:pt idx="8">
                  <c:v>37845.5</c:v>
                </c:pt>
                <c:pt idx="9">
                  <c:v>37867.5</c:v>
                </c:pt>
                <c:pt idx="10">
                  <c:v>37880</c:v>
                </c:pt>
                <c:pt idx="11">
                  <c:v>37884</c:v>
                </c:pt>
                <c:pt idx="12">
                  <c:v>38282</c:v>
                </c:pt>
                <c:pt idx="13">
                  <c:v>38348</c:v>
                </c:pt>
                <c:pt idx="14">
                  <c:v>38798.5</c:v>
                </c:pt>
                <c:pt idx="15">
                  <c:v>38803.5</c:v>
                </c:pt>
                <c:pt idx="16">
                  <c:v>38805</c:v>
                </c:pt>
                <c:pt idx="17">
                  <c:v>38806.5</c:v>
                </c:pt>
                <c:pt idx="18">
                  <c:v>38834</c:v>
                </c:pt>
                <c:pt idx="19">
                  <c:v>38835.5</c:v>
                </c:pt>
                <c:pt idx="20">
                  <c:v>38837</c:v>
                </c:pt>
                <c:pt idx="21">
                  <c:v>38838.5</c:v>
                </c:pt>
                <c:pt idx="22">
                  <c:v>38888</c:v>
                </c:pt>
                <c:pt idx="23">
                  <c:v>39296</c:v>
                </c:pt>
                <c:pt idx="24">
                  <c:v>40789</c:v>
                </c:pt>
                <c:pt idx="25">
                  <c:v>40799</c:v>
                </c:pt>
                <c:pt idx="26">
                  <c:v>40817</c:v>
                </c:pt>
                <c:pt idx="27">
                  <c:v>40835</c:v>
                </c:pt>
                <c:pt idx="28">
                  <c:v>40874</c:v>
                </c:pt>
                <c:pt idx="29">
                  <c:v>41787</c:v>
                </c:pt>
                <c:pt idx="30">
                  <c:v>41832</c:v>
                </c:pt>
                <c:pt idx="31">
                  <c:v>44326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2">
                  <c:v>-2.8888773798826151E-2</c:v>
                </c:pt>
                <c:pt idx="11">
                  <c:v>-2.3368507572740782E-2</c:v>
                </c:pt>
                <c:pt idx="23">
                  <c:v>-2.725215060490882E-2</c:v>
                </c:pt>
                <c:pt idx="28">
                  <c:v>-3.3850442894618027E-2</c:v>
                </c:pt>
                <c:pt idx="29">
                  <c:v>-3.1281013776606414E-2</c:v>
                </c:pt>
                <c:pt idx="31">
                  <c:v>-4.2547847813693807E-2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D0-4C6E-BB4B-2ABEE3A65EA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36361</c:v>
                </c:pt>
                <c:pt idx="2">
                  <c:v>36724.5</c:v>
                </c:pt>
                <c:pt idx="3">
                  <c:v>36752</c:v>
                </c:pt>
                <c:pt idx="4">
                  <c:v>36755</c:v>
                </c:pt>
                <c:pt idx="5">
                  <c:v>36788</c:v>
                </c:pt>
                <c:pt idx="6">
                  <c:v>37403.5</c:v>
                </c:pt>
                <c:pt idx="7">
                  <c:v>37830.5</c:v>
                </c:pt>
                <c:pt idx="8">
                  <c:v>37845.5</c:v>
                </c:pt>
                <c:pt idx="9">
                  <c:v>37867.5</c:v>
                </c:pt>
                <c:pt idx="10">
                  <c:v>37880</c:v>
                </c:pt>
                <c:pt idx="11">
                  <c:v>37884</c:v>
                </c:pt>
                <c:pt idx="12">
                  <c:v>38282</c:v>
                </c:pt>
                <c:pt idx="13">
                  <c:v>38348</c:v>
                </c:pt>
                <c:pt idx="14">
                  <c:v>38798.5</c:v>
                </c:pt>
                <c:pt idx="15">
                  <c:v>38803.5</c:v>
                </c:pt>
                <c:pt idx="16">
                  <c:v>38805</c:v>
                </c:pt>
                <c:pt idx="17">
                  <c:v>38806.5</c:v>
                </c:pt>
                <c:pt idx="18">
                  <c:v>38834</c:v>
                </c:pt>
                <c:pt idx="19">
                  <c:v>38835.5</c:v>
                </c:pt>
                <c:pt idx="20">
                  <c:v>38837</c:v>
                </c:pt>
                <c:pt idx="21">
                  <c:v>38838.5</c:v>
                </c:pt>
                <c:pt idx="22">
                  <c:v>38888</c:v>
                </c:pt>
                <c:pt idx="23">
                  <c:v>39296</c:v>
                </c:pt>
                <c:pt idx="24">
                  <c:v>40789</c:v>
                </c:pt>
                <c:pt idx="25">
                  <c:v>40799</c:v>
                </c:pt>
                <c:pt idx="26">
                  <c:v>40817</c:v>
                </c:pt>
                <c:pt idx="27">
                  <c:v>40835</c:v>
                </c:pt>
                <c:pt idx="28">
                  <c:v>40874</c:v>
                </c:pt>
                <c:pt idx="29">
                  <c:v>41787</c:v>
                </c:pt>
                <c:pt idx="30">
                  <c:v>41832</c:v>
                </c:pt>
                <c:pt idx="31">
                  <c:v>44326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D0-4C6E-BB4B-2ABEE3A65EA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36361</c:v>
                </c:pt>
                <c:pt idx="2">
                  <c:v>36724.5</c:v>
                </c:pt>
                <c:pt idx="3">
                  <c:v>36752</c:v>
                </c:pt>
                <c:pt idx="4">
                  <c:v>36755</c:v>
                </c:pt>
                <c:pt idx="5">
                  <c:v>36788</c:v>
                </c:pt>
                <c:pt idx="6">
                  <c:v>37403.5</c:v>
                </c:pt>
                <c:pt idx="7">
                  <c:v>37830.5</c:v>
                </c:pt>
                <c:pt idx="8">
                  <c:v>37845.5</c:v>
                </c:pt>
                <c:pt idx="9">
                  <c:v>37867.5</c:v>
                </c:pt>
                <c:pt idx="10">
                  <c:v>37880</c:v>
                </c:pt>
                <c:pt idx="11">
                  <c:v>37884</c:v>
                </c:pt>
                <c:pt idx="12">
                  <c:v>38282</c:v>
                </c:pt>
                <c:pt idx="13">
                  <c:v>38348</c:v>
                </c:pt>
                <c:pt idx="14">
                  <c:v>38798.5</c:v>
                </c:pt>
                <c:pt idx="15">
                  <c:v>38803.5</c:v>
                </c:pt>
                <c:pt idx="16">
                  <c:v>38805</c:v>
                </c:pt>
                <c:pt idx="17">
                  <c:v>38806.5</c:v>
                </c:pt>
                <c:pt idx="18">
                  <c:v>38834</c:v>
                </c:pt>
                <c:pt idx="19">
                  <c:v>38835.5</c:v>
                </c:pt>
                <c:pt idx="20">
                  <c:v>38837</c:v>
                </c:pt>
                <c:pt idx="21">
                  <c:v>38838.5</c:v>
                </c:pt>
                <c:pt idx="22">
                  <c:v>38888</c:v>
                </c:pt>
                <c:pt idx="23">
                  <c:v>39296</c:v>
                </c:pt>
                <c:pt idx="24">
                  <c:v>40789</c:v>
                </c:pt>
                <c:pt idx="25">
                  <c:v>40799</c:v>
                </c:pt>
                <c:pt idx="26">
                  <c:v>40817</c:v>
                </c:pt>
                <c:pt idx="27">
                  <c:v>40835</c:v>
                </c:pt>
                <c:pt idx="28">
                  <c:v>40874</c:v>
                </c:pt>
                <c:pt idx="29">
                  <c:v>41787</c:v>
                </c:pt>
                <c:pt idx="30">
                  <c:v>41832</c:v>
                </c:pt>
                <c:pt idx="31">
                  <c:v>44326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D0-4C6E-BB4B-2ABEE3A65EA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36361</c:v>
                </c:pt>
                <c:pt idx="2">
                  <c:v>36724.5</c:v>
                </c:pt>
                <c:pt idx="3">
                  <c:v>36752</c:v>
                </c:pt>
                <c:pt idx="4">
                  <c:v>36755</c:v>
                </c:pt>
                <c:pt idx="5">
                  <c:v>36788</c:v>
                </c:pt>
                <c:pt idx="6">
                  <c:v>37403.5</c:v>
                </c:pt>
                <c:pt idx="7">
                  <c:v>37830.5</c:v>
                </c:pt>
                <c:pt idx="8">
                  <c:v>37845.5</c:v>
                </c:pt>
                <c:pt idx="9">
                  <c:v>37867.5</c:v>
                </c:pt>
                <c:pt idx="10">
                  <c:v>37880</c:v>
                </c:pt>
                <c:pt idx="11">
                  <c:v>37884</c:v>
                </c:pt>
                <c:pt idx="12">
                  <c:v>38282</c:v>
                </c:pt>
                <c:pt idx="13">
                  <c:v>38348</c:v>
                </c:pt>
                <c:pt idx="14">
                  <c:v>38798.5</c:v>
                </c:pt>
                <c:pt idx="15">
                  <c:v>38803.5</c:v>
                </c:pt>
                <c:pt idx="16">
                  <c:v>38805</c:v>
                </c:pt>
                <c:pt idx="17">
                  <c:v>38806.5</c:v>
                </c:pt>
                <c:pt idx="18">
                  <c:v>38834</c:v>
                </c:pt>
                <c:pt idx="19">
                  <c:v>38835.5</c:v>
                </c:pt>
                <c:pt idx="20">
                  <c:v>38837</c:v>
                </c:pt>
                <c:pt idx="21">
                  <c:v>38838.5</c:v>
                </c:pt>
                <c:pt idx="22">
                  <c:v>38888</c:v>
                </c:pt>
                <c:pt idx="23">
                  <c:v>39296</c:v>
                </c:pt>
                <c:pt idx="24">
                  <c:v>40789</c:v>
                </c:pt>
                <c:pt idx="25">
                  <c:v>40799</c:v>
                </c:pt>
                <c:pt idx="26">
                  <c:v>40817</c:v>
                </c:pt>
                <c:pt idx="27">
                  <c:v>40835</c:v>
                </c:pt>
                <c:pt idx="28">
                  <c:v>40874</c:v>
                </c:pt>
                <c:pt idx="29">
                  <c:v>41787</c:v>
                </c:pt>
                <c:pt idx="30">
                  <c:v>41832</c:v>
                </c:pt>
                <c:pt idx="31">
                  <c:v>44326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D0-4C6E-BB4B-2ABEE3A65EA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36361</c:v>
                </c:pt>
                <c:pt idx="2">
                  <c:v>36724.5</c:v>
                </c:pt>
                <c:pt idx="3">
                  <c:v>36752</c:v>
                </c:pt>
                <c:pt idx="4">
                  <c:v>36755</c:v>
                </c:pt>
                <c:pt idx="5">
                  <c:v>36788</c:v>
                </c:pt>
                <c:pt idx="6">
                  <c:v>37403.5</c:v>
                </c:pt>
                <c:pt idx="7">
                  <c:v>37830.5</c:v>
                </c:pt>
                <c:pt idx="8">
                  <c:v>37845.5</c:v>
                </c:pt>
                <c:pt idx="9">
                  <c:v>37867.5</c:v>
                </c:pt>
                <c:pt idx="10">
                  <c:v>37880</c:v>
                </c:pt>
                <c:pt idx="11">
                  <c:v>37884</c:v>
                </c:pt>
                <c:pt idx="12">
                  <c:v>38282</c:v>
                </c:pt>
                <c:pt idx="13">
                  <c:v>38348</c:v>
                </c:pt>
                <c:pt idx="14">
                  <c:v>38798.5</c:v>
                </c:pt>
                <c:pt idx="15">
                  <c:v>38803.5</c:v>
                </c:pt>
                <c:pt idx="16">
                  <c:v>38805</c:v>
                </c:pt>
                <c:pt idx="17">
                  <c:v>38806.5</c:v>
                </c:pt>
                <c:pt idx="18">
                  <c:v>38834</c:v>
                </c:pt>
                <c:pt idx="19">
                  <c:v>38835.5</c:v>
                </c:pt>
                <c:pt idx="20">
                  <c:v>38837</c:v>
                </c:pt>
                <c:pt idx="21">
                  <c:v>38838.5</c:v>
                </c:pt>
                <c:pt idx="22">
                  <c:v>38888</c:v>
                </c:pt>
                <c:pt idx="23">
                  <c:v>39296</c:v>
                </c:pt>
                <c:pt idx="24">
                  <c:v>40789</c:v>
                </c:pt>
                <c:pt idx="25">
                  <c:v>40799</c:v>
                </c:pt>
                <c:pt idx="26">
                  <c:v>40817</c:v>
                </c:pt>
                <c:pt idx="27">
                  <c:v>40835</c:v>
                </c:pt>
                <c:pt idx="28">
                  <c:v>40874</c:v>
                </c:pt>
                <c:pt idx="29">
                  <c:v>41787</c:v>
                </c:pt>
                <c:pt idx="30">
                  <c:v>41832</c:v>
                </c:pt>
                <c:pt idx="31">
                  <c:v>44326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7.1316485304896204E-2</c:v>
                </c:pt>
                <c:pt idx="1">
                  <c:v>-1.9404783839199483E-2</c:v>
                </c:pt>
                <c:pt idx="2">
                  <c:v>-2.0311722078903527E-2</c:v>
                </c:pt>
                <c:pt idx="3">
                  <c:v>-2.0380335013131481E-2</c:v>
                </c:pt>
                <c:pt idx="4">
                  <c:v>-2.0387820060501799E-2</c:v>
                </c:pt>
                <c:pt idx="5">
                  <c:v>-2.0470155581575347E-2</c:v>
                </c:pt>
                <c:pt idx="6">
                  <c:v>-2.2005837800386452E-2</c:v>
                </c:pt>
                <c:pt idx="7">
                  <c:v>-2.307120954276233E-2</c:v>
                </c:pt>
                <c:pt idx="8">
                  <c:v>-2.3108634779613932E-2</c:v>
                </c:pt>
                <c:pt idx="9">
                  <c:v>-2.3163525126996293E-2</c:v>
                </c:pt>
                <c:pt idx="10">
                  <c:v>-2.3194712824372646E-2</c:v>
                </c:pt>
                <c:pt idx="11">
                  <c:v>-2.3204692887533074E-2</c:v>
                </c:pt>
                <c:pt idx="12">
                  <c:v>-2.4197709171995818E-2</c:v>
                </c:pt>
                <c:pt idx="13">
                  <c:v>-2.4362380214142915E-2</c:v>
                </c:pt>
                <c:pt idx="14">
                  <c:v>-2.5486384827586306E-2</c:v>
                </c:pt>
                <c:pt idx="15">
                  <c:v>-2.5498859906536844E-2</c:v>
                </c:pt>
                <c:pt idx="16">
                  <c:v>-2.5502602430221996E-2</c:v>
                </c:pt>
                <c:pt idx="17">
                  <c:v>-2.5506344953907162E-2</c:v>
                </c:pt>
                <c:pt idx="18">
                  <c:v>-2.5574957888135116E-2</c:v>
                </c:pt>
                <c:pt idx="19">
                  <c:v>-2.5578700411820282E-2</c:v>
                </c:pt>
                <c:pt idx="20">
                  <c:v>-2.5582442935505434E-2</c:v>
                </c:pt>
                <c:pt idx="21">
                  <c:v>-2.55861854591906E-2</c:v>
                </c:pt>
                <c:pt idx="22">
                  <c:v>-2.5709688740800915E-2</c:v>
                </c:pt>
                <c:pt idx="23">
                  <c:v>-2.6727655183164736E-2</c:v>
                </c:pt>
                <c:pt idx="24">
                  <c:v>-3.0452713757795111E-2</c:v>
                </c:pt>
                <c:pt idx="25">
                  <c:v>-3.0477663915696188E-2</c:v>
                </c:pt>
                <c:pt idx="26">
                  <c:v>-3.052257419991812E-2</c:v>
                </c:pt>
                <c:pt idx="27">
                  <c:v>-3.0567484484140053E-2</c:v>
                </c:pt>
                <c:pt idx="28">
                  <c:v>-3.0664790099954237E-2</c:v>
                </c:pt>
                <c:pt idx="29">
                  <c:v>-3.2942739516322303E-2</c:v>
                </c:pt>
                <c:pt idx="30">
                  <c:v>-3.3055015226877135E-2</c:v>
                </c:pt>
                <c:pt idx="31">
                  <c:v>-3.9277584607405033E-2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D0-4C6E-BB4B-2ABEE3A65EA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36361</c:v>
                </c:pt>
                <c:pt idx="2">
                  <c:v>36724.5</c:v>
                </c:pt>
                <c:pt idx="3">
                  <c:v>36752</c:v>
                </c:pt>
                <c:pt idx="4">
                  <c:v>36755</c:v>
                </c:pt>
                <c:pt idx="5">
                  <c:v>36788</c:v>
                </c:pt>
                <c:pt idx="6">
                  <c:v>37403.5</c:v>
                </c:pt>
                <c:pt idx="7">
                  <c:v>37830.5</c:v>
                </c:pt>
                <c:pt idx="8">
                  <c:v>37845.5</c:v>
                </c:pt>
                <c:pt idx="9">
                  <c:v>37867.5</c:v>
                </c:pt>
                <c:pt idx="10">
                  <c:v>37880</c:v>
                </c:pt>
                <c:pt idx="11">
                  <c:v>37884</c:v>
                </c:pt>
                <c:pt idx="12">
                  <c:v>38282</c:v>
                </c:pt>
                <c:pt idx="13">
                  <c:v>38348</c:v>
                </c:pt>
                <c:pt idx="14">
                  <c:v>38798.5</c:v>
                </c:pt>
                <c:pt idx="15">
                  <c:v>38803.5</c:v>
                </c:pt>
                <c:pt idx="16">
                  <c:v>38805</c:v>
                </c:pt>
                <c:pt idx="17">
                  <c:v>38806.5</c:v>
                </c:pt>
                <c:pt idx="18">
                  <c:v>38834</c:v>
                </c:pt>
                <c:pt idx="19">
                  <c:v>38835.5</c:v>
                </c:pt>
                <c:pt idx="20">
                  <c:v>38837</c:v>
                </c:pt>
                <c:pt idx="21">
                  <c:v>38838.5</c:v>
                </c:pt>
                <c:pt idx="22">
                  <c:v>38888</c:v>
                </c:pt>
                <c:pt idx="23">
                  <c:v>39296</c:v>
                </c:pt>
                <c:pt idx="24">
                  <c:v>40789</c:v>
                </c:pt>
                <c:pt idx="25">
                  <c:v>40799</c:v>
                </c:pt>
                <c:pt idx="26">
                  <c:v>40817</c:v>
                </c:pt>
                <c:pt idx="27">
                  <c:v>40835</c:v>
                </c:pt>
                <c:pt idx="28">
                  <c:v>40874</c:v>
                </c:pt>
                <c:pt idx="29">
                  <c:v>41787</c:v>
                </c:pt>
                <c:pt idx="30">
                  <c:v>41832</c:v>
                </c:pt>
                <c:pt idx="31">
                  <c:v>44326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  <c:pt idx="15">
                  <c:v>2.4161297915270552E-4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DD0-4C6E-BB4B-2ABEE3A65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697032"/>
        <c:axId val="1"/>
      </c:scatterChart>
      <c:valAx>
        <c:axId val="70569703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502816978795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19484702093397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697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25154585145454"/>
          <c:y val="0.92073298764483702"/>
          <c:w val="0.76006559566527609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AI Gem - O-C Diagr.</a:t>
            </a:r>
          </a:p>
        </c:rich>
      </c:tx>
      <c:layout>
        <c:manualLayout>
          <c:xMode val="edge"/>
          <c:yMode val="edge"/>
          <c:x val="0.37964492725969834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814859468012961"/>
          <c:w val="0.80937058998462585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6E-4E2A-89B7-A3A46E17C594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(old)'!$D$22:$D$50</c:f>
                <c:numCache>
                  <c:formatCode>General</c:formatCode>
                  <c:ptCount val="29"/>
                  <c:pt idx="0">
                    <c:v>2.9999999999999997E-4</c:v>
                  </c:pt>
                  <c:pt idx="1">
                    <c:v>1.5E-3</c:v>
                  </c:pt>
                  <c:pt idx="2">
                    <c:v>1E-4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2.2000000000000001E-3</c:v>
                  </c:pt>
                  <c:pt idx="7">
                    <c:v>1.1999999999999999E-3</c:v>
                  </c:pt>
                  <c:pt idx="8">
                    <c:v>2.3999999999999998E-3</c:v>
                  </c:pt>
                  <c:pt idx="9">
                    <c:v>1.6999999999999999E-3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">
                  <c:v>-9.0499999998428393E-2</c:v>
                </c:pt>
                <c:pt idx="2">
                  <c:v>-9.4199999992270023E-2</c:v>
                </c:pt>
                <c:pt idx="3">
                  <c:v>-0.12109999999665888</c:v>
                </c:pt>
                <c:pt idx="4">
                  <c:v>0.12330000000656582</c:v>
                </c:pt>
                <c:pt idx="5">
                  <c:v>0.14190000000235159</c:v>
                </c:pt>
                <c:pt idx="6">
                  <c:v>0.13040000000182772</c:v>
                </c:pt>
                <c:pt idx="7">
                  <c:v>0.11649999999644933</c:v>
                </c:pt>
                <c:pt idx="8">
                  <c:v>0.10300000000279397</c:v>
                </c:pt>
                <c:pt idx="9">
                  <c:v>0.14980000000650762</c:v>
                </c:pt>
                <c:pt idx="10">
                  <c:v>9.5699999998032581E-2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6E-4E2A-89B7-A3A46E17C594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1.8E-3</c:v>
                  </c:pt>
                  <c:pt idx="7">
                    <c:v>2.2000000000000001E-3</c:v>
                  </c:pt>
                  <c:pt idx="8">
                    <c:v>1.1999999999999999E-3</c:v>
                  </c:pt>
                  <c:pt idx="9">
                    <c:v>2.3999999999999998E-3</c:v>
                  </c:pt>
                  <c:pt idx="10">
                    <c:v>1.6999999999999999E-3</c:v>
                  </c:pt>
                </c:numCache>
              </c:numRef>
            </c:plus>
            <c:minus>
              <c:numRef>
                <c:f>'A (old)'!$D$21:$D$50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1.8E-3</c:v>
                  </c:pt>
                  <c:pt idx="7">
                    <c:v>2.2000000000000001E-3</c:v>
                  </c:pt>
                  <c:pt idx="8">
                    <c:v>1.1999999999999999E-3</c:v>
                  </c:pt>
                  <c:pt idx="9">
                    <c:v>2.3999999999999998E-3</c:v>
                  </c:pt>
                  <c:pt idx="10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6E-4E2A-89B7-A3A46E17C594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6E-4E2A-89B7-A3A46E17C594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A6E-4E2A-89B7-A3A46E17C594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A6E-4E2A-89B7-A3A46E17C594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A6E-4E2A-89B7-A3A46E17C594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-1.4266558754805085E-2</c:v>
                </c:pt>
                <c:pt idx="1">
                  <c:v>5.5347766768034039E-2</c:v>
                </c:pt>
                <c:pt idx="2">
                  <c:v>5.5353455452294455E-2</c:v>
                </c:pt>
                <c:pt idx="3">
                  <c:v>5.5416030979159071E-2</c:v>
                </c:pt>
                <c:pt idx="4">
                  <c:v>5.6581263138501654E-2</c:v>
                </c:pt>
                <c:pt idx="5">
                  <c:v>5.7390004417524614E-2</c:v>
                </c:pt>
                <c:pt idx="6">
                  <c:v>5.7418447838826707E-2</c:v>
                </c:pt>
                <c:pt idx="7">
                  <c:v>5.7460164856736447E-2</c:v>
                </c:pt>
                <c:pt idx="8">
                  <c:v>5.7483867707821525E-2</c:v>
                </c:pt>
                <c:pt idx="9">
                  <c:v>5.8245203284674328E-2</c:v>
                </c:pt>
                <c:pt idx="10">
                  <c:v>5.8370354338403548E-2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A6E-4E2A-89B7-A3A46E17C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053544"/>
        <c:axId val="1"/>
      </c:scatterChart>
      <c:valAx>
        <c:axId val="707053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053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063021807249861"/>
          <c:y val="0.91975600272188196"/>
          <c:w val="0.8998391275403983"/>
          <c:h val="0.9814847218171802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AI Gem - O-C Diagr.</a:t>
            </a:r>
          </a:p>
        </c:rich>
      </c:tx>
      <c:layout>
        <c:manualLayout>
          <c:xMode val="edge"/>
          <c:yMode val="edge"/>
          <c:x val="0.37964492725969834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814859468012961"/>
          <c:w val="0.81906365094252553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(2)'!$H$21:$H$999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10-453B-A6DA-53CFE7E992D8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(2)'!$D$22:$D$50</c:f>
                <c:numCache>
                  <c:formatCode>General</c:formatCode>
                  <c:ptCount val="29"/>
                  <c:pt idx="0">
                    <c:v>2.9999999999999997E-4</c:v>
                  </c:pt>
                  <c:pt idx="1">
                    <c:v>1.5E-3</c:v>
                  </c:pt>
                  <c:pt idx="2">
                    <c:v>1E-4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2.2000000000000001E-3</c:v>
                  </c:pt>
                  <c:pt idx="7">
                    <c:v>1.1999999999999999E-3</c:v>
                  </c:pt>
                  <c:pt idx="8">
                    <c:v>2.3999999999999998E-3</c:v>
                  </c:pt>
                  <c:pt idx="9">
                    <c:v>1.6999999999999999E-3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(2)'!$I$21:$I$999</c:f>
              <c:numCache>
                <c:formatCode>General</c:formatCode>
                <c:ptCount val="979"/>
                <c:pt idx="1">
                  <c:v>-9.0499999998428393E-2</c:v>
                </c:pt>
                <c:pt idx="2">
                  <c:v>-9.4199999992270023E-2</c:v>
                </c:pt>
                <c:pt idx="3">
                  <c:v>-0.12109999999665888</c:v>
                </c:pt>
                <c:pt idx="4">
                  <c:v>0.12330000000656582</c:v>
                </c:pt>
                <c:pt idx="5">
                  <c:v>0.14190000000235159</c:v>
                </c:pt>
                <c:pt idx="6">
                  <c:v>0.13040000000182772</c:v>
                </c:pt>
                <c:pt idx="7">
                  <c:v>0.11649999999644933</c:v>
                </c:pt>
                <c:pt idx="8">
                  <c:v>0.10300000000279397</c:v>
                </c:pt>
                <c:pt idx="9">
                  <c:v>0.14980000000650762</c:v>
                </c:pt>
                <c:pt idx="10">
                  <c:v>9.5699999998032581E-2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10-453B-A6DA-53CFE7E992D8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1.8E-3</c:v>
                  </c:pt>
                  <c:pt idx="7">
                    <c:v>2.2000000000000001E-3</c:v>
                  </c:pt>
                  <c:pt idx="8">
                    <c:v>1.1999999999999999E-3</c:v>
                  </c:pt>
                  <c:pt idx="9">
                    <c:v>2.3999999999999998E-3</c:v>
                  </c:pt>
                  <c:pt idx="10">
                    <c:v>1.6999999999999999E-3</c:v>
                  </c:pt>
                </c:numCache>
              </c:numRef>
            </c:plus>
            <c:minus>
              <c:numRef>
                <c:f>'A (2)'!$D$21:$D$50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1.8E-3</c:v>
                  </c:pt>
                  <c:pt idx="7">
                    <c:v>2.2000000000000001E-3</c:v>
                  </c:pt>
                  <c:pt idx="8">
                    <c:v>1.1999999999999999E-3</c:v>
                  </c:pt>
                  <c:pt idx="9">
                    <c:v>2.3999999999999998E-3</c:v>
                  </c:pt>
                  <c:pt idx="10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(2)'!$J$21:$J$999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10-453B-A6DA-53CFE7E992D8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(2)'!$K$21:$K$999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10-453B-A6DA-53CFE7E992D8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10-453B-A6DA-53CFE7E992D8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10-453B-A6DA-53CFE7E992D8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(2)'!$N$21:$N$999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10-453B-A6DA-53CFE7E992D8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(2)'!$O$21:$O$999</c:f>
              <c:numCache>
                <c:formatCode>General</c:formatCode>
                <c:ptCount val="979"/>
                <c:pt idx="0">
                  <c:v>30.58507168016336</c:v>
                </c:pt>
                <c:pt idx="1">
                  <c:v>-9.1070676687174057E-2</c:v>
                </c:pt>
                <c:pt idx="2">
                  <c:v>-9.3577443604544897E-2</c:v>
                </c:pt>
                <c:pt idx="3">
                  <c:v>-0.12115187969563479</c:v>
                </c:pt>
                <c:pt idx="4">
                  <c:v>-0.63462130327061317</c:v>
                </c:pt>
                <c:pt idx="5">
                  <c:v>-0.99100000002363231</c:v>
                </c:pt>
                <c:pt idx="6">
                  <c:v>-1.0035338346104901</c:v>
                </c:pt>
                <c:pt idx="7">
                  <c:v>-1.02191679200455</c:v>
                </c:pt>
                <c:pt idx="8">
                  <c:v>-1.0323616541602654</c:v>
                </c:pt>
                <c:pt idx="9">
                  <c:v>-1.3678506266018502</c:v>
                </c:pt>
                <c:pt idx="10">
                  <c:v>-1.42299949878403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10-453B-A6DA-53CFE7E99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941656"/>
        <c:axId val="1"/>
      </c:scatterChart>
      <c:valAx>
        <c:axId val="715941656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941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783691416602"/>
          <c:y val="0.91975600272188196"/>
          <c:w val="0.70920890946789972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AI Gem - O-C Diagr.</a:t>
            </a:r>
          </a:p>
        </c:rich>
      </c:tx>
      <c:layout>
        <c:manualLayout>
          <c:xMode val="edge"/>
          <c:yMode val="edge"/>
          <c:x val="0.3790322580645161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35483870967742"/>
          <c:y val="0.14769252958613219"/>
          <c:w val="0.83064516129032262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(2)'!$H$21:$H$999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72-4D69-8766-BDBFE0826895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(2)'!$D$22:$D$50</c:f>
                <c:numCache>
                  <c:formatCode>General</c:formatCode>
                  <c:ptCount val="29"/>
                  <c:pt idx="0">
                    <c:v>2.9999999999999997E-4</c:v>
                  </c:pt>
                  <c:pt idx="1">
                    <c:v>1.5E-3</c:v>
                  </c:pt>
                  <c:pt idx="2">
                    <c:v>1E-4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2.2000000000000001E-3</c:v>
                  </c:pt>
                  <c:pt idx="7">
                    <c:v>1.1999999999999999E-3</c:v>
                  </c:pt>
                  <c:pt idx="8">
                    <c:v>2.3999999999999998E-3</c:v>
                  </c:pt>
                  <c:pt idx="9">
                    <c:v>1.6999999999999999E-3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(2)'!$I$21:$I$999</c:f>
              <c:numCache>
                <c:formatCode>General</c:formatCode>
                <c:ptCount val="979"/>
                <c:pt idx="1">
                  <c:v>-9.0499999998428393E-2</c:v>
                </c:pt>
                <c:pt idx="2">
                  <c:v>-9.4199999992270023E-2</c:v>
                </c:pt>
                <c:pt idx="3">
                  <c:v>-0.12109999999665888</c:v>
                </c:pt>
                <c:pt idx="4">
                  <c:v>0.12330000000656582</c:v>
                </c:pt>
                <c:pt idx="5">
                  <c:v>0.14190000000235159</c:v>
                </c:pt>
                <c:pt idx="6">
                  <c:v>0.13040000000182772</c:v>
                </c:pt>
                <c:pt idx="7">
                  <c:v>0.11649999999644933</c:v>
                </c:pt>
                <c:pt idx="8">
                  <c:v>0.10300000000279397</c:v>
                </c:pt>
                <c:pt idx="9">
                  <c:v>0.14980000000650762</c:v>
                </c:pt>
                <c:pt idx="10">
                  <c:v>9.5699999998032581E-2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72-4D69-8766-BDBFE0826895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1.8E-3</c:v>
                  </c:pt>
                  <c:pt idx="7">
                    <c:v>2.2000000000000001E-3</c:v>
                  </c:pt>
                  <c:pt idx="8">
                    <c:v>1.1999999999999999E-3</c:v>
                  </c:pt>
                  <c:pt idx="9">
                    <c:v>2.3999999999999998E-3</c:v>
                  </c:pt>
                  <c:pt idx="10">
                    <c:v>1.6999999999999999E-3</c:v>
                  </c:pt>
                </c:numCache>
              </c:numRef>
            </c:plus>
            <c:minus>
              <c:numRef>
                <c:f>'A (2)'!$D$21:$D$50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1.8E-3</c:v>
                  </c:pt>
                  <c:pt idx="7">
                    <c:v>2.2000000000000001E-3</c:v>
                  </c:pt>
                  <c:pt idx="8">
                    <c:v>1.1999999999999999E-3</c:v>
                  </c:pt>
                  <c:pt idx="9">
                    <c:v>2.3999999999999998E-3</c:v>
                  </c:pt>
                  <c:pt idx="10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(2)'!$J$21:$J$999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72-4D69-8766-BDBFE0826895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(2)'!$K$21:$K$999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72-4D69-8766-BDBFE0826895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72-4D69-8766-BDBFE0826895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72-4D69-8766-BDBFE0826895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(2)'!$N$21:$N$999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72-4D69-8766-BDBFE0826895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36712</c:v>
                </c:pt>
                <c:pt idx="2">
                  <c:v>36715</c:v>
                </c:pt>
                <c:pt idx="3">
                  <c:v>36748</c:v>
                </c:pt>
                <c:pt idx="4">
                  <c:v>37362.5</c:v>
                </c:pt>
                <c:pt idx="5">
                  <c:v>37789</c:v>
                </c:pt>
                <c:pt idx="6">
                  <c:v>37804</c:v>
                </c:pt>
                <c:pt idx="7">
                  <c:v>37826</c:v>
                </c:pt>
                <c:pt idx="8">
                  <c:v>37838.5</c:v>
                </c:pt>
                <c:pt idx="9">
                  <c:v>38240</c:v>
                </c:pt>
                <c:pt idx="10">
                  <c:v>38306</c:v>
                </c:pt>
              </c:numCache>
            </c:numRef>
          </c:xVal>
          <c:yVal>
            <c:numRef>
              <c:f>'A (2)'!$O$21:$O$999</c:f>
              <c:numCache>
                <c:formatCode>General</c:formatCode>
                <c:ptCount val="979"/>
                <c:pt idx="0">
                  <c:v>30.58507168016336</c:v>
                </c:pt>
                <c:pt idx="1">
                  <c:v>-9.1070676687174057E-2</c:v>
                </c:pt>
                <c:pt idx="2">
                  <c:v>-9.3577443604544897E-2</c:v>
                </c:pt>
                <c:pt idx="3">
                  <c:v>-0.12115187969563479</c:v>
                </c:pt>
                <c:pt idx="4">
                  <c:v>-0.63462130327061317</c:v>
                </c:pt>
                <c:pt idx="5">
                  <c:v>-0.99100000002363231</c:v>
                </c:pt>
                <c:pt idx="6">
                  <c:v>-1.0035338346104901</c:v>
                </c:pt>
                <c:pt idx="7">
                  <c:v>-1.02191679200455</c:v>
                </c:pt>
                <c:pt idx="8">
                  <c:v>-1.0323616541602654</c:v>
                </c:pt>
                <c:pt idx="9">
                  <c:v>-1.3678506266018502</c:v>
                </c:pt>
                <c:pt idx="10">
                  <c:v>-1.42299949878403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72-4D69-8766-BDBFE0826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951736"/>
        <c:axId val="1"/>
      </c:scatterChart>
      <c:valAx>
        <c:axId val="715951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90322580645165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951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64516129032257"/>
          <c:y val="0.92000129214617399"/>
          <c:w val="0.7080645161290322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AI Gem - O-C Diagr.</a:t>
            </a:r>
          </a:p>
        </c:rich>
      </c:tx>
      <c:layout>
        <c:manualLayout>
          <c:xMode val="edge"/>
          <c:yMode val="edge"/>
          <c:x val="0.37964492725969834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814859468012961"/>
          <c:w val="0.81906365094252553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36754</c:v>
                </c:pt>
                <c:pt idx="2">
                  <c:v>36757</c:v>
                </c:pt>
                <c:pt idx="3">
                  <c:v>36790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(3)'!$H$21:$H$999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7D-447F-9B22-78814DFBAAAD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(3)'!$D$22:$D$50</c:f>
                <c:numCache>
                  <c:formatCode>General</c:formatCode>
                  <c:ptCount val="29"/>
                  <c:pt idx="0">
                    <c:v>2.9999999999999997E-4</c:v>
                  </c:pt>
                  <c:pt idx="1">
                    <c:v>1.5E-3</c:v>
                  </c:pt>
                  <c:pt idx="2">
                    <c:v>1E-4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2.2000000000000001E-3</c:v>
                  </c:pt>
                  <c:pt idx="7">
                    <c:v>1.1999999999999999E-3</c:v>
                  </c:pt>
                  <c:pt idx="8">
                    <c:v>2.3999999999999998E-3</c:v>
                  </c:pt>
                  <c:pt idx="9">
                    <c:v>1.6999999999999999E-3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36754</c:v>
                </c:pt>
                <c:pt idx="2">
                  <c:v>36757</c:v>
                </c:pt>
                <c:pt idx="3">
                  <c:v>36790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(3)'!$I$21:$I$999</c:f>
              <c:numCache>
                <c:formatCode>General</c:formatCode>
                <c:ptCount val="979"/>
                <c:pt idx="1">
                  <c:v>0.17073709369287826</c:v>
                </c:pt>
                <c:pt idx="2">
                  <c:v>0.16954386061843252</c:v>
                </c:pt>
                <c:pt idx="3">
                  <c:v>0.17021829670557054</c:v>
                </c:pt>
                <c:pt idx="4">
                  <c:v>-0.15815889625810087</c:v>
                </c:pt>
                <c:pt idx="5">
                  <c:v>-0.14526240502164001</c:v>
                </c:pt>
                <c:pt idx="6">
                  <c:v>-0.14422857043973636</c:v>
                </c:pt>
                <c:pt idx="7">
                  <c:v>-0.13974561304348754</c:v>
                </c:pt>
                <c:pt idx="8">
                  <c:v>-0.14280075088026933</c:v>
                </c:pt>
                <c:pt idx="9">
                  <c:v>-0.12259398395690368</c:v>
                </c:pt>
                <c:pt idx="10">
                  <c:v>-0.12154511177504901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7D-447F-9B22-78814DFBAAAD}"/>
            </c:ext>
          </c:extLst>
        </c:ser>
        <c:ser>
          <c:idx val="3"/>
          <c:order val="2"/>
          <c:tx>
            <c:strRef>
              <c:f>'A (3)'!$J$20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1.8E-3</c:v>
                  </c:pt>
                  <c:pt idx="7">
                    <c:v>2.2000000000000001E-3</c:v>
                  </c:pt>
                  <c:pt idx="8">
                    <c:v>1.1999999999999999E-3</c:v>
                  </c:pt>
                  <c:pt idx="9">
                    <c:v>2.3999999999999998E-3</c:v>
                  </c:pt>
                  <c:pt idx="10">
                    <c:v>1.6999999999999999E-3</c:v>
                  </c:pt>
                </c:numCache>
              </c:numRef>
            </c:plus>
            <c:minus>
              <c:numRef>
                <c:f>'A (3)'!$D$21:$D$50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1.8E-3</c:v>
                  </c:pt>
                  <c:pt idx="7">
                    <c:v>2.2000000000000001E-3</c:v>
                  </c:pt>
                  <c:pt idx="8">
                    <c:v>1.1999999999999999E-3</c:v>
                  </c:pt>
                  <c:pt idx="9">
                    <c:v>2.3999999999999998E-3</c:v>
                  </c:pt>
                  <c:pt idx="10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36754</c:v>
                </c:pt>
                <c:pt idx="2">
                  <c:v>36757</c:v>
                </c:pt>
                <c:pt idx="3">
                  <c:v>36790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(3)'!$J$21:$J$999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7D-447F-9B22-78814DFBAAAD}"/>
            </c:ext>
          </c:extLst>
        </c:ser>
        <c:ser>
          <c:idx val="4"/>
          <c:order val="3"/>
          <c:tx>
            <c:strRef>
              <c:f>'A (3)'!$K$20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36754</c:v>
                </c:pt>
                <c:pt idx="2">
                  <c:v>36757</c:v>
                </c:pt>
                <c:pt idx="3">
                  <c:v>36790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(3)'!$K$21:$K$999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7D-447F-9B22-78814DFBAAAD}"/>
            </c:ext>
          </c:extLst>
        </c:ser>
        <c:ser>
          <c:idx val="2"/>
          <c:order val="4"/>
          <c:tx>
            <c:strRef>
              <c:f>'A (3)'!$L$20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36754</c:v>
                </c:pt>
                <c:pt idx="2">
                  <c:v>36757</c:v>
                </c:pt>
                <c:pt idx="3">
                  <c:v>36790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(3)'!$L$21:$L$999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7D-447F-9B22-78814DFBAAAD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36754</c:v>
                </c:pt>
                <c:pt idx="2">
                  <c:v>36757</c:v>
                </c:pt>
                <c:pt idx="3">
                  <c:v>36790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(3)'!$M$21:$M$999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7D-447F-9B22-78814DFBAAAD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36754</c:v>
                </c:pt>
                <c:pt idx="2">
                  <c:v>36757</c:v>
                </c:pt>
                <c:pt idx="3">
                  <c:v>36790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(3)'!$N$21:$N$999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7D-447F-9B22-78814DFBAAAD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36754</c:v>
                </c:pt>
                <c:pt idx="2">
                  <c:v>36757</c:v>
                </c:pt>
                <c:pt idx="3">
                  <c:v>36790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(3)'!$O$21:$O$999</c:f>
              <c:numCache>
                <c:formatCode>General</c:formatCode>
                <c:ptCount val="979"/>
                <c:pt idx="1">
                  <c:v>-0.18699503554079144</c:v>
                </c:pt>
                <c:pt idx="2">
                  <c:v>-0.18687255768411704</c:v>
                </c:pt>
                <c:pt idx="3">
                  <c:v>-0.18552530126069966</c:v>
                </c:pt>
                <c:pt idx="4">
                  <c:v>-0.16037651469023939</c:v>
                </c:pt>
                <c:pt idx="5">
                  <c:v>-0.14294383309026126</c:v>
                </c:pt>
                <c:pt idx="6">
                  <c:v>-0.14233144380688967</c:v>
                </c:pt>
                <c:pt idx="7">
                  <c:v>-0.1414332728579446</c:v>
                </c:pt>
                <c:pt idx="8">
                  <c:v>-0.14092294845513487</c:v>
                </c:pt>
                <c:pt idx="9">
                  <c:v>-0.12451091566077621</c:v>
                </c:pt>
                <c:pt idx="10">
                  <c:v>-0.12181640281394124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7D-447F-9B22-78814DFBA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963864"/>
        <c:axId val="1"/>
      </c:scatterChart>
      <c:valAx>
        <c:axId val="866963864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963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783691416602"/>
          <c:y val="0.91975600272188196"/>
          <c:w val="0.70920890946789972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AI Gem - O-C Diagr.</a:t>
            </a:r>
          </a:p>
        </c:rich>
      </c:tx>
      <c:layout>
        <c:manualLayout>
          <c:xMode val="edge"/>
          <c:yMode val="edge"/>
          <c:x val="0.3790322580645161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769252958613219"/>
          <c:w val="0.80967741935483872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36754</c:v>
                </c:pt>
                <c:pt idx="2">
                  <c:v>36757</c:v>
                </c:pt>
                <c:pt idx="3">
                  <c:v>36790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(3)'!$H$21:$H$999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1F-4827-BA59-0C89214BDF52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(3)'!$D$22:$D$50</c:f>
                <c:numCache>
                  <c:formatCode>General</c:formatCode>
                  <c:ptCount val="29"/>
                  <c:pt idx="0">
                    <c:v>2.9999999999999997E-4</c:v>
                  </c:pt>
                  <c:pt idx="1">
                    <c:v>1.5E-3</c:v>
                  </c:pt>
                  <c:pt idx="2">
                    <c:v>1E-4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2.2000000000000001E-3</c:v>
                  </c:pt>
                  <c:pt idx="7">
                    <c:v>1.1999999999999999E-3</c:v>
                  </c:pt>
                  <c:pt idx="8">
                    <c:v>2.3999999999999998E-3</c:v>
                  </c:pt>
                  <c:pt idx="9">
                    <c:v>1.6999999999999999E-3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36754</c:v>
                </c:pt>
                <c:pt idx="2">
                  <c:v>36757</c:v>
                </c:pt>
                <c:pt idx="3">
                  <c:v>36790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(3)'!$I$21:$I$999</c:f>
              <c:numCache>
                <c:formatCode>General</c:formatCode>
                <c:ptCount val="979"/>
                <c:pt idx="1">
                  <c:v>0.17073709369287826</c:v>
                </c:pt>
                <c:pt idx="2">
                  <c:v>0.16954386061843252</c:v>
                </c:pt>
                <c:pt idx="3">
                  <c:v>0.17021829670557054</c:v>
                </c:pt>
                <c:pt idx="4">
                  <c:v>-0.15815889625810087</c:v>
                </c:pt>
                <c:pt idx="5">
                  <c:v>-0.14526240502164001</c:v>
                </c:pt>
                <c:pt idx="6">
                  <c:v>-0.14422857043973636</c:v>
                </c:pt>
                <c:pt idx="7">
                  <c:v>-0.13974561304348754</c:v>
                </c:pt>
                <c:pt idx="8">
                  <c:v>-0.14280075088026933</c:v>
                </c:pt>
                <c:pt idx="9">
                  <c:v>-0.12259398395690368</c:v>
                </c:pt>
                <c:pt idx="10">
                  <c:v>-0.12154511177504901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1F-4827-BA59-0C89214BDF52}"/>
            </c:ext>
          </c:extLst>
        </c:ser>
        <c:ser>
          <c:idx val="3"/>
          <c:order val="2"/>
          <c:tx>
            <c:strRef>
              <c:f>'A (3)'!$J$20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1.8E-3</c:v>
                  </c:pt>
                  <c:pt idx="7">
                    <c:v>2.2000000000000001E-3</c:v>
                  </c:pt>
                  <c:pt idx="8">
                    <c:v>1.1999999999999999E-3</c:v>
                  </c:pt>
                  <c:pt idx="9">
                    <c:v>2.3999999999999998E-3</c:v>
                  </c:pt>
                  <c:pt idx="10">
                    <c:v>1.6999999999999999E-3</c:v>
                  </c:pt>
                </c:numCache>
              </c:numRef>
            </c:plus>
            <c:minus>
              <c:numRef>
                <c:f>'A (3)'!$D$21:$D$50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1.8E-3</c:v>
                  </c:pt>
                  <c:pt idx="7">
                    <c:v>2.2000000000000001E-3</c:v>
                  </c:pt>
                  <c:pt idx="8">
                    <c:v>1.1999999999999999E-3</c:v>
                  </c:pt>
                  <c:pt idx="9">
                    <c:v>2.3999999999999998E-3</c:v>
                  </c:pt>
                  <c:pt idx="10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36754</c:v>
                </c:pt>
                <c:pt idx="2">
                  <c:v>36757</c:v>
                </c:pt>
                <c:pt idx="3">
                  <c:v>36790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(3)'!$J$21:$J$999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1F-4827-BA59-0C89214BDF52}"/>
            </c:ext>
          </c:extLst>
        </c:ser>
        <c:ser>
          <c:idx val="4"/>
          <c:order val="3"/>
          <c:tx>
            <c:strRef>
              <c:f>'A (3)'!$K$20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36754</c:v>
                </c:pt>
                <c:pt idx="2">
                  <c:v>36757</c:v>
                </c:pt>
                <c:pt idx="3">
                  <c:v>36790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(3)'!$K$21:$K$999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1F-4827-BA59-0C89214BDF52}"/>
            </c:ext>
          </c:extLst>
        </c:ser>
        <c:ser>
          <c:idx val="2"/>
          <c:order val="4"/>
          <c:tx>
            <c:strRef>
              <c:f>'A (3)'!$L$20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36754</c:v>
                </c:pt>
                <c:pt idx="2">
                  <c:v>36757</c:v>
                </c:pt>
                <c:pt idx="3">
                  <c:v>36790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(3)'!$L$21:$L$999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1F-4827-BA59-0C89214BDF52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36754</c:v>
                </c:pt>
                <c:pt idx="2">
                  <c:v>36757</c:v>
                </c:pt>
                <c:pt idx="3">
                  <c:v>36790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(3)'!$M$21:$M$999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1F-4827-BA59-0C89214BDF52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36754</c:v>
                </c:pt>
                <c:pt idx="2">
                  <c:v>36757</c:v>
                </c:pt>
                <c:pt idx="3">
                  <c:v>36790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(3)'!$N$21:$N$999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1F-4827-BA59-0C89214BDF52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(3)'!$F$21:$F$999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36754</c:v>
                </c:pt>
                <c:pt idx="2">
                  <c:v>36757</c:v>
                </c:pt>
                <c:pt idx="3">
                  <c:v>36790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(3)'!$O$21:$O$999</c:f>
              <c:numCache>
                <c:formatCode>General</c:formatCode>
                <c:ptCount val="979"/>
                <c:pt idx="1">
                  <c:v>-0.18699503554079144</c:v>
                </c:pt>
                <c:pt idx="2">
                  <c:v>-0.18687255768411704</c:v>
                </c:pt>
                <c:pt idx="3">
                  <c:v>-0.18552530126069966</c:v>
                </c:pt>
                <c:pt idx="4">
                  <c:v>-0.16037651469023939</c:v>
                </c:pt>
                <c:pt idx="5">
                  <c:v>-0.14294383309026126</c:v>
                </c:pt>
                <c:pt idx="6">
                  <c:v>-0.14233144380688967</c:v>
                </c:pt>
                <c:pt idx="7">
                  <c:v>-0.1414332728579446</c:v>
                </c:pt>
                <c:pt idx="8">
                  <c:v>-0.14092294845513487</c:v>
                </c:pt>
                <c:pt idx="9">
                  <c:v>-0.12451091566077621</c:v>
                </c:pt>
                <c:pt idx="10">
                  <c:v>-0.12181640281394124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1F-4827-BA59-0C89214BD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958824"/>
        <c:axId val="1"/>
      </c:scatterChart>
      <c:valAx>
        <c:axId val="866958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958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32258064516128"/>
          <c:y val="0.92000129214617399"/>
          <c:w val="0.7080645161290322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AI Gem - O-C Diagr.</a:t>
            </a:r>
          </a:p>
        </c:rich>
      </c:tx>
      <c:layout>
        <c:manualLayout>
          <c:xMode val="edge"/>
          <c:yMode val="edge"/>
          <c:x val="0.37964492725969834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814859468012961"/>
          <c:w val="0.80937058998462585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(4)'!$F$21:$F$999</c:f>
              <c:numCache>
                <c:formatCode>General</c:formatCode>
                <c:ptCount val="979"/>
                <c:pt idx="0">
                  <c:v>2</c:v>
                </c:pt>
                <c:pt idx="1">
                  <c:v>36754.5</c:v>
                </c:pt>
                <c:pt idx="2">
                  <c:v>36757.5</c:v>
                </c:pt>
                <c:pt idx="3">
                  <c:v>36790.5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(4)'!$H$21:$H$999</c:f>
              <c:numCache>
                <c:formatCode>General</c:formatCode>
                <c:ptCount val="979"/>
                <c:pt idx="0">
                  <c:v>-1.4483288220544637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67-440A-AE4F-58C81191A95F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(4)'!$D$22:$D$50</c:f>
                <c:numCache>
                  <c:formatCode>General</c:formatCode>
                  <c:ptCount val="29"/>
                  <c:pt idx="0">
                    <c:v>2.9999999999999997E-4</c:v>
                  </c:pt>
                  <c:pt idx="1">
                    <c:v>1.5E-3</c:v>
                  </c:pt>
                  <c:pt idx="2">
                    <c:v>1E-4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2.2000000000000001E-3</c:v>
                  </c:pt>
                  <c:pt idx="7">
                    <c:v>1.1999999999999999E-3</c:v>
                  </c:pt>
                  <c:pt idx="8">
                    <c:v>2.3999999999999998E-3</c:v>
                  </c:pt>
                  <c:pt idx="9">
                    <c:v>1.6999999999999999E-3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(4)'!$F$21:$F$999</c:f>
              <c:numCache>
                <c:formatCode>General</c:formatCode>
                <c:ptCount val="979"/>
                <c:pt idx="0">
                  <c:v>2</c:v>
                </c:pt>
                <c:pt idx="1">
                  <c:v>36754.5</c:v>
                </c:pt>
                <c:pt idx="2">
                  <c:v>36757.5</c:v>
                </c:pt>
                <c:pt idx="3">
                  <c:v>36790.5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(4)'!$I$21:$I$999</c:f>
              <c:numCache>
                <c:formatCode>General</c:formatCode>
                <c:ptCount val="979"/>
                <c:pt idx="1">
                  <c:v>-0.19134511181619018</c:v>
                </c:pt>
                <c:pt idx="2">
                  <c:v>-0.19253834489791188</c:v>
                </c:pt>
                <c:pt idx="3">
                  <c:v>-0.19186390880349791</c:v>
                </c:pt>
                <c:pt idx="4">
                  <c:v>-0.15815889625810087</c:v>
                </c:pt>
                <c:pt idx="5">
                  <c:v>-0.14526240502164001</c:v>
                </c:pt>
                <c:pt idx="6">
                  <c:v>-0.14422857043973636</c:v>
                </c:pt>
                <c:pt idx="7">
                  <c:v>-0.13974561304348754</c:v>
                </c:pt>
                <c:pt idx="8">
                  <c:v>-0.14280075088026933</c:v>
                </c:pt>
                <c:pt idx="9">
                  <c:v>-0.12259398395690368</c:v>
                </c:pt>
                <c:pt idx="10">
                  <c:v>-0.12154511177504901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67-440A-AE4F-58C81191A95F}"/>
            </c:ext>
          </c:extLst>
        </c:ser>
        <c:ser>
          <c:idx val="3"/>
          <c:order val="2"/>
          <c:tx>
            <c:strRef>
              <c:f>'A (4)'!$J$20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1.8E-3</c:v>
                  </c:pt>
                  <c:pt idx="7">
                    <c:v>2.2000000000000001E-3</c:v>
                  </c:pt>
                  <c:pt idx="8">
                    <c:v>1.1999999999999999E-3</c:v>
                  </c:pt>
                  <c:pt idx="9">
                    <c:v>2.3999999999999998E-3</c:v>
                  </c:pt>
                  <c:pt idx="10">
                    <c:v>1.6999999999999999E-3</c:v>
                  </c:pt>
                </c:numCache>
              </c:numRef>
            </c:plus>
            <c:minus>
              <c:numRef>
                <c:f>'A (4)'!$D$21:$D$50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1.8E-3</c:v>
                  </c:pt>
                  <c:pt idx="7">
                    <c:v>2.2000000000000001E-3</c:v>
                  </c:pt>
                  <c:pt idx="8">
                    <c:v>1.1999999999999999E-3</c:v>
                  </c:pt>
                  <c:pt idx="9">
                    <c:v>2.3999999999999998E-3</c:v>
                  </c:pt>
                  <c:pt idx="10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(4)'!$F$21:$F$999</c:f>
              <c:numCache>
                <c:formatCode>General</c:formatCode>
                <c:ptCount val="979"/>
                <c:pt idx="0">
                  <c:v>2</c:v>
                </c:pt>
                <c:pt idx="1">
                  <c:v>36754.5</c:v>
                </c:pt>
                <c:pt idx="2">
                  <c:v>36757.5</c:v>
                </c:pt>
                <c:pt idx="3">
                  <c:v>36790.5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(4)'!$J$21:$J$999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67-440A-AE4F-58C81191A95F}"/>
            </c:ext>
          </c:extLst>
        </c:ser>
        <c:ser>
          <c:idx val="4"/>
          <c:order val="3"/>
          <c:tx>
            <c:strRef>
              <c:f>'A (4)'!$K$20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(4)'!$F$21:$F$999</c:f>
              <c:numCache>
                <c:formatCode>General</c:formatCode>
                <c:ptCount val="979"/>
                <c:pt idx="0">
                  <c:v>2</c:v>
                </c:pt>
                <c:pt idx="1">
                  <c:v>36754.5</c:v>
                </c:pt>
                <c:pt idx="2">
                  <c:v>36757.5</c:v>
                </c:pt>
                <c:pt idx="3">
                  <c:v>36790.5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(4)'!$K$21:$K$999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67-440A-AE4F-58C81191A95F}"/>
            </c:ext>
          </c:extLst>
        </c:ser>
        <c:ser>
          <c:idx val="2"/>
          <c:order val="4"/>
          <c:tx>
            <c:strRef>
              <c:f>'A (4)'!$L$20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(4)'!$F$21:$F$999</c:f>
              <c:numCache>
                <c:formatCode>General</c:formatCode>
                <c:ptCount val="979"/>
                <c:pt idx="0">
                  <c:v>2</c:v>
                </c:pt>
                <c:pt idx="1">
                  <c:v>36754.5</c:v>
                </c:pt>
                <c:pt idx="2">
                  <c:v>36757.5</c:v>
                </c:pt>
                <c:pt idx="3">
                  <c:v>36790.5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(4)'!$L$21:$L$999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67-440A-AE4F-58C81191A95F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(4)'!$F$21:$F$999</c:f>
              <c:numCache>
                <c:formatCode>General</c:formatCode>
                <c:ptCount val="979"/>
                <c:pt idx="0">
                  <c:v>2</c:v>
                </c:pt>
                <c:pt idx="1">
                  <c:v>36754.5</c:v>
                </c:pt>
                <c:pt idx="2">
                  <c:v>36757.5</c:v>
                </c:pt>
                <c:pt idx="3">
                  <c:v>36790.5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(4)'!$M$21:$M$999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67-440A-AE4F-58C81191A95F}"/>
            </c:ext>
          </c:extLst>
        </c:ser>
        <c:ser>
          <c:idx val="6"/>
          <c:order val="6"/>
          <c:tx>
            <c:strRef>
              <c:f>'A (4)'!$N$20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(4)'!$F$21:$F$999</c:f>
              <c:numCache>
                <c:formatCode>General</c:formatCode>
                <c:ptCount val="979"/>
                <c:pt idx="0">
                  <c:v>2</c:v>
                </c:pt>
                <c:pt idx="1">
                  <c:v>36754.5</c:v>
                </c:pt>
                <c:pt idx="2">
                  <c:v>36757.5</c:v>
                </c:pt>
                <c:pt idx="3">
                  <c:v>36790.5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(4)'!$N$21:$N$999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67-440A-AE4F-58C81191A95F}"/>
            </c:ext>
          </c:extLst>
        </c:ser>
        <c:ser>
          <c:idx val="7"/>
          <c:order val="7"/>
          <c:tx>
            <c:strRef>
              <c:f>'A (4)'!$O$20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(4)'!$F$21:$F$999</c:f>
              <c:numCache>
                <c:formatCode>General</c:formatCode>
                <c:ptCount val="979"/>
                <c:pt idx="0">
                  <c:v>2</c:v>
                </c:pt>
                <c:pt idx="1">
                  <c:v>36754.5</c:v>
                </c:pt>
                <c:pt idx="2">
                  <c:v>36757.5</c:v>
                </c:pt>
                <c:pt idx="3">
                  <c:v>36790.5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(4)'!$O$21:$O$999</c:f>
              <c:numCache>
                <c:formatCode>General</c:formatCode>
                <c:ptCount val="979"/>
                <c:pt idx="0">
                  <c:v>-1.8351442792464787</c:v>
                </c:pt>
                <c:pt idx="1">
                  <c:v>-0.19181631220259132</c:v>
                </c:pt>
                <c:pt idx="2">
                  <c:v>-0.1916821721059685</c:v>
                </c:pt>
                <c:pt idx="3">
                  <c:v>-0.19020663104311697</c:v>
                </c:pt>
                <c:pt idx="4">
                  <c:v>-0.16268555455266021</c:v>
                </c:pt>
                <c:pt idx="5">
                  <c:v>-0.14359294746667306</c:v>
                </c:pt>
                <c:pt idx="6">
                  <c:v>-0.14292224698355893</c:v>
                </c:pt>
                <c:pt idx="7">
                  <c:v>-0.14193855294165791</c:v>
                </c:pt>
                <c:pt idx="8">
                  <c:v>-0.14137963587239599</c:v>
                </c:pt>
                <c:pt idx="9">
                  <c:v>-0.12340486292493269</c:v>
                </c:pt>
                <c:pt idx="10">
                  <c:v>-0.12045378079922986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67-440A-AE4F-58C81191A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968904"/>
        <c:axId val="1"/>
      </c:scatterChart>
      <c:valAx>
        <c:axId val="866968904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1"/>
          <c:min val="-0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968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63021807249861"/>
          <c:y val="0.91975600272188196"/>
          <c:w val="0.70920890946789972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AI Gem - O-C Diagr.</a:t>
            </a:r>
          </a:p>
        </c:rich>
      </c:tx>
      <c:layout>
        <c:manualLayout>
          <c:xMode val="edge"/>
          <c:yMode val="edge"/>
          <c:x val="0.3790322580645161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769252958613219"/>
          <c:w val="0.8193548387096774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(4)'!$F$21:$F$999</c:f>
              <c:numCache>
                <c:formatCode>General</c:formatCode>
                <c:ptCount val="979"/>
                <c:pt idx="0">
                  <c:v>2</c:v>
                </c:pt>
                <c:pt idx="1">
                  <c:v>36754.5</c:v>
                </c:pt>
                <c:pt idx="2">
                  <c:v>36757.5</c:v>
                </c:pt>
                <c:pt idx="3">
                  <c:v>36790.5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(4)'!$H$21:$H$999</c:f>
              <c:numCache>
                <c:formatCode>General</c:formatCode>
                <c:ptCount val="979"/>
                <c:pt idx="0">
                  <c:v>-1.4483288220544637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0C-4F3A-BEF6-F17CF74DC316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(4)'!$D$22:$D$50</c:f>
                <c:numCache>
                  <c:formatCode>General</c:formatCode>
                  <c:ptCount val="29"/>
                  <c:pt idx="0">
                    <c:v>2.9999999999999997E-4</c:v>
                  </c:pt>
                  <c:pt idx="1">
                    <c:v>1.5E-3</c:v>
                  </c:pt>
                  <c:pt idx="2">
                    <c:v>1E-4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1.8E-3</c:v>
                  </c:pt>
                  <c:pt idx="6">
                    <c:v>2.2000000000000001E-3</c:v>
                  </c:pt>
                  <c:pt idx="7">
                    <c:v>1.1999999999999999E-3</c:v>
                  </c:pt>
                  <c:pt idx="8">
                    <c:v>2.3999999999999998E-3</c:v>
                  </c:pt>
                  <c:pt idx="9">
                    <c:v>1.6999999999999999E-3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(4)'!$F$21:$F$999</c:f>
              <c:numCache>
                <c:formatCode>General</c:formatCode>
                <c:ptCount val="979"/>
                <c:pt idx="0">
                  <c:v>2</c:v>
                </c:pt>
                <c:pt idx="1">
                  <c:v>36754.5</c:v>
                </c:pt>
                <c:pt idx="2">
                  <c:v>36757.5</c:v>
                </c:pt>
                <c:pt idx="3">
                  <c:v>36790.5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(4)'!$I$21:$I$999</c:f>
              <c:numCache>
                <c:formatCode>General</c:formatCode>
                <c:ptCount val="979"/>
                <c:pt idx="1">
                  <c:v>-0.19134511181619018</c:v>
                </c:pt>
                <c:pt idx="2">
                  <c:v>-0.19253834489791188</c:v>
                </c:pt>
                <c:pt idx="3">
                  <c:v>-0.19186390880349791</c:v>
                </c:pt>
                <c:pt idx="4">
                  <c:v>-0.15815889625810087</c:v>
                </c:pt>
                <c:pt idx="5">
                  <c:v>-0.14526240502164001</c:v>
                </c:pt>
                <c:pt idx="6">
                  <c:v>-0.14422857043973636</c:v>
                </c:pt>
                <c:pt idx="7">
                  <c:v>-0.13974561304348754</c:v>
                </c:pt>
                <c:pt idx="8">
                  <c:v>-0.14280075088026933</c:v>
                </c:pt>
                <c:pt idx="9">
                  <c:v>-0.12259398395690368</c:v>
                </c:pt>
                <c:pt idx="10">
                  <c:v>-0.12154511177504901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0C-4F3A-BEF6-F17CF74DC316}"/>
            </c:ext>
          </c:extLst>
        </c:ser>
        <c:ser>
          <c:idx val="3"/>
          <c:order val="2"/>
          <c:tx>
            <c:strRef>
              <c:f>'A (4)'!$J$20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1.8E-3</c:v>
                  </c:pt>
                  <c:pt idx="7">
                    <c:v>2.2000000000000001E-3</c:v>
                  </c:pt>
                  <c:pt idx="8">
                    <c:v>1.1999999999999999E-3</c:v>
                  </c:pt>
                  <c:pt idx="9">
                    <c:v>2.3999999999999998E-3</c:v>
                  </c:pt>
                  <c:pt idx="10">
                    <c:v>1.6999999999999999E-3</c:v>
                  </c:pt>
                </c:numCache>
              </c:numRef>
            </c:plus>
            <c:minus>
              <c:numRef>
                <c:f>'A (4)'!$D$21:$D$50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2.9999999999999997E-4</c:v>
                  </c:pt>
                  <c:pt idx="2">
                    <c:v>1.5E-3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4.0000000000000002E-4</c:v>
                  </c:pt>
                  <c:pt idx="6">
                    <c:v>1.8E-3</c:v>
                  </c:pt>
                  <c:pt idx="7">
                    <c:v>2.2000000000000001E-3</c:v>
                  </c:pt>
                  <c:pt idx="8">
                    <c:v>1.1999999999999999E-3</c:v>
                  </c:pt>
                  <c:pt idx="9">
                    <c:v>2.3999999999999998E-3</c:v>
                  </c:pt>
                  <c:pt idx="10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(4)'!$F$21:$F$999</c:f>
              <c:numCache>
                <c:formatCode>General</c:formatCode>
                <c:ptCount val="979"/>
                <c:pt idx="0">
                  <c:v>2</c:v>
                </c:pt>
                <c:pt idx="1">
                  <c:v>36754.5</c:v>
                </c:pt>
                <c:pt idx="2">
                  <c:v>36757.5</c:v>
                </c:pt>
                <c:pt idx="3">
                  <c:v>36790.5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(4)'!$J$21:$J$999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0C-4F3A-BEF6-F17CF74DC316}"/>
            </c:ext>
          </c:extLst>
        </c:ser>
        <c:ser>
          <c:idx val="4"/>
          <c:order val="3"/>
          <c:tx>
            <c:strRef>
              <c:f>'A (4)'!$K$20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(4)'!$F$21:$F$999</c:f>
              <c:numCache>
                <c:formatCode>General</c:formatCode>
                <c:ptCount val="979"/>
                <c:pt idx="0">
                  <c:v>2</c:v>
                </c:pt>
                <c:pt idx="1">
                  <c:v>36754.5</c:v>
                </c:pt>
                <c:pt idx="2">
                  <c:v>36757.5</c:v>
                </c:pt>
                <c:pt idx="3">
                  <c:v>36790.5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(4)'!$K$21:$K$999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0C-4F3A-BEF6-F17CF74DC316}"/>
            </c:ext>
          </c:extLst>
        </c:ser>
        <c:ser>
          <c:idx val="2"/>
          <c:order val="4"/>
          <c:tx>
            <c:strRef>
              <c:f>'A (4)'!$L$20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(4)'!$F$21:$F$999</c:f>
              <c:numCache>
                <c:formatCode>General</c:formatCode>
                <c:ptCount val="979"/>
                <c:pt idx="0">
                  <c:v>2</c:v>
                </c:pt>
                <c:pt idx="1">
                  <c:v>36754.5</c:v>
                </c:pt>
                <c:pt idx="2">
                  <c:v>36757.5</c:v>
                </c:pt>
                <c:pt idx="3">
                  <c:v>36790.5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(4)'!$L$21:$L$999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0C-4F3A-BEF6-F17CF74DC316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(4)'!$F$21:$F$999</c:f>
              <c:numCache>
                <c:formatCode>General</c:formatCode>
                <c:ptCount val="979"/>
                <c:pt idx="0">
                  <c:v>2</c:v>
                </c:pt>
                <c:pt idx="1">
                  <c:v>36754.5</c:v>
                </c:pt>
                <c:pt idx="2">
                  <c:v>36757.5</c:v>
                </c:pt>
                <c:pt idx="3">
                  <c:v>36790.5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(4)'!$M$21:$M$999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0C-4F3A-BEF6-F17CF74DC316}"/>
            </c:ext>
          </c:extLst>
        </c:ser>
        <c:ser>
          <c:idx val="6"/>
          <c:order val="6"/>
          <c:tx>
            <c:strRef>
              <c:f>'A (4)'!$N$20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(4)'!$F$21:$F$999</c:f>
              <c:numCache>
                <c:formatCode>General</c:formatCode>
                <c:ptCount val="979"/>
                <c:pt idx="0">
                  <c:v>2</c:v>
                </c:pt>
                <c:pt idx="1">
                  <c:v>36754.5</c:v>
                </c:pt>
                <c:pt idx="2">
                  <c:v>36757.5</c:v>
                </c:pt>
                <c:pt idx="3">
                  <c:v>36790.5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(4)'!$N$21:$N$999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0C-4F3A-BEF6-F17CF74DC316}"/>
            </c:ext>
          </c:extLst>
        </c:ser>
        <c:ser>
          <c:idx val="7"/>
          <c:order val="7"/>
          <c:tx>
            <c:strRef>
              <c:f>'A (4)'!$O$20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(4)'!$F$21:$F$999</c:f>
              <c:numCache>
                <c:formatCode>General</c:formatCode>
                <c:ptCount val="979"/>
                <c:pt idx="0">
                  <c:v>2</c:v>
                </c:pt>
                <c:pt idx="1">
                  <c:v>36754.5</c:v>
                </c:pt>
                <c:pt idx="2">
                  <c:v>36757.5</c:v>
                </c:pt>
                <c:pt idx="3">
                  <c:v>36790.5</c:v>
                </c:pt>
                <c:pt idx="4">
                  <c:v>37406</c:v>
                </c:pt>
                <c:pt idx="5">
                  <c:v>37833</c:v>
                </c:pt>
                <c:pt idx="6">
                  <c:v>37848</c:v>
                </c:pt>
                <c:pt idx="7">
                  <c:v>37870</c:v>
                </c:pt>
                <c:pt idx="8">
                  <c:v>37882.5</c:v>
                </c:pt>
                <c:pt idx="9">
                  <c:v>38284.5</c:v>
                </c:pt>
                <c:pt idx="10">
                  <c:v>38350.5</c:v>
                </c:pt>
              </c:numCache>
            </c:numRef>
          </c:xVal>
          <c:yVal>
            <c:numRef>
              <c:f>'A (4)'!$O$21:$O$999</c:f>
              <c:numCache>
                <c:formatCode>General</c:formatCode>
                <c:ptCount val="979"/>
                <c:pt idx="0">
                  <c:v>-1.8351442792464787</c:v>
                </c:pt>
                <c:pt idx="1">
                  <c:v>-0.19181631220259132</c:v>
                </c:pt>
                <c:pt idx="2">
                  <c:v>-0.1916821721059685</c:v>
                </c:pt>
                <c:pt idx="3">
                  <c:v>-0.19020663104311697</c:v>
                </c:pt>
                <c:pt idx="4">
                  <c:v>-0.16268555455266021</c:v>
                </c:pt>
                <c:pt idx="5">
                  <c:v>-0.14359294746667306</c:v>
                </c:pt>
                <c:pt idx="6">
                  <c:v>-0.14292224698355893</c:v>
                </c:pt>
                <c:pt idx="7">
                  <c:v>-0.14193855294165791</c:v>
                </c:pt>
                <c:pt idx="8">
                  <c:v>-0.14137963587239599</c:v>
                </c:pt>
                <c:pt idx="9">
                  <c:v>-0.12340486292493269</c:v>
                </c:pt>
                <c:pt idx="10">
                  <c:v>-0.12045378079922986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0C-4F3A-BEF6-F17CF74DC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061104"/>
        <c:axId val="1"/>
      </c:scatterChart>
      <c:valAx>
        <c:axId val="707061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061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09677419354839"/>
          <c:y val="0.92000129214617399"/>
          <c:w val="0.7080645161290322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28575</xdr:rowOff>
    </xdr:from>
    <xdr:to>
      <xdr:col>17</xdr:col>
      <xdr:colOff>257175</xdr:colOff>
      <xdr:row>18</xdr:row>
      <xdr:rowOff>76200</xdr:rowOff>
    </xdr:to>
    <xdr:graphicFrame macro="">
      <xdr:nvGraphicFramePr>
        <xdr:cNvPr id="56325" name="Chart 2">
          <a:extLst>
            <a:ext uri="{FF2B5EF4-FFF2-40B4-BE49-F238E27FC236}">
              <a16:creationId xmlns:a16="http://schemas.microsoft.com/office/drawing/2014/main" id="{D7882C25-908D-C5DC-1936-9306EC262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571501</xdr:colOff>
      <xdr:row>0</xdr:row>
      <xdr:rowOff>47625</xdr:rowOff>
    </xdr:from>
    <xdr:to>
      <xdr:col>27</xdr:col>
      <xdr:colOff>114301</xdr:colOff>
      <xdr:row>18</xdr:row>
      <xdr:rowOff>104775</xdr:rowOff>
    </xdr:to>
    <xdr:graphicFrame macro="">
      <xdr:nvGraphicFramePr>
        <xdr:cNvPr id="56326" name="Chart 4">
          <a:extLst>
            <a:ext uri="{FF2B5EF4-FFF2-40B4-BE49-F238E27FC236}">
              <a16:creationId xmlns:a16="http://schemas.microsoft.com/office/drawing/2014/main" id="{75A01E4D-0325-DDDD-2755-1C11B06F4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4C1A6D3-A60D-C252-5F54-5B26CC851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4C7481A1-B62E-A200-3277-63733CDB7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C8EC3DD1-6E7E-DC89-CDDA-05D4D6C23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447675</xdr:colOff>
      <xdr:row>0</xdr:row>
      <xdr:rowOff>66675</xdr:rowOff>
    </xdr:from>
    <xdr:to>
      <xdr:col>24</xdr:col>
      <xdr:colOff>371475</xdr:colOff>
      <xdr:row>18</xdr:row>
      <xdr:rowOff>104775</xdr:rowOff>
    </xdr:to>
    <xdr:graphicFrame macro="">
      <xdr:nvGraphicFramePr>
        <xdr:cNvPr id="52227" name="Chart 1">
          <a:extLst>
            <a:ext uri="{FF2B5EF4-FFF2-40B4-BE49-F238E27FC236}">
              <a16:creationId xmlns:a16="http://schemas.microsoft.com/office/drawing/2014/main" id="{A1076331-CB9C-869F-EA7F-25E2CCC7B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152400</xdr:colOff>
      <xdr:row>0</xdr:row>
      <xdr:rowOff>47625</xdr:rowOff>
    </xdr:from>
    <xdr:to>
      <xdr:col>15</xdr:col>
      <xdr:colOff>371475</xdr:colOff>
      <xdr:row>18</xdr:row>
      <xdr:rowOff>95250</xdr:rowOff>
    </xdr:to>
    <xdr:graphicFrame macro="">
      <xdr:nvGraphicFramePr>
        <xdr:cNvPr id="52228" name="Chart 2">
          <a:extLst>
            <a:ext uri="{FF2B5EF4-FFF2-40B4-BE49-F238E27FC236}">
              <a16:creationId xmlns:a16="http://schemas.microsoft.com/office/drawing/2014/main" id="{7D9EAC5F-777B-4078-E6FB-51EE94FD5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447675</xdr:colOff>
      <xdr:row>0</xdr:row>
      <xdr:rowOff>66675</xdr:rowOff>
    </xdr:from>
    <xdr:to>
      <xdr:col>24</xdr:col>
      <xdr:colOff>371475</xdr:colOff>
      <xdr:row>18</xdr:row>
      <xdr:rowOff>104775</xdr:rowOff>
    </xdr:to>
    <xdr:graphicFrame macro="">
      <xdr:nvGraphicFramePr>
        <xdr:cNvPr id="54275" name="Chart 1">
          <a:extLst>
            <a:ext uri="{FF2B5EF4-FFF2-40B4-BE49-F238E27FC236}">
              <a16:creationId xmlns:a16="http://schemas.microsoft.com/office/drawing/2014/main" id="{0DF633D2-79AF-7777-B562-8AC333664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152400</xdr:colOff>
      <xdr:row>0</xdr:row>
      <xdr:rowOff>47625</xdr:rowOff>
    </xdr:from>
    <xdr:to>
      <xdr:col>15</xdr:col>
      <xdr:colOff>371475</xdr:colOff>
      <xdr:row>18</xdr:row>
      <xdr:rowOff>95250</xdr:rowOff>
    </xdr:to>
    <xdr:graphicFrame macro="">
      <xdr:nvGraphicFramePr>
        <xdr:cNvPr id="54276" name="Chart 2">
          <a:extLst>
            <a:ext uri="{FF2B5EF4-FFF2-40B4-BE49-F238E27FC236}">
              <a16:creationId xmlns:a16="http://schemas.microsoft.com/office/drawing/2014/main" id="{807096B1-96A9-F73B-E630-4E8DD079D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8" TargetMode="External"/><Relationship Id="rId13" Type="http://schemas.openxmlformats.org/officeDocument/2006/relationships/hyperlink" Target="http://www.bav-astro.de/sfs/BAVM_link.php?BAVMnr=173" TargetMode="External"/><Relationship Id="rId18" Type="http://schemas.openxmlformats.org/officeDocument/2006/relationships/hyperlink" Target="http://www.bav-astro.de/sfs/BAVM_link.php?BAVMnr=173" TargetMode="External"/><Relationship Id="rId26" Type="http://schemas.openxmlformats.org/officeDocument/2006/relationships/hyperlink" Target="http://www.konkoly.hu/cgi-bin/IBVS?5960" TargetMode="External"/><Relationship Id="rId3" Type="http://schemas.openxmlformats.org/officeDocument/2006/relationships/hyperlink" Target="http://www.bav-astro.de/sfs/BAVM_link.php?BAVMnr=158" TargetMode="External"/><Relationship Id="rId21" Type="http://schemas.openxmlformats.org/officeDocument/2006/relationships/hyperlink" Target="http://vsolj.cetus-net.org/no48.pdf" TargetMode="External"/><Relationship Id="rId7" Type="http://schemas.openxmlformats.org/officeDocument/2006/relationships/hyperlink" Target="http://www.bav-astro.de/sfs/BAVM_link.php?BAVMnr=158" TargetMode="External"/><Relationship Id="rId12" Type="http://schemas.openxmlformats.org/officeDocument/2006/relationships/hyperlink" Target="http://www.konkoly.hu/cgi-bin/IBVS?5653" TargetMode="External"/><Relationship Id="rId17" Type="http://schemas.openxmlformats.org/officeDocument/2006/relationships/hyperlink" Target="http://www.bav-astro.de/sfs/BAVM_link.php?BAVMnr=173" TargetMode="External"/><Relationship Id="rId25" Type="http://schemas.openxmlformats.org/officeDocument/2006/relationships/hyperlink" Target="http://www.konkoly.hu/cgi-bin/IBVS?5894" TargetMode="External"/><Relationship Id="rId2" Type="http://schemas.openxmlformats.org/officeDocument/2006/relationships/hyperlink" Target="http://www.bav-astro.de/sfs/BAVM_link.php?BAVMnr=158" TargetMode="External"/><Relationship Id="rId16" Type="http://schemas.openxmlformats.org/officeDocument/2006/relationships/hyperlink" Target="http://www.bav-astro.de/sfs/BAVM_link.php?BAVMnr=173" TargetMode="External"/><Relationship Id="rId20" Type="http://schemas.openxmlformats.org/officeDocument/2006/relationships/hyperlink" Target="http://www.konkoly.hu/cgi-bin/IBVS?5760" TargetMode="External"/><Relationship Id="rId1" Type="http://schemas.openxmlformats.org/officeDocument/2006/relationships/hyperlink" Target="http://www.bav-astro.de/sfs/BAVM_link.php?BAVMnr=152" TargetMode="External"/><Relationship Id="rId6" Type="http://schemas.openxmlformats.org/officeDocument/2006/relationships/hyperlink" Target="http://www.bav-astro.de/sfs/BAVM_link.php?BAVMnr=158" TargetMode="External"/><Relationship Id="rId11" Type="http://schemas.openxmlformats.org/officeDocument/2006/relationships/hyperlink" Target="http://www.bav-astro.de/sfs/BAVM_link.php?BAVMnr=173" TargetMode="External"/><Relationship Id="rId24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www.bav-astro.de/sfs/BAVM_link.php?BAVMnr=158" TargetMode="External"/><Relationship Id="rId15" Type="http://schemas.openxmlformats.org/officeDocument/2006/relationships/hyperlink" Target="http://www.bav-astro.de/sfs/BAVM_link.php?BAVMnr=173" TargetMode="External"/><Relationship Id="rId23" Type="http://schemas.openxmlformats.org/officeDocument/2006/relationships/hyperlink" Target="http://www.bav-astro.de/sfs/BAVM_link.php?BAVMnr=209" TargetMode="External"/><Relationship Id="rId10" Type="http://schemas.openxmlformats.org/officeDocument/2006/relationships/hyperlink" Target="http://www.bav-astro.de/sfs/BAVM_link.php?BAVMnr=172" TargetMode="External"/><Relationship Id="rId19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bav-astro.de/sfs/BAVM_link.php?BAVMnr=172" TargetMode="External"/><Relationship Id="rId14" Type="http://schemas.openxmlformats.org/officeDocument/2006/relationships/hyperlink" Target="http://www.bav-astro.de/sfs/BAVM_link.php?BAVMnr=173" TargetMode="External"/><Relationship Id="rId22" Type="http://schemas.openxmlformats.org/officeDocument/2006/relationships/hyperlink" Target="http://www.bav-astro.de/sfs/BAVM_link.php?BAVMnr=209" TargetMode="External"/><Relationship Id="rId27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2"/>
  </sheetPr>
  <dimension ref="A1:U61"/>
  <sheetViews>
    <sheetView tabSelected="1" workbookViewId="0">
      <pane xSplit="14" ySplit="22" topLeftCell="R35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57</v>
      </c>
    </row>
    <row r="2" spans="1:6">
      <c r="A2" t="s">
        <v>28</v>
      </c>
      <c r="B2" s="27" t="s">
        <v>38</v>
      </c>
    </row>
    <row r="3" spans="1:6" ht="13.5" thickBot="1"/>
    <row r="4" spans="1:6" ht="13.5" thickBot="1">
      <c r="A4" s="8" t="s">
        <v>1</v>
      </c>
      <c r="C4" s="47">
        <v>25283.384999999998</v>
      </c>
      <c r="D4" s="48">
        <v>0.72499999999999998</v>
      </c>
    </row>
    <row r="5" spans="1:6">
      <c r="A5" s="36" t="s">
        <v>44</v>
      </c>
      <c r="B5" s="37"/>
      <c r="C5" s="38">
        <v>-9.5</v>
      </c>
      <c r="D5" s="37" t="s">
        <v>45</v>
      </c>
    </row>
    <row r="6" spans="1:6">
      <c r="A6" s="8" t="s">
        <v>2</v>
      </c>
    </row>
    <row r="7" spans="1:6">
      <c r="A7" t="s">
        <v>3</v>
      </c>
      <c r="C7">
        <f>+C4</f>
        <v>25283.384999999998</v>
      </c>
    </row>
    <row r="8" spans="1:6">
      <c r="A8" t="s">
        <v>4</v>
      </c>
      <c r="C8">
        <v>0.7242091243930836</v>
      </c>
    </row>
    <row r="9" spans="1:6">
      <c r="A9" s="51" t="s">
        <v>50</v>
      </c>
      <c r="B9" s="52">
        <v>30</v>
      </c>
      <c r="C9" s="50" t="str">
        <f>"F"&amp;B9</f>
        <v>F30</v>
      </c>
      <c r="D9" s="35" t="str">
        <f>"G"&amp;B9</f>
        <v>G30</v>
      </c>
    </row>
    <row r="10" spans="1:6" ht="13.5" thickBot="1">
      <c r="A10" s="37"/>
      <c r="B10" s="37"/>
      <c r="C10" s="7" t="s">
        <v>23</v>
      </c>
      <c r="D10" s="7" t="s">
        <v>24</v>
      </c>
      <c r="E10" s="37"/>
    </row>
    <row r="11" spans="1:6">
      <c r="A11" s="37" t="s">
        <v>17</v>
      </c>
      <c r="B11" s="37"/>
      <c r="C11" s="49">
        <f ca="1">INTERCEPT(INDIRECT($D$9):G992,INDIRECT($C$9):F992)</f>
        <v>7.1316485304896204E-2</v>
      </c>
      <c r="D11" s="6"/>
      <c r="E11" s="37"/>
    </row>
    <row r="12" spans="1:6">
      <c r="A12" s="37" t="s">
        <v>18</v>
      </c>
      <c r="B12" s="37"/>
      <c r="C12" s="49">
        <f ca="1">SLOPE(INDIRECT($D$9):G992,INDIRECT($C$9):F992)</f>
        <v>-2.4950157901074141E-6</v>
      </c>
      <c r="D12" s="6"/>
      <c r="E12" s="37"/>
    </row>
    <row r="13" spans="1:6">
      <c r="A13" s="37" t="s">
        <v>22</v>
      </c>
      <c r="B13" s="37"/>
      <c r="C13" s="6" t="s">
        <v>15</v>
      </c>
    </row>
    <row r="14" spans="1:6">
      <c r="A14" s="37"/>
      <c r="B14" s="37"/>
      <c r="C14" s="37"/>
    </row>
    <row r="15" spans="1:6">
      <c r="A15" s="39" t="s">
        <v>19</v>
      </c>
      <c r="B15" s="37"/>
      <c r="C15" s="40">
        <f ca="1">(C7+C11)+(C8+C12)*INT(MAX(F21:F3533))</f>
        <v>57384.639370263219</v>
      </c>
      <c r="E15" s="41" t="s">
        <v>52</v>
      </c>
      <c r="F15" s="38">
        <v>1</v>
      </c>
    </row>
    <row r="16" spans="1:6">
      <c r="A16" s="42" t="s">
        <v>5</v>
      </c>
      <c r="B16" s="37"/>
      <c r="C16" s="43">
        <f ca="1">+C8+C12</f>
        <v>0.72420662937729352</v>
      </c>
      <c r="E16" s="41" t="s">
        <v>46</v>
      </c>
      <c r="F16" s="34">
        <f ca="1">NOW()+15018.5+$C$5/24</f>
        <v>60351.734220601851</v>
      </c>
    </row>
    <row r="17" spans="1:21" ht="13.5" thickBot="1">
      <c r="A17" s="41" t="s">
        <v>40</v>
      </c>
      <c r="B17" s="37"/>
      <c r="C17" s="37">
        <f>COUNT(C21:C2191)</f>
        <v>32</v>
      </c>
      <c r="E17" s="41" t="s">
        <v>53</v>
      </c>
      <c r="F17" s="34">
        <f ca="1">ROUND(2*(F16-$C$7)/$C$8,0)/2+F15</f>
        <v>48424</v>
      </c>
    </row>
    <row r="18" spans="1:21" ht="14.25" thickTop="1" thickBot="1">
      <c r="A18" s="42" t="s">
        <v>6</v>
      </c>
      <c r="B18" s="37"/>
      <c r="C18" s="45">
        <f ca="1">+C15</f>
        <v>57384.639370263219</v>
      </c>
      <c r="D18" s="46">
        <f ca="1">+C16</f>
        <v>0.72420662937729352</v>
      </c>
      <c r="E18" s="41" t="s">
        <v>47</v>
      </c>
      <c r="F18" s="35">
        <f ca="1">ROUND(2*(F16-$C$15)/$C$16,0)/2+F15</f>
        <v>4098</v>
      </c>
    </row>
    <row r="19" spans="1:21" ht="13.5" thickTop="1">
      <c r="E19" s="41" t="s">
        <v>48</v>
      </c>
      <c r="F19" s="44">
        <f ca="1">+$C$15+$C$16*F18-15018.5-$C$5/24</f>
        <v>45334.333970784704</v>
      </c>
    </row>
    <row r="20" spans="1:21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65</v>
      </c>
      <c r="I20" s="10" t="s">
        <v>68</v>
      </c>
      <c r="J20" s="10" t="s">
        <v>62</v>
      </c>
      <c r="K20" s="10" t="s">
        <v>60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16</v>
      </c>
      <c r="U20" s="79" t="s">
        <v>212</v>
      </c>
    </row>
    <row r="21" spans="1:21">
      <c r="A21" s="13" t="s">
        <v>13</v>
      </c>
      <c r="B21" s="14" t="s">
        <v>33</v>
      </c>
      <c r="C21" s="13">
        <f>+C4</f>
        <v>25283.384999999998</v>
      </c>
      <c r="D21" s="13" t="s">
        <v>15</v>
      </c>
      <c r="E21">
        <f t="shared" ref="E21:E51" si="0">+(C21-C$7)/C$8</f>
        <v>0</v>
      </c>
      <c r="F21" s="25">
        <f t="shared" ref="F21:F52" si="1">ROUND(2*E21,0)/2</f>
        <v>0</v>
      </c>
      <c r="G21">
        <f t="shared" ref="G21:G35" si="2">+C21-(C$7+F21*C$8)</f>
        <v>0</v>
      </c>
      <c r="H21">
        <f>G21</f>
        <v>0</v>
      </c>
      <c r="O21">
        <f t="shared" ref="O21:O51" ca="1" si="3">+C$11+C$12*F21</f>
        <v>7.1316485304896204E-2</v>
      </c>
      <c r="Q21" s="2">
        <f t="shared" ref="Q21:Q51" si="4">+C21-15018.5</f>
        <v>10264.884999999998</v>
      </c>
    </row>
    <row r="22" spans="1:21">
      <c r="A22" s="76" t="s">
        <v>75</v>
      </c>
      <c r="B22" s="78" t="s">
        <v>33</v>
      </c>
      <c r="C22" s="77">
        <v>51616.324000000001</v>
      </c>
      <c r="D22" s="77" t="s">
        <v>68</v>
      </c>
      <c r="E22">
        <f t="shared" si="0"/>
        <v>36360.959994902114</v>
      </c>
      <c r="F22" s="25">
        <f t="shared" si="1"/>
        <v>36361</v>
      </c>
      <c r="G22">
        <f t="shared" si="2"/>
        <v>-2.8972056905331556E-2</v>
      </c>
      <c r="I22">
        <f>+G22</f>
        <v>-2.8972056905331556E-2</v>
      </c>
      <c r="O22">
        <f t="shared" ca="1" si="3"/>
        <v>-1.9404783839199483E-2</v>
      </c>
      <c r="Q22" s="2">
        <f t="shared" si="4"/>
        <v>36597.824000000001</v>
      </c>
    </row>
    <row r="23" spans="1:21">
      <c r="A23" s="76" t="s">
        <v>80</v>
      </c>
      <c r="B23" s="78" t="s">
        <v>43</v>
      </c>
      <c r="C23" s="77">
        <v>51879.574099999998</v>
      </c>
      <c r="D23" s="77" t="s">
        <v>68</v>
      </c>
      <c r="E23">
        <f t="shared" si="0"/>
        <v>36724.460109900821</v>
      </c>
      <c r="F23" s="25">
        <f t="shared" si="1"/>
        <v>36724.5</v>
      </c>
      <c r="G23">
        <f t="shared" si="2"/>
        <v>-2.8888773798826151E-2</v>
      </c>
      <c r="K23">
        <f>+G23</f>
        <v>-2.8888773798826151E-2</v>
      </c>
      <c r="O23">
        <f t="shared" ca="1" si="3"/>
        <v>-2.0311722078903527E-2</v>
      </c>
      <c r="Q23" s="2">
        <f t="shared" si="4"/>
        <v>36861.074099999998</v>
      </c>
    </row>
    <row r="24" spans="1:21">
      <c r="A24" s="16" t="s">
        <v>34</v>
      </c>
      <c r="B24" s="17"/>
      <c r="C24" s="30">
        <v>51899.494500000001</v>
      </c>
      <c r="D24" s="30">
        <v>2.9999999999999997E-4</v>
      </c>
      <c r="E24">
        <f t="shared" si="0"/>
        <v>36751.966529426667</v>
      </c>
      <c r="F24" s="25">
        <f t="shared" si="1"/>
        <v>36752</v>
      </c>
      <c r="G24">
        <f t="shared" si="2"/>
        <v>-2.4239694605057593E-2</v>
      </c>
      <c r="J24">
        <f t="shared" ref="J24:J31" si="5">+G24</f>
        <v>-2.4239694605057593E-2</v>
      </c>
      <c r="O24">
        <f t="shared" ca="1" si="3"/>
        <v>-2.0380335013131481E-2</v>
      </c>
      <c r="Q24" s="2">
        <f t="shared" si="4"/>
        <v>36880.994500000001</v>
      </c>
    </row>
    <row r="25" spans="1:21">
      <c r="A25" s="16" t="s">
        <v>35</v>
      </c>
      <c r="B25" s="17"/>
      <c r="C25" s="30">
        <v>51901.665800000002</v>
      </c>
      <c r="D25" s="30">
        <v>1.5E-3</v>
      </c>
      <c r="E25">
        <f t="shared" si="0"/>
        <v>36754.964696567717</v>
      </c>
      <c r="F25" s="25">
        <f t="shared" si="1"/>
        <v>36755</v>
      </c>
      <c r="G25">
        <f t="shared" si="2"/>
        <v>-2.5567067787051201E-2</v>
      </c>
      <c r="J25">
        <f t="shared" si="5"/>
        <v>-2.5567067787051201E-2</v>
      </c>
      <c r="O25">
        <f t="shared" ca="1" si="3"/>
        <v>-2.0387820060501799E-2</v>
      </c>
      <c r="Q25" s="2">
        <f t="shared" si="4"/>
        <v>36883.165800000002</v>
      </c>
    </row>
    <row r="26" spans="1:21">
      <c r="A26" s="16" t="s">
        <v>35</v>
      </c>
      <c r="B26" s="17"/>
      <c r="C26" s="30">
        <v>51925.563900000001</v>
      </c>
      <c r="D26" s="30">
        <v>1E-4</v>
      </c>
      <c r="E26">
        <f t="shared" si="0"/>
        <v>36787.963590388645</v>
      </c>
      <c r="F26" s="25">
        <f t="shared" si="1"/>
        <v>36788</v>
      </c>
      <c r="G26">
        <f t="shared" si="2"/>
        <v>-2.6368172759248409E-2</v>
      </c>
      <c r="J26">
        <f t="shared" si="5"/>
        <v>-2.6368172759248409E-2</v>
      </c>
      <c r="O26">
        <f t="shared" ca="1" si="3"/>
        <v>-2.0470155581575347E-2</v>
      </c>
      <c r="Q26" s="2">
        <f t="shared" si="4"/>
        <v>36907.063900000001</v>
      </c>
    </row>
    <row r="27" spans="1:21">
      <c r="A27" s="16" t="s">
        <v>35</v>
      </c>
      <c r="B27" s="17"/>
      <c r="C27" s="30">
        <v>52371.320800000001</v>
      </c>
      <c r="D27" s="30">
        <v>8.0000000000000004E-4</v>
      </c>
      <c r="E27">
        <f t="shared" si="0"/>
        <v>37403.472129270376</v>
      </c>
      <c r="F27" s="25">
        <f t="shared" si="1"/>
        <v>37403.5</v>
      </c>
      <c r="G27">
        <f t="shared" si="2"/>
        <v>-2.0184236695058644E-2</v>
      </c>
      <c r="J27">
        <f t="shared" si="5"/>
        <v>-2.0184236695058644E-2</v>
      </c>
      <c r="O27">
        <f t="shared" ca="1" si="3"/>
        <v>-2.2005837800386452E-2</v>
      </c>
      <c r="Q27" s="2">
        <f t="shared" si="4"/>
        <v>37352.820800000001</v>
      </c>
    </row>
    <row r="28" spans="1:21">
      <c r="A28" s="16" t="s">
        <v>35</v>
      </c>
      <c r="B28" s="17"/>
      <c r="C28" s="30">
        <v>52680.551899999999</v>
      </c>
      <c r="D28" s="30">
        <v>4.0000000000000002E-4</v>
      </c>
      <c r="E28">
        <f t="shared" si="0"/>
        <v>37830.463573570589</v>
      </c>
      <c r="F28" s="25">
        <f t="shared" si="1"/>
        <v>37830.5</v>
      </c>
      <c r="G28">
        <f t="shared" si="2"/>
        <v>-2.6380352552223485E-2</v>
      </c>
      <c r="J28">
        <f t="shared" si="5"/>
        <v>-2.6380352552223485E-2</v>
      </c>
      <c r="O28">
        <f t="shared" ca="1" si="3"/>
        <v>-2.307120954276233E-2</v>
      </c>
      <c r="Q28" s="2">
        <f t="shared" si="4"/>
        <v>37662.051899999999</v>
      </c>
    </row>
    <row r="29" spans="1:21">
      <c r="A29" s="16" t="s">
        <v>35</v>
      </c>
      <c r="B29" s="17"/>
      <c r="C29" s="30">
        <v>52691.415399999998</v>
      </c>
      <c r="D29" s="30">
        <v>1.8E-3</v>
      </c>
      <c r="E29">
        <f t="shared" si="0"/>
        <v>37845.464074992196</v>
      </c>
      <c r="F29" s="25">
        <f t="shared" si="1"/>
        <v>37845.5</v>
      </c>
      <c r="G29">
        <f t="shared" si="2"/>
        <v>-2.6017218449851498E-2</v>
      </c>
      <c r="J29">
        <f t="shared" si="5"/>
        <v>-2.6017218449851498E-2</v>
      </c>
      <c r="O29">
        <f t="shared" ca="1" si="3"/>
        <v>-2.3108634779613932E-2</v>
      </c>
      <c r="Q29" s="2">
        <f t="shared" si="4"/>
        <v>37672.915399999998</v>
      </c>
    </row>
    <row r="30" spans="1:21">
      <c r="A30" s="16" t="s">
        <v>35</v>
      </c>
      <c r="B30" s="17"/>
      <c r="C30" s="30">
        <v>52707.351499999997</v>
      </c>
      <c r="D30" s="30">
        <v>2.2000000000000001E-3</v>
      </c>
      <c r="E30">
        <f t="shared" si="0"/>
        <v>37867.468906833208</v>
      </c>
      <c r="F30" s="25">
        <f t="shared" si="1"/>
        <v>37867.5</v>
      </c>
      <c r="G30">
        <f t="shared" si="2"/>
        <v>-2.2517955098010134E-2</v>
      </c>
      <c r="J30">
        <f t="shared" si="5"/>
        <v>-2.2517955098010134E-2</v>
      </c>
      <c r="O30">
        <f t="shared" ca="1" si="3"/>
        <v>-2.3163525126996293E-2</v>
      </c>
      <c r="Q30" s="2">
        <f t="shared" si="4"/>
        <v>37688.851499999997</v>
      </c>
    </row>
    <row r="31" spans="1:21">
      <c r="A31" s="16" t="s">
        <v>35</v>
      </c>
      <c r="B31" s="17"/>
      <c r="C31" s="30">
        <v>52716.400500000003</v>
      </c>
      <c r="D31" s="30">
        <v>1.1999999999999999E-3</v>
      </c>
      <c r="E31">
        <f t="shared" si="0"/>
        <v>37879.963916486107</v>
      </c>
      <c r="F31" s="25">
        <f t="shared" si="1"/>
        <v>37880</v>
      </c>
      <c r="G31">
        <f t="shared" si="2"/>
        <v>-2.6132010003493633E-2</v>
      </c>
      <c r="J31">
        <f t="shared" si="5"/>
        <v>-2.6132010003493633E-2</v>
      </c>
      <c r="O31">
        <f t="shared" ca="1" si="3"/>
        <v>-2.3194712824372646E-2</v>
      </c>
      <c r="Q31" s="2">
        <f t="shared" si="4"/>
        <v>37697.900500000003</v>
      </c>
    </row>
    <row r="32" spans="1:21">
      <c r="A32" s="34" t="s">
        <v>41</v>
      </c>
      <c r="B32" s="32" t="s">
        <v>33</v>
      </c>
      <c r="C32" s="33">
        <v>52719.3001</v>
      </c>
      <c r="D32" s="33">
        <v>1.2999999999999999E-3</v>
      </c>
      <c r="E32">
        <f t="shared" si="0"/>
        <v>37883.967732376201</v>
      </c>
      <c r="F32" s="25">
        <f t="shared" si="1"/>
        <v>37884</v>
      </c>
      <c r="G32">
        <f t="shared" si="2"/>
        <v>-2.3368507572740782E-2</v>
      </c>
      <c r="K32">
        <f>+G32</f>
        <v>-2.3368507572740782E-2</v>
      </c>
      <c r="O32">
        <f t="shared" ca="1" si="3"/>
        <v>-2.3204692887533074E-2</v>
      </c>
      <c r="Q32" s="2">
        <f t="shared" si="4"/>
        <v>37700.8001</v>
      </c>
    </row>
    <row r="33" spans="1:21">
      <c r="A33" s="21" t="s">
        <v>36</v>
      </c>
      <c r="B33" s="22"/>
      <c r="C33" s="31">
        <v>53007.534800000001</v>
      </c>
      <c r="D33" s="31">
        <v>2.3999999999999998E-3</v>
      </c>
      <c r="E33">
        <f t="shared" si="0"/>
        <v>38281.966998460499</v>
      </c>
      <c r="F33" s="25">
        <f t="shared" si="1"/>
        <v>38282</v>
      </c>
      <c r="G33">
        <f t="shared" si="2"/>
        <v>-2.3900016029074322E-2</v>
      </c>
      <c r="J33">
        <f>+G33</f>
        <v>-2.3900016029074322E-2</v>
      </c>
      <c r="O33">
        <f t="shared" ca="1" si="3"/>
        <v>-2.4197709171995818E-2</v>
      </c>
      <c r="Q33" s="2">
        <f t="shared" si="4"/>
        <v>37989.034800000001</v>
      </c>
    </row>
    <row r="34" spans="1:21">
      <c r="A34" s="21" t="s">
        <v>36</v>
      </c>
      <c r="B34" s="22"/>
      <c r="C34" s="31">
        <v>53055.330699999999</v>
      </c>
      <c r="D34" s="31">
        <v>1.6999999999999999E-3</v>
      </c>
      <c r="E34">
        <f t="shared" si="0"/>
        <v>38347.964371857379</v>
      </c>
      <c r="F34" s="25">
        <f t="shared" si="1"/>
        <v>38348</v>
      </c>
      <c r="G34">
        <f t="shared" si="2"/>
        <v>-2.580222597316606E-2</v>
      </c>
      <c r="J34">
        <f>+G34</f>
        <v>-2.580222597316606E-2</v>
      </c>
      <c r="O34">
        <f t="shared" ca="1" si="3"/>
        <v>-2.4362380214142915E-2</v>
      </c>
      <c r="Q34" s="2">
        <f t="shared" si="4"/>
        <v>38036.830699999999</v>
      </c>
    </row>
    <row r="35" spans="1:21">
      <c r="A35" s="21" t="s">
        <v>39</v>
      </c>
      <c r="B35" s="28"/>
      <c r="C35" s="29">
        <v>53381.5861</v>
      </c>
      <c r="D35" s="29">
        <v>5.0000000000000001E-4</v>
      </c>
      <c r="E35">
        <f t="shared" si="0"/>
        <v>38798.463252651542</v>
      </c>
      <c r="F35" s="25">
        <f t="shared" si="1"/>
        <v>38798.5</v>
      </c>
      <c r="G35">
        <f t="shared" si="2"/>
        <v>-2.6612765053869225E-2</v>
      </c>
      <c r="J35">
        <f>+G35</f>
        <v>-2.6612765053869225E-2</v>
      </c>
      <c r="O35">
        <f t="shared" ca="1" si="3"/>
        <v>-2.5486384827586306E-2</v>
      </c>
      <c r="Q35" s="2">
        <f t="shared" si="4"/>
        <v>38363.0861</v>
      </c>
    </row>
    <row r="36" spans="1:21">
      <c r="A36" s="34" t="s">
        <v>42</v>
      </c>
      <c r="B36" s="32" t="s">
        <v>43</v>
      </c>
      <c r="C36" s="33">
        <v>53385.233999999997</v>
      </c>
      <c r="D36" s="33">
        <v>2E-3</v>
      </c>
      <c r="E36">
        <f t="shared" si="0"/>
        <v>38803.500333623218</v>
      </c>
      <c r="F36" s="25">
        <f t="shared" si="1"/>
        <v>38803.5</v>
      </c>
      <c r="O36">
        <f t="shared" ca="1" si="3"/>
        <v>-2.5498859906536844E-2</v>
      </c>
      <c r="Q36" s="2">
        <f t="shared" si="4"/>
        <v>38366.733999999997</v>
      </c>
      <c r="U36" s="35">
        <v>2.4161297915270552E-4</v>
      </c>
    </row>
    <row r="37" spans="1:21">
      <c r="A37" s="21" t="s">
        <v>39</v>
      </c>
      <c r="B37" s="28"/>
      <c r="C37" s="29">
        <v>53386.294999999998</v>
      </c>
      <c r="D37" s="29">
        <v>4.0000000000000002E-4</v>
      </c>
      <c r="E37">
        <f t="shared" si="0"/>
        <v>38804.965380063899</v>
      </c>
      <c r="F37" s="25">
        <f t="shared" si="1"/>
        <v>38805</v>
      </c>
      <c r="G37">
        <f t="shared" ref="G37:G51" si="6">+C37-(C$7+F37*C$8)</f>
        <v>-2.5072073607589118E-2</v>
      </c>
      <c r="J37">
        <f t="shared" ref="J37:J42" si="7">+G37</f>
        <v>-2.5072073607589118E-2</v>
      </c>
      <c r="O37">
        <f t="shared" ca="1" si="3"/>
        <v>-2.5502602430221996E-2</v>
      </c>
      <c r="Q37" s="2">
        <f t="shared" si="4"/>
        <v>38367.794999999998</v>
      </c>
    </row>
    <row r="38" spans="1:21">
      <c r="A38" s="21" t="s">
        <v>39</v>
      </c>
      <c r="B38" s="28"/>
      <c r="C38" s="29">
        <v>53387.381000000001</v>
      </c>
      <c r="D38" s="29">
        <v>4.0000000000000002E-4</v>
      </c>
      <c r="E38">
        <f t="shared" si="0"/>
        <v>38806.464946920249</v>
      </c>
      <c r="F38" s="25">
        <f t="shared" si="1"/>
        <v>38806.5</v>
      </c>
      <c r="G38">
        <f t="shared" si="6"/>
        <v>-2.5385760200151708E-2</v>
      </c>
      <c r="J38">
        <f t="shared" si="7"/>
        <v>-2.5385760200151708E-2</v>
      </c>
      <c r="O38">
        <f t="shared" ca="1" si="3"/>
        <v>-2.5506344953907162E-2</v>
      </c>
      <c r="Q38" s="2">
        <f t="shared" si="4"/>
        <v>38368.881000000001</v>
      </c>
    </row>
    <row r="39" spans="1:21">
      <c r="A39" s="21" t="s">
        <v>39</v>
      </c>
      <c r="B39" s="28"/>
      <c r="C39" s="29">
        <v>53407.296499999997</v>
      </c>
      <c r="D39" s="29">
        <v>5.9999999999999995E-4</v>
      </c>
      <c r="E39">
        <f t="shared" si="0"/>
        <v>38833.964600444611</v>
      </c>
      <c r="F39" s="25">
        <f t="shared" si="1"/>
        <v>38834</v>
      </c>
      <c r="G39">
        <f t="shared" si="6"/>
        <v>-2.5636681006290019E-2</v>
      </c>
      <c r="J39">
        <f t="shared" si="7"/>
        <v>-2.5636681006290019E-2</v>
      </c>
      <c r="O39">
        <f t="shared" ca="1" si="3"/>
        <v>-2.5574957888135116E-2</v>
      </c>
      <c r="Q39" s="2">
        <f t="shared" si="4"/>
        <v>38388.796499999997</v>
      </c>
    </row>
    <row r="40" spans="1:21">
      <c r="A40" s="21" t="s">
        <v>39</v>
      </c>
      <c r="B40" s="28"/>
      <c r="C40" s="29">
        <v>53408.383600000001</v>
      </c>
      <c r="D40" s="29">
        <v>6.9999999999999999E-4</v>
      </c>
      <c r="E40">
        <f t="shared" si="0"/>
        <v>38835.465686199248</v>
      </c>
      <c r="F40" s="25">
        <f t="shared" si="1"/>
        <v>38835.5</v>
      </c>
      <c r="G40">
        <f t="shared" si="6"/>
        <v>-2.4850367597537115E-2</v>
      </c>
      <c r="J40">
        <f t="shared" si="7"/>
        <v>-2.4850367597537115E-2</v>
      </c>
      <c r="O40">
        <f t="shared" ca="1" si="3"/>
        <v>-2.5578700411820282E-2</v>
      </c>
      <c r="Q40" s="2">
        <f t="shared" si="4"/>
        <v>38389.883600000001</v>
      </c>
    </row>
    <row r="41" spans="1:21">
      <c r="A41" s="55" t="s">
        <v>39</v>
      </c>
      <c r="B41" s="56"/>
      <c r="C41" s="53">
        <v>53409.469499999999</v>
      </c>
      <c r="D41" s="53">
        <v>4.0000000000000002E-4</v>
      </c>
      <c r="E41">
        <f t="shared" si="0"/>
        <v>38836.965114973929</v>
      </c>
      <c r="F41" s="25">
        <f t="shared" si="1"/>
        <v>38837</v>
      </c>
      <c r="G41">
        <f t="shared" si="6"/>
        <v>-2.5264054187573493E-2</v>
      </c>
      <c r="J41">
        <f t="shared" si="7"/>
        <v>-2.5264054187573493E-2</v>
      </c>
      <c r="O41">
        <f t="shared" ca="1" si="3"/>
        <v>-2.5582442935505434E-2</v>
      </c>
      <c r="Q41" s="2">
        <f t="shared" si="4"/>
        <v>38390.969499999999</v>
      </c>
    </row>
    <row r="42" spans="1:21">
      <c r="A42" s="55" t="s">
        <v>39</v>
      </c>
      <c r="B42" s="56"/>
      <c r="C42" s="53">
        <v>53410.556600000004</v>
      </c>
      <c r="D42" s="53">
        <v>4.3E-3</v>
      </c>
      <c r="E42">
        <f t="shared" si="0"/>
        <v>38838.466200728566</v>
      </c>
      <c r="F42" s="25">
        <f t="shared" si="1"/>
        <v>38838.5</v>
      </c>
      <c r="G42">
        <f t="shared" si="6"/>
        <v>-2.4477740771544632E-2</v>
      </c>
      <c r="J42">
        <f t="shared" si="7"/>
        <v>-2.4477740771544632E-2</v>
      </c>
      <c r="O42">
        <f t="shared" ca="1" si="3"/>
        <v>-2.55861854591906E-2</v>
      </c>
      <c r="Q42" s="2">
        <f t="shared" si="4"/>
        <v>38392.056600000004</v>
      </c>
    </row>
    <row r="43" spans="1:21">
      <c r="A43" s="76" t="s">
        <v>170</v>
      </c>
      <c r="B43" s="78" t="s">
        <v>33</v>
      </c>
      <c r="C43" s="77">
        <v>53446.403599999998</v>
      </c>
      <c r="D43" s="77" t="s">
        <v>68</v>
      </c>
      <c r="E43">
        <f t="shared" si="0"/>
        <v>38887.964334337463</v>
      </c>
      <c r="F43" s="25">
        <f t="shared" si="1"/>
        <v>38888</v>
      </c>
      <c r="G43">
        <f t="shared" si="6"/>
        <v>-2.5829398240603041E-2</v>
      </c>
      <c r="I43">
        <f>+G43</f>
        <v>-2.5829398240603041E-2</v>
      </c>
      <c r="O43">
        <f t="shared" ca="1" si="3"/>
        <v>-2.5709688740800915E-2</v>
      </c>
      <c r="Q43" s="2">
        <f t="shared" si="4"/>
        <v>38427.903599999998</v>
      </c>
    </row>
    <row r="44" spans="1:21">
      <c r="A44" s="57" t="s">
        <v>49</v>
      </c>
      <c r="B44" s="25"/>
      <c r="C44" s="53">
        <v>53741.879500000003</v>
      </c>
      <c r="D44" s="53">
        <v>2.9999999999999997E-4</v>
      </c>
      <c r="E44">
        <f t="shared" si="0"/>
        <v>39295.962369777335</v>
      </c>
      <c r="F44" s="25">
        <f t="shared" si="1"/>
        <v>39296</v>
      </c>
      <c r="G44">
        <f t="shared" si="6"/>
        <v>-2.725215060490882E-2</v>
      </c>
      <c r="K44">
        <f>+G44</f>
        <v>-2.725215060490882E-2</v>
      </c>
      <c r="O44">
        <f t="shared" ca="1" si="3"/>
        <v>-2.6727655183164736E-2</v>
      </c>
      <c r="Q44" s="2">
        <f t="shared" si="4"/>
        <v>38723.379500000003</v>
      </c>
    </row>
    <row r="45" spans="1:21">
      <c r="A45" s="76" t="s">
        <v>183</v>
      </c>
      <c r="B45" s="78" t="s">
        <v>33</v>
      </c>
      <c r="C45" s="77">
        <v>54823.121099999997</v>
      </c>
      <c r="D45" s="77" t="s">
        <v>68</v>
      </c>
      <c r="E45">
        <f t="shared" si="0"/>
        <v>40788.958748283498</v>
      </c>
      <c r="F45" s="25">
        <f t="shared" si="1"/>
        <v>40789</v>
      </c>
      <c r="G45">
        <f t="shared" si="6"/>
        <v>-2.987486948404694E-2</v>
      </c>
      <c r="I45">
        <f>+G45</f>
        <v>-2.987486948404694E-2</v>
      </c>
      <c r="O45">
        <f t="shared" ca="1" si="3"/>
        <v>-3.0452713757795111E-2</v>
      </c>
      <c r="Q45" s="2">
        <f t="shared" si="4"/>
        <v>39804.621099999997</v>
      </c>
    </row>
    <row r="46" spans="1:21">
      <c r="A46" s="58" t="s">
        <v>55</v>
      </c>
      <c r="B46" s="59" t="s">
        <v>43</v>
      </c>
      <c r="C46" s="58">
        <v>54830.363799999999</v>
      </c>
      <c r="D46" s="58">
        <v>4.0000000000000002E-4</v>
      </c>
      <c r="E46">
        <f t="shared" si="0"/>
        <v>40798.959588864003</v>
      </c>
      <c r="F46" s="25">
        <f t="shared" si="1"/>
        <v>40799</v>
      </c>
      <c r="G46">
        <f t="shared" si="6"/>
        <v>-2.9266113415360451E-2</v>
      </c>
      <c r="J46">
        <f>+G46</f>
        <v>-2.9266113415360451E-2</v>
      </c>
      <c r="O46">
        <f t="shared" ca="1" si="3"/>
        <v>-3.0477663915696188E-2</v>
      </c>
      <c r="Q46" s="2">
        <f t="shared" si="4"/>
        <v>39811.863799999999</v>
      </c>
    </row>
    <row r="47" spans="1:21">
      <c r="A47" s="58" t="s">
        <v>55</v>
      </c>
      <c r="B47" s="59" t="s">
        <v>43</v>
      </c>
      <c r="C47" s="58">
        <v>54843.4</v>
      </c>
      <c r="D47" s="58">
        <v>1.4E-3</v>
      </c>
      <c r="E47">
        <f t="shared" si="0"/>
        <v>40816.960190569931</v>
      </c>
      <c r="F47" s="25">
        <f t="shared" si="1"/>
        <v>40817</v>
      </c>
      <c r="G47">
        <f t="shared" si="6"/>
        <v>-2.8830352493969258E-2</v>
      </c>
      <c r="J47">
        <f>+G47</f>
        <v>-2.8830352493969258E-2</v>
      </c>
      <c r="O47">
        <f t="shared" ca="1" si="3"/>
        <v>-3.052257419991812E-2</v>
      </c>
      <c r="Q47" s="2">
        <f t="shared" si="4"/>
        <v>39824.9</v>
      </c>
    </row>
    <row r="48" spans="1:21">
      <c r="A48" s="58" t="s">
        <v>55</v>
      </c>
      <c r="B48" s="59" t="s">
        <v>43</v>
      </c>
      <c r="C48" s="58">
        <v>54856.436099999999</v>
      </c>
      <c r="D48" s="58">
        <v>8.0000000000000004E-4</v>
      </c>
      <c r="E48">
        <f t="shared" si="0"/>
        <v>40834.960654194198</v>
      </c>
      <c r="F48" s="25">
        <f t="shared" si="1"/>
        <v>40835</v>
      </c>
      <c r="G48">
        <f t="shared" si="6"/>
        <v>-2.8494591570051853E-2</v>
      </c>
      <c r="J48">
        <f>+G48</f>
        <v>-2.8494591570051853E-2</v>
      </c>
      <c r="O48">
        <f t="shared" ca="1" si="3"/>
        <v>-3.0567484484140053E-2</v>
      </c>
      <c r="Q48" s="2">
        <f t="shared" si="4"/>
        <v>39837.936099999999</v>
      </c>
    </row>
    <row r="49" spans="1:17">
      <c r="A49" s="53" t="s">
        <v>51</v>
      </c>
      <c r="B49" s="54" t="s">
        <v>43</v>
      </c>
      <c r="C49" s="53">
        <v>54884.674899999998</v>
      </c>
      <c r="D49" s="53">
        <v>4.0000000000000002E-4</v>
      </c>
      <c r="E49">
        <f t="shared" si="0"/>
        <v>40873.953258745634</v>
      </c>
      <c r="F49" s="25">
        <f t="shared" si="1"/>
        <v>40874</v>
      </c>
      <c r="G49">
        <f t="shared" si="6"/>
        <v>-3.3850442894618027E-2</v>
      </c>
      <c r="K49">
        <f>+G49</f>
        <v>-3.3850442894618027E-2</v>
      </c>
      <c r="O49">
        <f t="shared" ca="1" si="3"/>
        <v>-3.0664790099954237E-2</v>
      </c>
      <c r="Q49" s="2">
        <f t="shared" si="4"/>
        <v>39866.174899999998</v>
      </c>
    </row>
    <row r="50" spans="1:17">
      <c r="A50" s="60" t="s">
        <v>54</v>
      </c>
      <c r="B50" s="54" t="s">
        <v>43</v>
      </c>
      <c r="C50" s="53">
        <v>55545.880400000002</v>
      </c>
      <c r="D50" s="53">
        <v>5.0000000000000001E-4</v>
      </c>
      <c r="E50">
        <f t="shared" si="0"/>
        <v>41786.956806656075</v>
      </c>
      <c r="F50" s="25">
        <f t="shared" si="1"/>
        <v>41787</v>
      </c>
      <c r="G50">
        <f t="shared" si="6"/>
        <v>-3.1281013776606414E-2</v>
      </c>
      <c r="K50">
        <f>+G50</f>
        <v>-3.1281013776606414E-2</v>
      </c>
      <c r="O50">
        <f t="shared" ca="1" si="3"/>
        <v>-3.2942739516322303E-2</v>
      </c>
      <c r="Q50" s="2">
        <f t="shared" si="4"/>
        <v>40527.380400000002</v>
      </c>
    </row>
    <row r="51" spans="1:17">
      <c r="A51" s="61" t="s">
        <v>56</v>
      </c>
      <c r="B51" s="61"/>
      <c r="C51" s="62">
        <v>55578.47</v>
      </c>
      <c r="D51" s="62">
        <v>1.1999999999999999E-3</v>
      </c>
      <c r="E51">
        <f t="shared" si="0"/>
        <v>41831.95706818594</v>
      </c>
      <c r="F51" s="25">
        <f t="shared" si="1"/>
        <v>41832</v>
      </c>
      <c r="G51">
        <f t="shared" si="6"/>
        <v>-3.1091611468582414E-2</v>
      </c>
      <c r="J51">
        <f>+G51</f>
        <v>-3.1091611468582414E-2</v>
      </c>
      <c r="O51">
        <f t="shared" ca="1" si="3"/>
        <v>-3.3055015226877135E-2</v>
      </c>
      <c r="Q51" s="2">
        <f t="shared" si="4"/>
        <v>40559.97</v>
      </c>
    </row>
    <row r="52" spans="1:17">
      <c r="A52" s="80" t="s">
        <v>0</v>
      </c>
      <c r="B52" s="81" t="s">
        <v>33</v>
      </c>
      <c r="C52" s="82">
        <v>57384.636100000003</v>
      </c>
      <c r="D52" s="82">
        <v>3.0999999999999999E-3</v>
      </c>
      <c r="E52">
        <f>+(C52-C$7)/C$8</f>
        <v>44325.941249224314</v>
      </c>
      <c r="F52" s="25">
        <f t="shared" si="1"/>
        <v>44326</v>
      </c>
      <c r="G52">
        <f>+C52-(C$7+F52*C$8)</f>
        <v>-4.2547847813693807E-2</v>
      </c>
      <c r="K52">
        <f>+G52</f>
        <v>-4.2547847813693807E-2</v>
      </c>
      <c r="O52">
        <f ca="1">+C$11+C$12*F52</f>
        <v>-3.9277584607405033E-2</v>
      </c>
      <c r="Q52" s="2">
        <f>+C52-15018.5</f>
        <v>42366.136100000003</v>
      </c>
    </row>
    <row r="53" spans="1:17">
      <c r="C53" s="29"/>
      <c r="D53" s="29"/>
    </row>
    <row r="54" spans="1:17">
      <c r="C54" s="29"/>
      <c r="D54" s="29"/>
    </row>
    <row r="55" spans="1:17">
      <c r="C55" s="29"/>
      <c r="D55" s="29"/>
    </row>
    <row r="56" spans="1:17">
      <c r="C56" s="29"/>
      <c r="D56" s="29"/>
    </row>
    <row r="57" spans="1:17">
      <c r="C57" s="29"/>
      <c r="D57" s="29"/>
    </row>
    <row r="58" spans="1:17">
      <c r="C58" s="29"/>
      <c r="D58" s="29"/>
    </row>
    <row r="59" spans="1:17">
      <c r="C59" s="29"/>
      <c r="D59" s="29"/>
    </row>
    <row r="60" spans="1:17">
      <c r="C60" s="29"/>
      <c r="D60" s="29"/>
    </row>
    <row r="61" spans="1:17">
      <c r="C61" s="29"/>
      <c r="D61" s="29"/>
    </row>
  </sheetData>
  <phoneticPr fontId="8" type="noConversion"/>
  <hyperlinks>
    <hyperlink ref="H412" r:id="rId1" display="http://vsolj.cetus-net.org/bulletin.html"/>
    <hyperlink ref="H405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52"/>
  <sheetViews>
    <sheetView workbookViewId="0"/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32</v>
      </c>
    </row>
    <row r="2" spans="1:4">
      <c r="A2" t="s">
        <v>28</v>
      </c>
    </row>
    <row r="3" spans="1:4" ht="13.5" thickBot="1"/>
    <row r="4" spans="1:4" ht="13.5" thickBot="1">
      <c r="A4" s="8" t="s">
        <v>1</v>
      </c>
      <c r="C4" s="11">
        <v>25283.384999999998</v>
      </c>
      <c r="D4" s="12">
        <v>0.72499999999999998</v>
      </c>
    </row>
    <row r="6" spans="1:4">
      <c r="A6" s="8" t="s">
        <v>2</v>
      </c>
    </row>
    <row r="7" spans="1:4">
      <c r="A7" t="s">
        <v>3</v>
      </c>
      <c r="C7">
        <f>+C4</f>
        <v>25283.384999999998</v>
      </c>
    </row>
    <row r="8" spans="1:4">
      <c r="A8" t="s">
        <v>4</v>
      </c>
      <c r="C8">
        <f>+D4</f>
        <v>0.72499999999999998</v>
      </c>
    </row>
    <row r="10" spans="1:4" ht="13.5" thickBot="1">
      <c r="C10" s="7" t="s">
        <v>23</v>
      </c>
      <c r="D10" s="7" t="s">
        <v>24</v>
      </c>
    </row>
    <row r="11" spans="1:4">
      <c r="A11" t="s">
        <v>17</v>
      </c>
      <c r="C11">
        <f>INTERCEPT(G21:G32,F21:F32)</f>
        <v>-1.4266558754805085E-2</v>
      </c>
      <c r="D11" s="6"/>
    </row>
    <row r="12" spans="1:4">
      <c r="A12" t="s">
        <v>18</v>
      </c>
      <c r="C12">
        <f>SLOPE(G21:G32,F21:F32)</f>
        <v>1.89622808680647E-6</v>
      </c>
      <c r="D12" s="6"/>
    </row>
    <row r="13" spans="1:4">
      <c r="A13" t="s">
        <v>22</v>
      </c>
      <c r="C13" s="6" t="s">
        <v>15</v>
      </c>
      <c r="D13" s="6"/>
    </row>
    <row r="14" spans="1:4">
      <c r="A14" t="s">
        <v>27</v>
      </c>
    </row>
    <row r="15" spans="1:4">
      <c r="A15" s="3" t="s">
        <v>19</v>
      </c>
      <c r="C15">
        <f>+C7+C11</f>
        <v>25283.370733441243</v>
      </c>
    </row>
    <row r="16" spans="1:4">
      <c r="A16" s="8" t="s">
        <v>5</v>
      </c>
      <c r="C16">
        <f>+C8+C12</f>
        <v>0.72500189622808675</v>
      </c>
    </row>
    <row r="17" spans="1:17" ht="13.5" thickBot="1"/>
    <row r="18" spans="1:17">
      <c r="A18" s="8" t="s">
        <v>6</v>
      </c>
      <c r="C18" s="4">
        <f>+C15</f>
        <v>25283.370733441243</v>
      </c>
      <c r="D18" s="5">
        <f>+C16</f>
        <v>0.72500189622808675</v>
      </c>
    </row>
    <row r="19" spans="1:17" ht="13.5" thickTop="1"/>
    <row r="20" spans="1:17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37</v>
      </c>
      <c r="J20" s="10" t="s">
        <v>20</v>
      </c>
      <c r="K20" s="10" t="s">
        <v>21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16</v>
      </c>
    </row>
    <row r="21" spans="1:17">
      <c r="A21" s="13" t="s">
        <v>13</v>
      </c>
      <c r="B21" s="14" t="s">
        <v>33</v>
      </c>
      <c r="C21" s="15">
        <f>+C4</f>
        <v>25283.384999999998</v>
      </c>
      <c r="D21" s="14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+C$11+C$12*F21</f>
        <v>-1.4266558754805085E-2</v>
      </c>
      <c r="Q21" s="2">
        <f>+C21-15018.5</f>
        <v>10264.884999999998</v>
      </c>
    </row>
    <row r="22" spans="1:17">
      <c r="A22" s="16" t="s">
        <v>34</v>
      </c>
      <c r="B22" s="17"/>
      <c r="C22" s="18">
        <v>51899.494500000001</v>
      </c>
      <c r="D22" s="19">
        <v>2.9999999999999997E-4</v>
      </c>
      <c r="E22">
        <f t="shared" ref="E22:E31" si="0">+(C22-C$7)/C$8</f>
        <v>36711.875172413798</v>
      </c>
      <c r="F22">
        <f t="shared" ref="F22:F31" si="1">ROUND(2*E22,0)/2</f>
        <v>36712</v>
      </c>
      <c r="G22">
        <f t="shared" ref="G22:G31" si="2">+C22-(C$7+F22*C$8)</f>
        <v>-9.0499999998428393E-2</v>
      </c>
      <c r="I22">
        <f t="shared" ref="I22:I31" si="3">+G22</f>
        <v>-9.0499999998428393E-2</v>
      </c>
      <c r="O22">
        <f t="shared" ref="O22:O31" si="4">+C$11+C$12*F22</f>
        <v>5.5347766768034039E-2</v>
      </c>
      <c r="Q22" s="2">
        <f t="shared" ref="Q22:Q31" si="5">+C22-15018.5</f>
        <v>36880.994500000001</v>
      </c>
    </row>
    <row r="23" spans="1:17">
      <c r="A23" s="20" t="s">
        <v>35</v>
      </c>
      <c r="B23" s="17"/>
      <c r="C23" s="18">
        <v>51901.665800000002</v>
      </c>
      <c r="D23" s="19">
        <v>1.5E-3</v>
      </c>
      <c r="E23">
        <f t="shared" si="0"/>
        <v>36714.870068965523</v>
      </c>
      <c r="F23">
        <f t="shared" si="1"/>
        <v>36715</v>
      </c>
      <c r="G23">
        <f t="shared" si="2"/>
        <v>-9.4199999992270023E-2</v>
      </c>
      <c r="I23">
        <f t="shared" si="3"/>
        <v>-9.4199999992270023E-2</v>
      </c>
      <c r="O23">
        <f t="shared" si="4"/>
        <v>5.5353455452294455E-2</v>
      </c>
      <c r="Q23" s="2">
        <f t="shared" si="5"/>
        <v>36883.165800000002</v>
      </c>
    </row>
    <row r="24" spans="1:17">
      <c r="A24" s="20" t="s">
        <v>35</v>
      </c>
      <c r="B24" s="17"/>
      <c r="C24" s="18">
        <v>51925.563900000001</v>
      </c>
      <c r="D24" s="19">
        <v>1E-4</v>
      </c>
      <c r="E24">
        <f t="shared" si="0"/>
        <v>36747.832965517249</v>
      </c>
      <c r="F24">
        <f t="shared" si="1"/>
        <v>36748</v>
      </c>
      <c r="G24">
        <f t="shared" si="2"/>
        <v>-0.12109999999665888</v>
      </c>
      <c r="I24">
        <f t="shared" si="3"/>
        <v>-0.12109999999665888</v>
      </c>
      <c r="O24">
        <f t="shared" si="4"/>
        <v>5.5416030979159071E-2</v>
      </c>
      <c r="Q24" s="2">
        <f t="shared" si="5"/>
        <v>36907.063900000001</v>
      </c>
    </row>
    <row r="25" spans="1:17">
      <c r="A25" s="20" t="s">
        <v>35</v>
      </c>
      <c r="B25" s="17"/>
      <c r="C25" s="18">
        <v>52371.320800000001</v>
      </c>
      <c r="D25" s="19">
        <v>8.0000000000000004E-4</v>
      </c>
      <c r="E25">
        <f t="shared" si="0"/>
        <v>37362.670068965519</v>
      </c>
      <c r="F25">
        <f t="shared" si="1"/>
        <v>37362.5</v>
      </c>
      <c r="G25">
        <f t="shared" si="2"/>
        <v>0.12330000000656582</v>
      </c>
      <c r="I25">
        <f t="shared" si="3"/>
        <v>0.12330000000656582</v>
      </c>
      <c r="O25">
        <f t="shared" si="4"/>
        <v>5.6581263138501654E-2</v>
      </c>
      <c r="Q25" s="2">
        <f t="shared" si="5"/>
        <v>37352.820800000001</v>
      </c>
    </row>
    <row r="26" spans="1:17">
      <c r="A26" s="20" t="s">
        <v>35</v>
      </c>
      <c r="B26" s="17"/>
      <c r="C26" s="18">
        <v>52680.551899999999</v>
      </c>
      <c r="D26" s="19">
        <v>4.0000000000000002E-4</v>
      </c>
      <c r="E26">
        <f t="shared" si="0"/>
        <v>37789.195724137935</v>
      </c>
      <c r="F26">
        <f t="shared" si="1"/>
        <v>37789</v>
      </c>
      <c r="G26">
        <f t="shared" si="2"/>
        <v>0.14190000000235159</v>
      </c>
      <c r="I26">
        <f t="shared" si="3"/>
        <v>0.14190000000235159</v>
      </c>
      <c r="O26">
        <f t="shared" si="4"/>
        <v>5.7390004417524614E-2</v>
      </c>
      <c r="Q26" s="2">
        <f t="shared" si="5"/>
        <v>37662.051899999999</v>
      </c>
    </row>
    <row r="27" spans="1:17">
      <c r="A27" s="20" t="s">
        <v>35</v>
      </c>
      <c r="B27" s="17"/>
      <c r="C27" s="18">
        <v>52691.415399999998</v>
      </c>
      <c r="D27" s="19">
        <v>1.8E-3</v>
      </c>
      <c r="E27">
        <f t="shared" si="0"/>
        <v>37804.179862068966</v>
      </c>
      <c r="F27">
        <f t="shared" si="1"/>
        <v>37804</v>
      </c>
      <c r="G27">
        <f t="shared" si="2"/>
        <v>0.13040000000182772</v>
      </c>
      <c r="I27">
        <f t="shared" si="3"/>
        <v>0.13040000000182772</v>
      </c>
      <c r="O27">
        <f t="shared" si="4"/>
        <v>5.7418447838826707E-2</v>
      </c>
      <c r="Q27" s="2">
        <f t="shared" si="5"/>
        <v>37672.915399999998</v>
      </c>
    </row>
    <row r="28" spans="1:17">
      <c r="A28" s="20" t="s">
        <v>35</v>
      </c>
      <c r="B28" s="17"/>
      <c r="C28" s="18">
        <v>52707.351499999997</v>
      </c>
      <c r="D28" s="19">
        <v>2.2000000000000001E-3</v>
      </c>
      <c r="E28">
        <f t="shared" si="0"/>
        <v>37826.160689655175</v>
      </c>
      <c r="F28">
        <f t="shared" si="1"/>
        <v>37826</v>
      </c>
      <c r="G28">
        <f t="shared" si="2"/>
        <v>0.11649999999644933</v>
      </c>
      <c r="I28">
        <f t="shared" si="3"/>
        <v>0.11649999999644933</v>
      </c>
      <c r="O28">
        <f t="shared" si="4"/>
        <v>5.7460164856736447E-2</v>
      </c>
      <c r="Q28" s="2">
        <f t="shared" si="5"/>
        <v>37688.851499999997</v>
      </c>
    </row>
    <row r="29" spans="1:17">
      <c r="A29" s="20" t="s">
        <v>35</v>
      </c>
      <c r="B29" s="17"/>
      <c r="C29" s="18">
        <v>52716.400500000003</v>
      </c>
      <c r="D29" s="19">
        <v>1.1999999999999999E-3</v>
      </c>
      <c r="E29">
        <f t="shared" si="0"/>
        <v>37838.642068965528</v>
      </c>
      <c r="F29">
        <f t="shared" si="1"/>
        <v>37838.5</v>
      </c>
      <c r="G29">
        <f t="shared" si="2"/>
        <v>0.10300000000279397</v>
      </c>
      <c r="I29">
        <f t="shared" si="3"/>
        <v>0.10300000000279397</v>
      </c>
      <c r="O29">
        <f t="shared" si="4"/>
        <v>5.7483867707821525E-2</v>
      </c>
      <c r="Q29" s="2">
        <f t="shared" si="5"/>
        <v>37697.900500000003</v>
      </c>
    </row>
    <row r="30" spans="1:17">
      <c r="A30" s="21" t="s">
        <v>36</v>
      </c>
      <c r="B30" s="22"/>
      <c r="C30" s="23">
        <v>53007.534800000001</v>
      </c>
      <c r="D30" s="24">
        <v>2.3999999999999998E-3</v>
      </c>
      <c r="E30">
        <f t="shared" si="0"/>
        <v>38240.206620689663</v>
      </c>
      <c r="F30">
        <f t="shared" si="1"/>
        <v>38240</v>
      </c>
      <c r="G30">
        <f t="shared" si="2"/>
        <v>0.14980000000650762</v>
      </c>
      <c r="I30">
        <f t="shared" si="3"/>
        <v>0.14980000000650762</v>
      </c>
      <c r="O30">
        <f t="shared" si="4"/>
        <v>5.8245203284674328E-2</v>
      </c>
      <c r="Q30" s="2">
        <f t="shared" si="5"/>
        <v>37989.034800000001</v>
      </c>
    </row>
    <row r="31" spans="1:17">
      <c r="A31" s="21" t="s">
        <v>36</v>
      </c>
      <c r="B31" s="22"/>
      <c r="C31" s="23">
        <v>53055.330699999999</v>
      </c>
      <c r="D31" s="24">
        <v>1.6999999999999999E-3</v>
      </c>
      <c r="E31">
        <f t="shared" si="0"/>
        <v>38306.132000000005</v>
      </c>
      <c r="F31">
        <f t="shared" si="1"/>
        <v>38306</v>
      </c>
      <c r="G31">
        <f t="shared" si="2"/>
        <v>9.5699999998032581E-2</v>
      </c>
      <c r="I31">
        <f t="shared" si="3"/>
        <v>9.5699999998032581E-2</v>
      </c>
      <c r="O31">
        <f t="shared" si="4"/>
        <v>5.8370354338403548E-2</v>
      </c>
      <c r="Q31" s="2">
        <f t="shared" si="5"/>
        <v>38036.830699999999</v>
      </c>
    </row>
    <row r="32" spans="1:17">
      <c r="D32" s="6"/>
      <c r="Q32" s="2"/>
    </row>
    <row r="33" spans="4:17">
      <c r="D33" s="6"/>
      <c r="Q33" s="2"/>
    </row>
    <row r="34" spans="4:17">
      <c r="D34" s="6"/>
    </row>
    <row r="35" spans="4:17">
      <c r="D35" s="6"/>
    </row>
    <row r="36" spans="4:17">
      <c r="D36" s="6"/>
    </row>
    <row r="37" spans="4:17">
      <c r="D37" s="6"/>
    </row>
    <row r="38" spans="4:17">
      <c r="D38" s="6"/>
    </row>
    <row r="39" spans="4:17">
      <c r="D39" s="6"/>
    </row>
    <row r="40" spans="4:17">
      <c r="D40" s="6"/>
    </row>
    <row r="41" spans="4:17">
      <c r="D41" s="6"/>
    </row>
    <row r="42" spans="4:17">
      <c r="D42" s="6"/>
    </row>
    <row r="43" spans="4:17">
      <c r="D43" s="6"/>
    </row>
    <row r="44" spans="4:17">
      <c r="D44" s="6"/>
    </row>
    <row r="45" spans="4:17">
      <c r="D45" s="6"/>
    </row>
    <row r="46" spans="4:17">
      <c r="D46" s="6"/>
    </row>
    <row r="47" spans="4:17">
      <c r="D47" s="6"/>
    </row>
    <row r="48" spans="4:17">
      <c r="D48" s="6"/>
    </row>
    <row r="49" spans="4:4">
      <c r="D49" s="6"/>
    </row>
    <row r="50" spans="4:4">
      <c r="D50" s="6"/>
    </row>
    <row r="51" spans="4:4">
      <c r="D51" s="6"/>
    </row>
    <row r="52" spans="4:4">
      <c r="D52" s="6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52"/>
  <sheetViews>
    <sheetView workbookViewId="0"/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32</v>
      </c>
    </row>
    <row r="2" spans="1:4">
      <c r="A2" t="s">
        <v>28</v>
      </c>
    </row>
    <row r="3" spans="1:4" ht="13.5" thickBot="1"/>
    <row r="4" spans="1:4" ht="13.5" thickBot="1">
      <c r="A4" s="8" t="s">
        <v>1</v>
      </c>
      <c r="C4" s="11">
        <v>25283.384999999998</v>
      </c>
      <c r="D4" s="12">
        <v>0.72499999999999998</v>
      </c>
    </row>
    <row r="6" spans="1:4">
      <c r="A6" s="8" t="s">
        <v>2</v>
      </c>
    </row>
    <row r="7" spans="1:4">
      <c r="A7" t="s">
        <v>3</v>
      </c>
      <c r="C7">
        <f>+C4</f>
        <v>25283.384999999998</v>
      </c>
    </row>
    <row r="8" spans="1:4">
      <c r="A8" t="s">
        <v>4</v>
      </c>
      <c r="C8">
        <f>+D4</f>
        <v>0.72499999999999998</v>
      </c>
    </row>
    <row r="10" spans="1:4" ht="13.5" thickBot="1">
      <c r="C10" s="7" t="s">
        <v>23</v>
      </c>
      <c r="D10" s="7" t="s">
        <v>24</v>
      </c>
    </row>
    <row r="11" spans="1:4">
      <c r="A11" t="s">
        <v>17</v>
      </c>
      <c r="C11">
        <f>INTERCEPT(G22:G24,F22:F24)</f>
        <v>30.58507168016336</v>
      </c>
      <c r="D11" s="6"/>
    </row>
    <row r="12" spans="1:4">
      <c r="A12" t="s">
        <v>18</v>
      </c>
      <c r="C12">
        <f>SLOPE(G22:G24,F22:F24)</f>
        <v>-8.3558897245724923E-4</v>
      </c>
      <c r="D12" s="6"/>
    </row>
    <row r="13" spans="1:4">
      <c r="A13" t="s">
        <v>22</v>
      </c>
      <c r="C13" s="6" t="s">
        <v>15</v>
      </c>
      <c r="D13" s="6"/>
    </row>
    <row r="14" spans="1:4">
      <c r="A14" t="s">
        <v>27</v>
      </c>
    </row>
    <row r="15" spans="1:4">
      <c r="A15" s="3" t="s">
        <v>19</v>
      </c>
      <c r="C15">
        <f>+C7+C11</f>
        <v>25313.970071680164</v>
      </c>
    </row>
    <row r="16" spans="1:4">
      <c r="A16" s="8" t="s">
        <v>5</v>
      </c>
      <c r="C16">
        <f>+C8+C12</f>
        <v>0.7241644110275427</v>
      </c>
    </row>
    <row r="17" spans="1:17" ht="13.5" thickBot="1"/>
    <row r="18" spans="1:17">
      <c r="A18" s="8" t="s">
        <v>6</v>
      </c>
      <c r="C18" s="4">
        <f>+C15</f>
        <v>25313.970071680164</v>
      </c>
      <c r="D18" s="5">
        <f>+C16</f>
        <v>0.7241644110275427</v>
      </c>
    </row>
    <row r="19" spans="1:17" ht="13.5" thickTop="1"/>
    <row r="20" spans="1:17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37</v>
      </c>
      <c r="J20" s="10" t="s">
        <v>20</v>
      </c>
      <c r="K20" s="10" t="s">
        <v>21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16</v>
      </c>
    </row>
    <row r="21" spans="1:17">
      <c r="A21" s="13" t="s">
        <v>13</v>
      </c>
      <c r="B21" s="14" t="s">
        <v>33</v>
      </c>
      <c r="C21" s="15">
        <f>+C4</f>
        <v>25283.384999999998</v>
      </c>
      <c r="D21" s="14" t="s">
        <v>15</v>
      </c>
      <c r="E21">
        <f t="shared" ref="E21:E31" si="0">+(C21-C$7)/C$8</f>
        <v>0</v>
      </c>
      <c r="F21">
        <f t="shared" ref="F21:F31" si="1">ROUND(2*E21,0)/2</f>
        <v>0</v>
      </c>
      <c r="H21">
        <v>0</v>
      </c>
      <c r="O21">
        <f t="shared" ref="O21:O31" si="2">+C$11+C$12*F21</f>
        <v>30.58507168016336</v>
      </c>
      <c r="Q21" s="2">
        <f t="shared" ref="Q21:Q31" si="3">+C21-15018.5</f>
        <v>10264.884999999998</v>
      </c>
    </row>
    <row r="22" spans="1:17">
      <c r="A22" s="16" t="s">
        <v>34</v>
      </c>
      <c r="B22" s="17"/>
      <c r="C22" s="18">
        <v>51899.494500000001</v>
      </c>
      <c r="D22" s="19">
        <v>2.9999999999999997E-4</v>
      </c>
      <c r="E22">
        <f t="shared" si="0"/>
        <v>36711.875172413798</v>
      </c>
      <c r="F22">
        <f t="shared" si="1"/>
        <v>36712</v>
      </c>
      <c r="G22">
        <f t="shared" ref="G22:G31" si="4">+C22-(C$7+F22*C$8)</f>
        <v>-9.0499999998428393E-2</v>
      </c>
      <c r="I22">
        <f t="shared" ref="I22:I31" si="5">+G22</f>
        <v>-9.0499999998428393E-2</v>
      </c>
      <c r="O22">
        <f t="shared" si="2"/>
        <v>-9.1070676687174057E-2</v>
      </c>
      <c r="Q22" s="2">
        <f t="shared" si="3"/>
        <v>36880.994500000001</v>
      </c>
    </row>
    <row r="23" spans="1:17">
      <c r="A23" s="20" t="s">
        <v>35</v>
      </c>
      <c r="B23" s="17"/>
      <c r="C23" s="18">
        <v>51901.665800000002</v>
      </c>
      <c r="D23" s="19">
        <v>1.5E-3</v>
      </c>
      <c r="E23">
        <f t="shared" si="0"/>
        <v>36714.870068965523</v>
      </c>
      <c r="F23">
        <f t="shared" si="1"/>
        <v>36715</v>
      </c>
      <c r="G23">
        <f t="shared" si="4"/>
        <v>-9.4199999992270023E-2</v>
      </c>
      <c r="I23">
        <f t="shared" si="5"/>
        <v>-9.4199999992270023E-2</v>
      </c>
      <c r="O23">
        <f t="shared" si="2"/>
        <v>-9.3577443604544897E-2</v>
      </c>
      <c r="Q23" s="2">
        <f t="shared" si="3"/>
        <v>36883.165800000002</v>
      </c>
    </row>
    <row r="24" spans="1:17">
      <c r="A24" s="20" t="s">
        <v>35</v>
      </c>
      <c r="B24" s="17"/>
      <c r="C24" s="18">
        <v>51925.563900000001</v>
      </c>
      <c r="D24" s="19">
        <v>1E-4</v>
      </c>
      <c r="E24">
        <f t="shared" si="0"/>
        <v>36747.832965517249</v>
      </c>
      <c r="F24">
        <f t="shared" si="1"/>
        <v>36748</v>
      </c>
      <c r="G24">
        <f t="shared" si="4"/>
        <v>-0.12109999999665888</v>
      </c>
      <c r="I24">
        <f t="shared" si="5"/>
        <v>-0.12109999999665888</v>
      </c>
      <c r="O24">
        <f t="shared" si="2"/>
        <v>-0.12115187969563479</v>
      </c>
      <c r="Q24" s="2">
        <f t="shared" si="3"/>
        <v>36907.063900000001</v>
      </c>
    </row>
    <row r="25" spans="1:17">
      <c r="A25" s="20" t="s">
        <v>35</v>
      </c>
      <c r="B25" s="17"/>
      <c r="C25" s="18">
        <v>52371.320800000001</v>
      </c>
      <c r="D25" s="19">
        <v>8.0000000000000004E-4</v>
      </c>
      <c r="E25">
        <f t="shared" si="0"/>
        <v>37362.670068965519</v>
      </c>
      <c r="F25">
        <f t="shared" si="1"/>
        <v>37362.5</v>
      </c>
      <c r="G25">
        <f t="shared" si="4"/>
        <v>0.12330000000656582</v>
      </c>
      <c r="I25">
        <f t="shared" si="5"/>
        <v>0.12330000000656582</v>
      </c>
      <c r="O25">
        <f t="shared" si="2"/>
        <v>-0.63462130327061317</v>
      </c>
      <c r="Q25" s="2">
        <f t="shared" si="3"/>
        <v>37352.820800000001</v>
      </c>
    </row>
    <row r="26" spans="1:17">
      <c r="A26" s="20" t="s">
        <v>35</v>
      </c>
      <c r="B26" s="17"/>
      <c r="C26" s="18">
        <v>52680.551899999999</v>
      </c>
      <c r="D26" s="19">
        <v>4.0000000000000002E-4</v>
      </c>
      <c r="E26">
        <f t="shared" si="0"/>
        <v>37789.195724137935</v>
      </c>
      <c r="F26">
        <f t="shared" si="1"/>
        <v>37789</v>
      </c>
      <c r="G26">
        <f t="shared" si="4"/>
        <v>0.14190000000235159</v>
      </c>
      <c r="I26">
        <f t="shared" si="5"/>
        <v>0.14190000000235159</v>
      </c>
      <c r="O26">
        <f t="shared" si="2"/>
        <v>-0.99100000002363231</v>
      </c>
      <c r="Q26" s="2">
        <f t="shared" si="3"/>
        <v>37662.051899999999</v>
      </c>
    </row>
    <row r="27" spans="1:17">
      <c r="A27" s="20" t="s">
        <v>35</v>
      </c>
      <c r="B27" s="17"/>
      <c r="C27" s="18">
        <v>52691.415399999998</v>
      </c>
      <c r="D27" s="19">
        <v>1.8E-3</v>
      </c>
      <c r="E27">
        <f t="shared" si="0"/>
        <v>37804.179862068966</v>
      </c>
      <c r="F27">
        <f t="shared" si="1"/>
        <v>37804</v>
      </c>
      <c r="G27">
        <f t="shared" si="4"/>
        <v>0.13040000000182772</v>
      </c>
      <c r="I27">
        <f t="shared" si="5"/>
        <v>0.13040000000182772</v>
      </c>
      <c r="O27">
        <f t="shared" si="2"/>
        <v>-1.0035338346104901</v>
      </c>
      <c r="Q27" s="2">
        <f t="shared" si="3"/>
        <v>37672.915399999998</v>
      </c>
    </row>
    <row r="28" spans="1:17">
      <c r="A28" s="20" t="s">
        <v>35</v>
      </c>
      <c r="B28" s="17"/>
      <c r="C28" s="18">
        <v>52707.351499999997</v>
      </c>
      <c r="D28" s="19">
        <v>2.2000000000000001E-3</v>
      </c>
      <c r="E28">
        <f t="shared" si="0"/>
        <v>37826.160689655175</v>
      </c>
      <c r="F28">
        <f t="shared" si="1"/>
        <v>37826</v>
      </c>
      <c r="G28">
        <f t="shared" si="4"/>
        <v>0.11649999999644933</v>
      </c>
      <c r="I28">
        <f t="shared" si="5"/>
        <v>0.11649999999644933</v>
      </c>
      <c r="O28">
        <f t="shared" si="2"/>
        <v>-1.02191679200455</v>
      </c>
      <c r="Q28" s="2">
        <f t="shared" si="3"/>
        <v>37688.851499999997</v>
      </c>
    </row>
    <row r="29" spans="1:17">
      <c r="A29" s="20" t="s">
        <v>35</v>
      </c>
      <c r="B29" s="17"/>
      <c r="C29" s="18">
        <v>52716.400500000003</v>
      </c>
      <c r="D29" s="19">
        <v>1.1999999999999999E-3</v>
      </c>
      <c r="E29">
        <f t="shared" si="0"/>
        <v>37838.642068965528</v>
      </c>
      <c r="F29">
        <f t="shared" si="1"/>
        <v>37838.5</v>
      </c>
      <c r="G29">
        <f t="shared" si="4"/>
        <v>0.10300000000279397</v>
      </c>
      <c r="I29">
        <f t="shared" si="5"/>
        <v>0.10300000000279397</v>
      </c>
      <c r="O29">
        <f t="shared" si="2"/>
        <v>-1.0323616541602654</v>
      </c>
      <c r="Q29" s="2">
        <f t="shared" si="3"/>
        <v>37697.900500000003</v>
      </c>
    </row>
    <row r="30" spans="1:17">
      <c r="A30" s="21" t="s">
        <v>36</v>
      </c>
      <c r="B30" s="22"/>
      <c r="C30" s="23">
        <v>53007.534800000001</v>
      </c>
      <c r="D30" s="24">
        <v>2.3999999999999998E-3</v>
      </c>
      <c r="E30">
        <f t="shared" si="0"/>
        <v>38240.206620689663</v>
      </c>
      <c r="F30">
        <f t="shared" si="1"/>
        <v>38240</v>
      </c>
      <c r="G30">
        <f t="shared" si="4"/>
        <v>0.14980000000650762</v>
      </c>
      <c r="I30">
        <f t="shared" si="5"/>
        <v>0.14980000000650762</v>
      </c>
      <c r="O30">
        <f t="shared" si="2"/>
        <v>-1.3678506266018502</v>
      </c>
      <c r="Q30" s="2">
        <f t="shared" si="3"/>
        <v>37989.034800000001</v>
      </c>
    </row>
    <row r="31" spans="1:17">
      <c r="A31" s="21" t="s">
        <v>36</v>
      </c>
      <c r="B31" s="22"/>
      <c r="C31" s="23">
        <v>53055.330699999999</v>
      </c>
      <c r="D31" s="24">
        <v>1.6999999999999999E-3</v>
      </c>
      <c r="E31">
        <f t="shared" si="0"/>
        <v>38306.132000000005</v>
      </c>
      <c r="F31">
        <f t="shared" si="1"/>
        <v>38306</v>
      </c>
      <c r="G31">
        <f t="shared" si="4"/>
        <v>9.5699999998032581E-2</v>
      </c>
      <c r="I31">
        <f t="shared" si="5"/>
        <v>9.5699999998032581E-2</v>
      </c>
      <c r="O31">
        <f t="shared" si="2"/>
        <v>-1.42299949878403</v>
      </c>
      <c r="Q31" s="2">
        <f t="shared" si="3"/>
        <v>38036.830699999999</v>
      </c>
    </row>
    <row r="32" spans="1:17">
      <c r="D32" s="6"/>
      <c r="Q32" s="2"/>
    </row>
    <row r="33" spans="4:17">
      <c r="D33" s="6"/>
      <c r="Q33" s="2"/>
    </row>
    <row r="34" spans="4:17">
      <c r="D34" s="6"/>
    </row>
    <row r="35" spans="4:17">
      <c r="D35" s="6"/>
    </row>
    <row r="36" spans="4:17">
      <c r="D36" s="6"/>
    </row>
    <row r="37" spans="4:17">
      <c r="D37" s="6"/>
    </row>
    <row r="38" spans="4:17">
      <c r="D38" s="6"/>
    </row>
    <row r="39" spans="4:17">
      <c r="D39" s="6"/>
    </row>
    <row r="40" spans="4:17">
      <c r="D40" s="6"/>
    </row>
    <row r="41" spans="4:17">
      <c r="D41" s="6"/>
    </row>
    <row r="42" spans="4:17">
      <c r="D42" s="6"/>
    </row>
    <row r="43" spans="4:17">
      <c r="D43" s="6"/>
    </row>
    <row r="44" spans="4:17">
      <c r="D44" s="6"/>
    </row>
    <row r="45" spans="4:17">
      <c r="D45" s="6"/>
    </row>
    <row r="46" spans="4:17">
      <c r="D46" s="6"/>
    </row>
    <row r="47" spans="4:17">
      <c r="D47" s="6"/>
    </row>
    <row r="48" spans="4:17">
      <c r="D48" s="6"/>
    </row>
    <row r="49" spans="4:4">
      <c r="D49" s="6"/>
    </row>
    <row r="50" spans="4:4">
      <c r="D50" s="6"/>
    </row>
    <row r="51" spans="4:4">
      <c r="D51" s="6"/>
    </row>
    <row r="52" spans="4:4">
      <c r="D52" s="6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52"/>
  <sheetViews>
    <sheetView workbookViewId="0"/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32</v>
      </c>
    </row>
    <row r="2" spans="1:4">
      <c r="A2" t="s">
        <v>28</v>
      </c>
    </row>
    <row r="3" spans="1:4" ht="13.5" thickBot="1"/>
    <row r="4" spans="1:4" ht="13.5" thickBot="1">
      <c r="A4" s="8" t="s">
        <v>1</v>
      </c>
      <c r="C4" s="11">
        <v>25283.384999999998</v>
      </c>
      <c r="D4" s="12">
        <v>0.72499999999999998</v>
      </c>
    </row>
    <row r="6" spans="1:4">
      <c r="A6" s="8" t="s">
        <v>2</v>
      </c>
    </row>
    <row r="7" spans="1:4">
      <c r="A7" t="s">
        <v>3</v>
      </c>
      <c r="C7">
        <f>+C4</f>
        <v>25283.384999999998</v>
      </c>
    </row>
    <row r="8" spans="1:4">
      <c r="A8" t="s">
        <v>4</v>
      </c>
      <c r="C8">
        <v>0.7241644110275427</v>
      </c>
    </row>
    <row r="10" spans="1:4" ht="13.5" thickBot="1">
      <c r="C10" s="7" t="s">
        <v>23</v>
      </c>
      <c r="D10" s="7" t="s">
        <v>24</v>
      </c>
    </row>
    <row r="11" spans="1:4">
      <c r="A11" t="s">
        <v>17</v>
      </c>
      <c r="C11">
        <f>INTERCEPT(G25:G924,F25:F924)</f>
        <v>-1.6875120836101025</v>
      </c>
      <c r="D11" s="6"/>
    </row>
    <row r="12" spans="1:4">
      <c r="A12" t="s">
        <v>18</v>
      </c>
      <c r="C12">
        <f>SLOPE(G25:G924,F25:F924)</f>
        <v>4.0825952224773115E-5</v>
      </c>
      <c r="D12" s="6"/>
    </row>
    <row r="13" spans="1:4">
      <c r="A13" t="s">
        <v>22</v>
      </c>
      <c r="C13" s="6" t="s">
        <v>15</v>
      </c>
      <c r="D13" s="6"/>
    </row>
    <row r="14" spans="1:4">
      <c r="A14" t="s">
        <v>27</v>
      </c>
    </row>
    <row r="15" spans="1:4">
      <c r="A15" s="3" t="s">
        <v>19</v>
      </c>
      <c r="C15">
        <f>+C7+C11</f>
        <v>25281.69748791639</v>
      </c>
    </row>
    <row r="16" spans="1:4">
      <c r="A16" s="8" t="s">
        <v>5</v>
      </c>
      <c r="C16">
        <f>+C8+C12</f>
        <v>0.72420523697976746</v>
      </c>
    </row>
    <row r="17" spans="1:17" ht="13.5" thickBot="1"/>
    <row r="18" spans="1:17">
      <c r="A18" s="8" t="s">
        <v>6</v>
      </c>
      <c r="C18" s="4">
        <f>+C15</f>
        <v>25281.69748791639</v>
      </c>
      <c r="D18" s="5">
        <f>+C16</f>
        <v>0.72420523697976746</v>
      </c>
    </row>
    <row r="19" spans="1:17" ht="13.5" thickTop="1"/>
    <row r="20" spans="1:17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37</v>
      </c>
      <c r="J20" s="10" t="s">
        <v>20</v>
      </c>
      <c r="K20" s="10" t="s">
        <v>21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16</v>
      </c>
    </row>
    <row r="21" spans="1:17">
      <c r="A21" s="13" t="s">
        <v>13</v>
      </c>
      <c r="B21" s="14" t="s">
        <v>33</v>
      </c>
      <c r="C21" s="15">
        <f>+C4</f>
        <v>25283.384999999998</v>
      </c>
      <c r="D21" s="14" t="s">
        <v>15</v>
      </c>
      <c r="E21">
        <f t="shared" ref="E21:E31" si="0">+(C21-C$7)/C$8</f>
        <v>0</v>
      </c>
      <c r="F21">
        <f t="shared" ref="F21:F31" si="1">ROUND(2*E21,0)/2</f>
        <v>0</v>
      </c>
      <c r="H21">
        <v>0</v>
      </c>
      <c r="Q21" s="2">
        <f t="shared" ref="Q21:Q31" si="2">+C21-15018.5</f>
        <v>10264.884999999998</v>
      </c>
    </row>
    <row r="22" spans="1:17">
      <c r="A22" s="16" t="s">
        <v>34</v>
      </c>
      <c r="B22" s="17"/>
      <c r="C22" s="18">
        <v>51899.494500000001</v>
      </c>
      <c r="D22" s="19">
        <v>2.9999999999999997E-4</v>
      </c>
      <c r="E22">
        <f t="shared" si="0"/>
        <v>36754.23577117447</v>
      </c>
      <c r="F22">
        <f t="shared" si="1"/>
        <v>36754</v>
      </c>
      <c r="G22">
        <f t="shared" ref="G22:G31" si="3">+C22-(C$7+F22*C$8)</f>
        <v>0.17073709369287826</v>
      </c>
      <c r="I22">
        <f t="shared" ref="I22:I31" si="4">+G22</f>
        <v>0.17073709369287826</v>
      </c>
      <c r="O22">
        <f t="shared" ref="O22:O31" si="5">+C$11+C$12*F22</f>
        <v>-0.18699503554079144</v>
      </c>
      <c r="Q22" s="2">
        <f t="shared" si="2"/>
        <v>36880.994500000001</v>
      </c>
    </row>
    <row r="23" spans="1:17">
      <c r="A23" s="16" t="s">
        <v>35</v>
      </c>
      <c r="B23" s="17"/>
      <c r="C23" s="18">
        <v>51901.665800000002</v>
      </c>
      <c r="D23" s="19">
        <v>1.5E-3</v>
      </c>
      <c r="E23">
        <f t="shared" si="0"/>
        <v>36757.234123436661</v>
      </c>
      <c r="F23">
        <f t="shared" si="1"/>
        <v>36757</v>
      </c>
      <c r="G23">
        <f t="shared" si="3"/>
        <v>0.16954386061843252</v>
      </c>
      <c r="I23">
        <f t="shared" si="4"/>
        <v>0.16954386061843252</v>
      </c>
      <c r="O23">
        <f t="shared" si="5"/>
        <v>-0.18687255768411704</v>
      </c>
      <c r="Q23" s="2">
        <f t="shared" si="2"/>
        <v>36883.165800000002</v>
      </c>
    </row>
    <row r="24" spans="1:17">
      <c r="A24" s="16" t="s">
        <v>35</v>
      </c>
      <c r="B24" s="17"/>
      <c r="C24" s="18">
        <v>51925.563900000001</v>
      </c>
      <c r="D24" s="19">
        <v>1E-4</v>
      </c>
      <c r="E24">
        <f t="shared" si="0"/>
        <v>36790.23505476673</v>
      </c>
      <c r="F24">
        <f t="shared" si="1"/>
        <v>36790</v>
      </c>
      <c r="G24">
        <f t="shared" si="3"/>
        <v>0.17021829670557054</v>
      </c>
      <c r="I24">
        <f t="shared" si="4"/>
        <v>0.17021829670557054</v>
      </c>
      <c r="O24">
        <f t="shared" si="5"/>
        <v>-0.18552530126069966</v>
      </c>
      <c r="Q24" s="2">
        <f t="shared" si="2"/>
        <v>36907.063900000001</v>
      </c>
    </row>
    <row r="25" spans="1:17">
      <c r="A25" s="16" t="s">
        <v>35</v>
      </c>
      <c r="B25" s="17"/>
      <c r="C25" s="18">
        <v>52371.320800000001</v>
      </c>
      <c r="D25" s="19">
        <v>8.0000000000000004E-4</v>
      </c>
      <c r="E25">
        <f t="shared" si="0"/>
        <v>37405.781598082081</v>
      </c>
      <c r="F25">
        <f t="shared" si="1"/>
        <v>37406</v>
      </c>
      <c r="G25">
        <f t="shared" si="3"/>
        <v>-0.15815889625810087</v>
      </c>
      <c r="I25">
        <f t="shared" si="4"/>
        <v>-0.15815889625810087</v>
      </c>
      <c r="O25">
        <f t="shared" si="5"/>
        <v>-0.16037651469023939</v>
      </c>
      <c r="Q25" s="2">
        <f t="shared" si="2"/>
        <v>37352.820800000001</v>
      </c>
    </row>
    <row r="26" spans="1:17">
      <c r="A26" s="16" t="s">
        <v>35</v>
      </c>
      <c r="B26" s="17"/>
      <c r="C26" s="18">
        <v>52680.551899999999</v>
      </c>
      <c r="D26" s="19">
        <v>4.0000000000000002E-4</v>
      </c>
      <c r="E26">
        <f t="shared" si="0"/>
        <v>37832.799406871134</v>
      </c>
      <c r="F26">
        <f t="shared" si="1"/>
        <v>37833</v>
      </c>
      <c r="G26">
        <f t="shared" si="3"/>
        <v>-0.14526240502164001</v>
      </c>
      <c r="I26">
        <f t="shared" si="4"/>
        <v>-0.14526240502164001</v>
      </c>
      <c r="O26">
        <f t="shared" si="5"/>
        <v>-0.14294383309026126</v>
      </c>
      <c r="Q26" s="2">
        <f t="shared" si="2"/>
        <v>37662.051899999999</v>
      </c>
    </row>
    <row r="27" spans="1:17">
      <c r="A27" s="16" t="s">
        <v>35</v>
      </c>
      <c r="B27" s="17"/>
      <c r="C27" s="18">
        <v>52691.415399999998</v>
      </c>
      <c r="D27" s="19">
        <v>1.8E-3</v>
      </c>
      <c r="E27">
        <f t="shared" si="0"/>
        <v>37847.800834495261</v>
      </c>
      <c r="F27">
        <f t="shared" si="1"/>
        <v>37848</v>
      </c>
      <c r="G27">
        <f t="shared" si="3"/>
        <v>-0.14422857043973636</v>
      </c>
      <c r="I27">
        <f t="shared" si="4"/>
        <v>-0.14422857043973636</v>
      </c>
      <c r="O27">
        <f t="shared" si="5"/>
        <v>-0.14233144380688967</v>
      </c>
      <c r="Q27" s="2">
        <f t="shared" si="2"/>
        <v>37672.915399999998</v>
      </c>
    </row>
    <row r="28" spans="1:17">
      <c r="A28" s="16" t="s">
        <v>35</v>
      </c>
      <c r="B28" s="17"/>
      <c r="C28" s="18">
        <v>52707.351499999997</v>
      </c>
      <c r="D28" s="19">
        <v>2.2000000000000001E-3</v>
      </c>
      <c r="E28">
        <f t="shared" si="0"/>
        <v>37869.807025019574</v>
      </c>
      <c r="F28">
        <f t="shared" si="1"/>
        <v>37870</v>
      </c>
      <c r="G28">
        <f t="shared" si="3"/>
        <v>-0.13974561304348754</v>
      </c>
      <c r="I28">
        <f t="shared" si="4"/>
        <v>-0.13974561304348754</v>
      </c>
      <c r="O28">
        <f t="shared" si="5"/>
        <v>-0.1414332728579446</v>
      </c>
      <c r="Q28" s="2">
        <f t="shared" si="2"/>
        <v>37688.851499999997</v>
      </c>
    </row>
    <row r="29" spans="1:17">
      <c r="A29" s="16" t="s">
        <v>35</v>
      </c>
      <c r="B29" s="17"/>
      <c r="C29" s="18">
        <v>52716.400500000003</v>
      </c>
      <c r="D29" s="19">
        <v>1.1999999999999999E-3</v>
      </c>
      <c r="E29">
        <f t="shared" si="0"/>
        <v>37882.302806173975</v>
      </c>
      <c r="F29">
        <f t="shared" si="1"/>
        <v>37882.5</v>
      </c>
      <c r="G29">
        <f t="shared" si="3"/>
        <v>-0.14280075088026933</v>
      </c>
      <c r="I29">
        <f t="shared" si="4"/>
        <v>-0.14280075088026933</v>
      </c>
      <c r="O29">
        <f t="shared" si="5"/>
        <v>-0.14092294845513487</v>
      </c>
      <c r="Q29" s="2">
        <f t="shared" si="2"/>
        <v>37697.900500000003</v>
      </c>
    </row>
    <row r="30" spans="1:17">
      <c r="A30" s="21" t="s">
        <v>36</v>
      </c>
      <c r="B30" s="22"/>
      <c r="C30" s="23">
        <v>53007.534800000001</v>
      </c>
      <c r="D30" s="24">
        <v>2.3999999999999998E-3</v>
      </c>
      <c r="E30">
        <f t="shared" si="0"/>
        <v>38284.330709736503</v>
      </c>
      <c r="F30">
        <f t="shared" si="1"/>
        <v>38284.5</v>
      </c>
      <c r="G30">
        <f t="shared" si="3"/>
        <v>-0.12259398395690368</v>
      </c>
      <c r="I30">
        <f t="shared" si="4"/>
        <v>-0.12259398395690368</v>
      </c>
      <c r="O30">
        <f t="shared" si="5"/>
        <v>-0.12451091566077621</v>
      </c>
      <c r="Q30" s="2">
        <f t="shared" si="2"/>
        <v>37989.034800000001</v>
      </c>
    </row>
    <row r="31" spans="1:17">
      <c r="A31" s="21" t="s">
        <v>36</v>
      </c>
      <c r="B31" s="22"/>
      <c r="C31" s="23">
        <v>53055.330699999999</v>
      </c>
      <c r="D31" s="24">
        <v>1.6999999999999999E-3</v>
      </c>
      <c r="E31">
        <f t="shared" si="0"/>
        <v>38350.332158126075</v>
      </c>
      <c r="F31">
        <f t="shared" si="1"/>
        <v>38350.5</v>
      </c>
      <c r="G31">
        <f t="shared" si="3"/>
        <v>-0.12154511177504901</v>
      </c>
      <c r="I31">
        <f t="shared" si="4"/>
        <v>-0.12154511177504901</v>
      </c>
      <c r="O31">
        <f t="shared" si="5"/>
        <v>-0.12181640281394124</v>
      </c>
      <c r="Q31" s="2">
        <f t="shared" si="2"/>
        <v>38036.830699999999</v>
      </c>
    </row>
    <row r="32" spans="1:17">
      <c r="D32" s="6"/>
      <c r="Q32" s="2"/>
    </row>
    <row r="33" spans="4:17">
      <c r="D33" s="6"/>
      <c r="Q33" s="2"/>
    </row>
    <row r="34" spans="4:17">
      <c r="D34" s="6"/>
    </row>
    <row r="35" spans="4:17">
      <c r="D35" s="6"/>
    </row>
    <row r="36" spans="4:17">
      <c r="D36" s="6"/>
    </row>
    <row r="37" spans="4:17">
      <c r="D37" s="6"/>
    </row>
    <row r="38" spans="4:17">
      <c r="D38" s="6"/>
    </row>
    <row r="39" spans="4:17">
      <c r="D39" s="6"/>
    </row>
    <row r="40" spans="4:17">
      <c r="D40" s="6"/>
    </row>
    <row r="41" spans="4:17">
      <c r="D41" s="6"/>
    </row>
    <row r="42" spans="4:17">
      <c r="D42" s="6"/>
    </row>
    <row r="43" spans="4:17">
      <c r="D43" s="6"/>
    </row>
    <row r="44" spans="4:17">
      <c r="D44" s="6"/>
    </row>
    <row r="45" spans="4:17">
      <c r="D45" s="6"/>
    </row>
    <row r="46" spans="4:17">
      <c r="D46" s="6"/>
    </row>
    <row r="47" spans="4:17">
      <c r="D47" s="6"/>
    </row>
    <row r="48" spans="4:17">
      <c r="D48" s="6"/>
    </row>
    <row r="49" spans="4:4">
      <c r="D49" s="6"/>
    </row>
    <row r="50" spans="4:4">
      <c r="D50" s="6"/>
    </row>
    <row r="51" spans="4:4">
      <c r="D51" s="6"/>
    </row>
    <row r="52" spans="4:4">
      <c r="D52" s="6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52"/>
  <sheetViews>
    <sheetView workbookViewId="0">
      <selection activeCell="C16" sqref="C1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32</v>
      </c>
    </row>
    <row r="2" spans="1:4">
      <c r="A2" t="s">
        <v>28</v>
      </c>
    </row>
    <row r="3" spans="1:4" ht="13.5" thickBot="1"/>
    <row r="4" spans="1:4" ht="13.5" thickBot="1">
      <c r="A4" s="8" t="s">
        <v>1</v>
      </c>
      <c r="C4" s="11">
        <v>25283.384999999998</v>
      </c>
      <c r="D4" s="12">
        <v>0.72499999999999998</v>
      </c>
    </row>
    <row r="6" spans="1:4">
      <c r="A6" s="8" t="s">
        <v>2</v>
      </c>
    </row>
    <row r="7" spans="1:4">
      <c r="A7" t="s">
        <v>3</v>
      </c>
      <c r="C7">
        <f>+C4</f>
        <v>25283.384999999998</v>
      </c>
    </row>
    <row r="8" spans="1:4">
      <c r="A8" t="s">
        <v>4</v>
      </c>
      <c r="C8">
        <v>0.7241644110275427</v>
      </c>
    </row>
    <row r="10" spans="1:4" ht="13.5" thickBot="1">
      <c r="C10" s="7" t="s">
        <v>23</v>
      </c>
      <c r="D10" s="7" t="s">
        <v>24</v>
      </c>
    </row>
    <row r="11" spans="1:4">
      <c r="A11" t="s">
        <v>17</v>
      </c>
      <c r="C11">
        <f>INTERCEPT(G22:G924,F22:F924)</f>
        <v>-1.8352337059775605</v>
      </c>
      <c r="D11" s="6"/>
    </row>
    <row r="12" spans="1:4">
      <c r="A12" t="s">
        <v>18</v>
      </c>
      <c r="C12">
        <f>SLOPE(G22:G924,F22:F924)</f>
        <v>4.4713365540953332E-5</v>
      </c>
      <c r="D12" s="6"/>
    </row>
    <row r="13" spans="1:4">
      <c r="A13" t="s">
        <v>22</v>
      </c>
      <c r="C13" s="6" t="s">
        <v>15</v>
      </c>
      <c r="D13" s="6"/>
    </row>
    <row r="14" spans="1:4">
      <c r="A14" t="s">
        <v>27</v>
      </c>
    </row>
    <row r="15" spans="1:4">
      <c r="A15" s="3" t="s">
        <v>19</v>
      </c>
      <c r="C15">
        <f>+C7+C11</f>
        <v>25281.549766294022</v>
      </c>
    </row>
    <row r="16" spans="1:4">
      <c r="A16" s="8" t="s">
        <v>5</v>
      </c>
      <c r="C16">
        <f>+C8+C12</f>
        <v>0.7242091243930836</v>
      </c>
    </row>
    <row r="17" spans="1:17" ht="13.5" thickBot="1"/>
    <row r="18" spans="1:17">
      <c r="A18" s="8" t="s">
        <v>6</v>
      </c>
      <c r="C18" s="4">
        <f>+C15</f>
        <v>25281.549766294022</v>
      </c>
      <c r="D18" s="5">
        <f>+C16</f>
        <v>0.7242091243930836</v>
      </c>
    </row>
    <row r="19" spans="1:17" ht="13.5" thickTop="1"/>
    <row r="20" spans="1:17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37</v>
      </c>
      <c r="J20" s="10" t="s">
        <v>20</v>
      </c>
      <c r="K20" s="10" t="s">
        <v>21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16</v>
      </c>
    </row>
    <row r="21" spans="1:17">
      <c r="A21" s="13" t="s">
        <v>13</v>
      </c>
      <c r="B21" s="14" t="s">
        <v>33</v>
      </c>
      <c r="C21" s="15">
        <f>+C4</f>
        <v>25283.384999999998</v>
      </c>
      <c r="D21" s="14" t="s">
        <v>15</v>
      </c>
      <c r="E21">
        <f t="shared" ref="E21:E31" si="0">+(C21-C$7)/C$8</f>
        <v>0</v>
      </c>
      <c r="F21" s="26">
        <f>ROUND(2*E21,0)/2+2</f>
        <v>2</v>
      </c>
      <c r="G21">
        <f t="shared" ref="G21:G31" si="1">+C21-(C$7+F21*C$8)</f>
        <v>-1.4483288220544637</v>
      </c>
      <c r="H21">
        <f>G21</f>
        <v>-1.4483288220544637</v>
      </c>
      <c r="O21">
        <f t="shared" ref="O21:O31" si="2">+C$11+C$12*F21</f>
        <v>-1.8351442792464787</v>
      </c>
      <c r="Q21" s="2">
        <f t="shared" ref="Q21:Q31" si="3">+C21-15018.5</f>
        <v>10264.884999999998</v>
      </c>
    </row>
    <row r="22" spans="1:17">
      <c r="A22" s="16" t="s">
        <v>34</v>
      </c>
      <c r="B22" s="17"/>
      <c r="C22" s="18">
        <v>51899.494500000001</v>
      </c>
      <c r="D22" s="19">
        <v>2.9999999999999997E-4</v>
      </c>
      <c r="E22">
        <f t="shared" si="0"/>
        <v>36754.23577117447</v>
      </c>
      <c r="F22" s="25">
        <f>ROUND(2*E22,0)/2+0.5</f>
        <v>36754.5</v>
      </c>
      <c r="G22">
        <f t="shared" si="1"/>
        <v>-0.19134511181619018</v>
      </c>
      <c r="I22">
        <f t="shared" ref="I22:I31" si="4">+G22</f>
        <v>-0.19134511181619018</v>
      </c>
      <c r="O22">
        <f t="shared" si="2"/>
        <v>-0.19181631220259132</v>
      </c>
      <c r="Q22" s="2">
        <f t="shared" si="3"/>
        <v>36880.994500000001</v>
      </c>
    </row>
    <row r="23" spans="1:17">
      <c r="A23" s="16" t="s">
        <v>35</v>
      </c>
      <c r="B23" s="17"/>
      <c r="C23" s="18">
        <v>51901.665800000002</v>
      </c>
      <c r="D23" s="19">
        <v>1.5E-3</v>
      </c>
      <c r="E23">
        <f t="shared" si="0"/>
        <v>36757.234123436661</v>
      </c>
      <c r="F23" s="25">
        <f>ROUND(2*E23,0)/2+0.5</f>
        <v>36757.5</v>
      </c>
      <c r="G23">
        <f t="shared" si="1"/>
        <v>-0.19253834489791188</v>
      </c>
      <c r="I23">
        <f t="shared" si="4"/>
        <v>-0.19253834489791188</v>
      </c>
      <c r="O23">
        <f t="shared" si="2"/>
        <v>-0.1916821721059685</v>
      </c>
      <c r="Q23" s="2">
        <f t="shared" si="3"/>
        <v>36883.165800000002</v>
      </c>
    </row>
    <row r="24" spans="1:17">
      <c r="A24" s="16" t="s">
        <v>35</v>
      </c>
      <c r="B24" s="17"/>
      <c r="C24" s="18">
        <v>51925.563900000001</v>
      </c>
      <c r="D24" s="19">
        <v>1E-4</v>
      </c>
      <c r="E24">
        <f t="shared" si="0"/>
        <v>36790.23505476673</v>
      </c>
      <c r="F24" s="25">
        <f>ROUND(2*E24,0)/2+0.5</f>
        <v>36790.5</v>
      </c>
      <c r="G24">
        <f t="shared" si="1"/>
        <v>-0.19186390880349791</v>
      </c>
      <c r="I24">
        <f t="shared" si="4"/>
        <v>-0.19186390880349791</v>
      </c>
      <c r="O24">
        <f t="shared" si="2"/>
        <v>-0.19020663104311697</v>
      </c>
      <c r="Q24" s="2">
        <f t="shared" si="3"/>
        <v>36907.063900000001</v>
      </c>
    </row>
    <row r="25" spans="1:17">
      <c r="A25" s="16" t="s">
        <v>35</v>
      </c>
      <c r="B25" s="17"/>
      <c r="C25" s="18">
        <v>52371.320800000001</v>
      </c>
      <c r="D25" s="19">
        <v>8.0000000000000004E-4</v>
      </c>
      <c r="E25">
        <f t="shared" si="0"/>
        <v>37405.781598082081</v>
      </c>
      <c r="F25">
        <f t="shared" ref="F25:F31" si="5">ROUND(2*E25,0)/2</f>
        <v>37406</v>
      </c>
      <c r="G25">
        <f t="shared" si="1"/>
        <v>-0.15815889625810087</v>
      </c>
      <c r="I25">
        <f t="shared" si="4"/>
        <v>-0.15815889625810087</v>
      </c>
      <c r="O25">
        <f t="shared" si="2"/>
        <v>-0.16268555455266021</v>
      </c>
      <c r="Q25" s="2">
        <f t="shared" si="3"/>
        <v>37352.820800000001</v>
      </c>
    </row>
    <row r="26" spans="1:17">
      <c r="A26" s="16" t="s">
        <v>35</v>
      </c>
      <c r="B26" s="17"/>
      <c r="C26" s="18">
        <v>52680.551899999999</v>
      </c>
      <c r="D26" s="19">
        <v>4.0000000000000002E-4</v>
      </c>
      <c r="E26">
        <f t="shared" si="0"/>
        <v>37832.799406871134</v>
      </c>
      <c r="F26">
        <f t="shared" si="5"/>
        <v>37833</v>
      </c>
      <c r="G26">
        <f t="shared" si="1"/>
        <v>-0.14526240502164001</v>
      </c>
      <c r="I26">
        <f t="shared" si="4"/>
        <v>-0.14526240502164001</v>
      </c>
      <c r="O26">
        <f t="shared" si="2"/>
        <v>-0.14359294746667306</v>
      </c>
      <c r="Q26" s="2">
        <f t="shared" si="3"/>
        <v>37662.051899999999</v>
      </c>
    </row>
    <row r="27" spans="1:17">
      <c r="A27" s="16" t="s">
        <v>35</v>
      </c>
      <c r="B27" s="17"/>
      <c r="C27" s="18">
        <v>52691.415399999998</v>
      </c>
      <c r="D27" s="19">
        <v>1.8E-3</v>
      </c>
      <c r="E27">
        <f t="shared" si="0"/>
        <v>37847.800834495261</v>
      </c>
      <c r="F27">
        <f t="shared" si="5"/>
        <v>37848</v>
      </c>
      <c r="G27">
        <f t="shared" si="1"/>
        <v>-0.14422857043973636</v>
      </c>
      <c r="I27">
        <f t="shared" si="4"/>
        <v>-0.14422857043973636</v>
      </c>
      <c r="O27">
        <f t="shared" si="2"/>
        <v>-0.14292224698355893</v>
      </c>
      <c r="Q27" s="2">
        <f t="shared" si="3"/>
        <v>37672.915399999998</v>
      </c>
    </row>
    <row r="28" spans="1:17">
      <c r="A28" s="16" t="s">
        <v>35</v>
      </c>
      <c r="B28" s="17"/>
      <c r="C28" s="18">
        <v>52707.351499999997</v>
      </c>
      <c r="D28" s="19">
        <v>2.2000000000000001E-3</v>
      </c>
      <c r="E28">
        <f t="shared" si="0"/>
        <v>37869.807025019574</v>
      </c>
      <c r="F28">
        <f t="shared" si="5"/>
        <v>37870</v>
      </c>
      <c r="G28">
        <f t="shared" si="1"/>
        <v>-0.13974561304348754</v>
      </c>
      <c r="I28">
        <f t="shared" si="4"/>
        <v>-0.13974561304348754</v>
      </c>
      <c r="O28">
        <f t="shared" si="2"/>
        <v>-0.14193855294165791</v>
      </c>
      <c r="Q28" s="2">
        <f t="shared" si="3"/>
        <v>37688.851499999997</v>
      </c>
    </row>
    <row r="29" spans="1:17">
      <c r="A29" s="16" t="s">
        <v>35</v>
      </c>
      <c r="B29" s="17"/>
      <c r="C29" s="18">
        <v>52716.400500000003</v>
      </c>
      <c r="D29" s="19">
        <v>1.1999999999999999E-3</v>
      </c>
      <c r="E29">
        <f t="shared" si="0"/>
        <v>37882.302806173975</v>
      </c>
      <c r="F29">
        <f t="shared" si="5"/>
        <v>37882.5</v>
      </c>
      <c r="G29">
        <f t="shared" si="1"/>
        <v>-0.14280075088026933</v>
      </c>
      <c r="I29">
        <f t="shared" si="4"/>
        <v>-0.14280075088026933</v>
      </c>
      <c r="O29">
        <f t="shared" si="2"/>
        <v>-0.14137963587239599</v>
      </c>
      <c r="Q29" s="2">
        <f t="shared" si="3"/>
        <v>37697.900500000003</v>
      </c>
    </row>
    <row r="30" spans="1:17">
      <c r="A30" s="21" t="s">
        <v>36</v>
      </c>
      <c r="B30" s="22"/>
      <c r="C30" s="23">
        <v>53007.534800000001</v>
      </c>
      <c r="D30" s="24">
        <v>2.3999999999999998E-3</v>
      </c>
      <c r="E30">
        <f t="shared" si="0"/>
        <v>38284.330709736503</v>
      </c>
      <c r="F30">
        <f t="shared" si="5"/>
        <v>38284.5</v>
      </c>
      <c r="G30">
        <f t="shared" si="1"/>
        <v>-0.12259398395690368</v>
      </c>
      <c r="I30">
        <f t="shared" si="4"/>
        <v>-0.12259398395690368</v>
      </c>
      <c r="O30">
        <f t="shared" si="2"/>
        <v>-0.12340486292493269</v>
      </c>
      <c r="Q30" s="2">
        <f t="shared" si="3"/>
        <v>37989.034800000001</v>
      </c>
    </row>
    <row r="31" spans="1:17">
      <c r="A31" s="21" t="s">
        <v>36</v>
      </c>
      <c r="B31" s="22"/>
      <c r="C31" s="23">
        <v>53055.330699999999</v>
      </c>
      <c r="D31" s="24">
        <v>1.6999999999999999E-3</v>
      </c>
      <c r="E31">
        <f t="shared" si="0"/>
        <v>38350.332158126075</v>
      </c>
      <c r="F31">
        <f t="shared" si="5"/>
        <v>38350.5</v>
      </c>
      <c r="G31">
        <f t="shared" si="1"/>
        <v>-0.12154511177504901</v>
      </c>
      <c r="I31">
        <f t="shared" si="4"/>
        <v>-0.12154511177504901</v>
      </c>
      <c r="O31">
        <f t="shared" si="2"/>
        <v>-0.12045378079922986</v>
      </c>
      <c r="Q31" s="2">
        <f t="shared" si="3"/>
        <v>38036.830699999999</v>
      </c>
    </row>
    <row r="32" spans="1:17">
      <c r="D32" s="6"/>
      <c r="Q32" s="2"/>
    </row>
    <row r="33" spans="4:17">
      <c r="D33" s="6"/>
      <c r="Q33" s="2"/>
    </row>
    <row r="34" spans="4:17">
      <c r="D34" s="6"/>
    </row>
    <row r="35" spans="4:17">
      <c r="D35" s="6"/>
    </row>
    <row r="36" spans="4:17">
      <c r="D36" s="6"/>
    </row>
    <row r="37" spans="4:17">
      <c r="D37" s="6"/>
    </row>
    <row r="38" spans="4:17">
      <c r="D38" s="6"/>
    </row>
    <row r="39" spans="4:17">
      <c r="D39" s="6"/>
    </row>
    <row r="40" spans="4:17">
      <c r="D40" s="6"/>
    </row>
    <row r="41" spans="4:17">
      <c r="D41" s="6"/>
    </row>
    <row r="42" spans="4:17">
      <c r="D42" s="6"/>
    </row>
    <row r="43" spans="4:17">
      <c r="D43" s="6"/>
    </row>
    <row r="44" spans="4:17">
      <c r="D44" s="6"/>
    </row>
    <row r="45" spans="4:17">
      <c r="D45" s="6"/>
    </row>
    <row r="46" spans="4:17">
      <c r="D46" s="6"/>
    </row>
    <row r="47" spans="4:17">
      <c r="D47" s="6"/>
    </row>
    <row r="48" spans="4:17">
      <c r="D48" s="6"/>
    </row>
    <row r="49" spans="4:4">
      <c r="D49" s="6"/>
    </row>
    <row r="50" spans="4:4">
      <c r="D50" s="6"/>
    </row>
    <row r="51" spans="4:4">
      <c r="D51" s="6"/>
    </row>
    <row r="52" spans="4:4">
      <c r="D52" s="6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3"/>
  <sheetViews>
    <sheetView workbookViewId="0">
      <selection activeCell="A37" sqref="A37:D40"/>
    </sheetView>
  </sheetViews>
  <sheetFormatPr defaultRowHeight="12.75"/>
  <cols>
    <col min="1" max="1" width="19.7109375" style="29" customWidth="1"/>
    <col min="2" max="2" width="4.42578125" style="37" customWidth="1"/>
    <col min="3" max="3" width="12.7109375" style="29" customWidth="1"/>
    <col min="4" max="4" width="5.42578125" style="37" customWidth="1"/>
    <col min="5" max="5" width="14.85546875" style="37" customWidth="1"/>
    <col min="6" max="6" width="9.140625" style="37"/>
    <col min="7" max="7" width="12" style="37" customWidth="1"/>
    <col min="8" max="8" width="14.140625" style="29" customWidth="1"/>
    <col min="9" max="9" width="22.5703125" style="37" customWidth="1"/>
    <col min="10" max="10" width="25.140625" style="37" customWidth="1"/>
    <col min="11" max="11" width="15.7109375" style="37" customWidth="1"/>
    <col min="12" max="12" width="14.140625" style="37" customWidth="1"/>
    <col min="13" max="13" width="9.5703125" style="37" customWidth="1"/>
    <col min="14" max="14" width="14.140625" style="37" customWidth="1"/>
    <col min="15" max="15" width="23.42578125" style="37" customWidth="1"/>
    <col min="16" max="16" width="16.5703125" style="37" customWidth="1"/>
    <col min="17" max="17" width="41" style="37" customWidth="1"/>
    <col min="18" max="16384" width="9.140625" style="37"/>
  </cols>
  <sheetData>
    <row r="1" spans="1:16" ht="15.75">
      <c r="A1" s="63" t="s">
        <v>58</v>
      </c>
      <c r="I1" s="64" t="s">
        <v>59</v>
      </c>
      <c r="J1" s="65" t="s">
        <v>60</v>
      </c>
    </row>
    <row r="2" spans="1:16">
      <c r="I2" s="66" t="s">
        <v>61</v>
      </c>
      <c r="J2" s="67" t="s">
        <v>62</v>
      </c>
    </row>
    <row r="3" spans="1:16">
      <c r="A3" s="68" t="s">
        <v>63</v>
      </c>
      <c r="I3" s="66" t="s">
        <v>64</v>
      </c>
      <c r="J3" s="67" t="s">
        <v>65</v>
      </c>
    </row>
    <row r="4" spans="1:16">
      <c r="I4" s="66" t="s">
        <v>66</v>
      </c>
      <c r="J4" s="67" t="s">
        <v>65</v>
      </c>
    </row>
    <row r="5" spans="1:16" ht="13.5" thickBot="1">
      <c r="I5" s="69" t="s">
        <v>67</v>
      </c>
      <c r="J5" s="70" t="s">
        <v>68</v>
      </c>
    </row>
    <row r="10" spans="1:16" ht="13.5" thickBot="1"/>
    <row r="11" spans="1:16" ht="12.75" customHeight="1" thickBot="1">
      <c r="A11" s="29" t="str">
        <f t="shared" ref="A11:A40" si="0">P11</f>
        <v>BAVM 152 </v>
      </c>
      <c r="B11" s="6" t="str">
        <f t="shared" ref="B11:B40" si="1">IF(H11=INT(H11),"I","II")</f>
        <v>I</v>
      </c>
      <c r="C11" s="29">
        <f t="shared" ref="C11:C40" si="2">1*G11</f>
        <v>51899.494500000001</v>
      </c>
      <c r="D11" s="37" t="str">
        <f t="shared" ref="D11:D40" si="3">VLOOKUP(F11,I$1:J$5,2,FALSE)</f>
        <v>vis</v>
      </c>
      <c r="E11" s="71">
        <f>VLOOKUP(C11,Active!C$21:E$973,3,FALSE)</f>
        <v>36751.966529426667</v>
      </c>
      <c r="F11" s="6" t="s">
        <v>67</v>
      </c>
      <c r="G11" s="37" t="str">
        <f t="shared" ref="G11:G40" si="4">MID(I11,3,LEN(I11)-3)</f>
        <v>51899.4945</v>
      </c>
      <c r="H11" s="29">
        <f t="shared" ref="H11:H40" si="5">1*K11</f>
        <v>36712</v>
      </c>
      <c r="I11" s="72" t="s">
        <v>81</v>
      </c>
      <c r="J11" s="73" t="s">
        <v>82</v>
      </c>
      <c r="K11" s="72">
        <v>36712</v>
      </c>
      <c r="L11" s="72" t="s">
        <v>83</v>
      </c>
      <c r="M11" s="73" t="s">
        <v>72</v>
      </c>
      <c r="N11" s="73" t="s">
        <v>84</v>
      </c>
      <c r="O11" s="74" t="s">
        <v>85</v>
      </c>
      <c r="P11" s="75" t="s">
        <v>86</v>
      </c>
    </row>
    <row r="12" spans="1:16" ht="12.75" customHeight="1" thickBot="1">
      <c r="A12" s="29" t="str">
        <f t="shared" si="0"/>
        <v>BAVM 158 </v>
      </c>
      <c r="B12" s="6" t="str">
        <f t="shared" si="1"/>
        <v>I</v>
      </c>
      <c r="C12" s="29">
        <f t="shared" si="2"/>
        <v>51901.665800000002</v>
      </c>
      <c r="D12" s="37" t="str">
        <f t="shared" si="3"/>
        <v>vis</v>
      </c>
      <c r="E12" s="71">
        <f>VLOOKUP(C12,Active!C$21:E$973,3,FALSE)</f>
        <v>36754.964696567717</v>
      </c>
      <c r="F12" s="6" t="s">
        <v>67</v>
      </c>
      <c r="G12" s="37" t="str">
        <f t="shared" si="4"/>
        <v>51901.6658</v>
      </c>
      <c r="H12" s="29">
        <f t="shared" si="5"/>
        <v>36715</v>
      </c>
      <c r="I12" s="72" t="s">
        <v>87</v>
      </c>
      <c r="J12" s="73" t="s">
        <v>88</v>
      </c>
      <c r="K12" s="72">
        <v>36715</v>
      </c>
      <c r="L12" s="72" t="s">
        <v>89</v>
      </c>
      <c r="M12" s="73" t="s">
        <v>72</v>
      </c>
      <c r="N12" s="73" t="s">
        <v>84</v>
      </c>
      <c r="O12" s="74" t="s">
        <v>85</v>
      </c>
      <c r="P12" s="75" t="s">
        <v>90</v>
      </c>
    </row>
    <row r="13" spans="1:16" ht="12.75" customHeight="1" thickBot="1">
      <c r="A13" s="29" t="str">
        <f t="shared" si="0"/>
        <v>BAVM 158 </v>
      </c>
      <c r="B13" s="6" t="str">
        <f t="shared" si="1"/>
        <v>I</v>
      </c>
      <c r="C13" s="29">
        <f t="shared" si="2"/>
        <v>51925.563900000001</v>
      </c>
      <c r="D13" s="37" t="str">
        <f t="shared" si="3"/>
        <v>vis</v>
      </c>
      <c r="E13" s="71">
        <f>VLOOKUP(C13,Active!C$21:E$973,3,FALSE)</f>
        <v>36787.963590388645</v>
      </c>
      <c r="F13" s="6" t="s">
        <v>67</v>
      </c>
      <c r="G13" s="37" t="str">
        <f t="shared" si="4"/>
        <v>51925.5639</v>
      </c>
      <c r="H13" s="29">
        <f t="shared" si="5"/>
        <v>36748</v>
      </c>
      <c r="I13" s="72" t="s">
        <v>91</v>
      </c>
      <c r="J13" s="73" t="s">
        <v>92</v>
      </c>
      <c r="K13" s="72">
        <v>36748</v>
      </c>
      <c r="L13" s="72" t="s">
        <v>93</v>
      </c>
      <c r="M13" s="73" t="s">
        <v>72</v>
      </c>
      <c r="N13" s="73" t="s">
        <v>84</v>
      </c>
      <c r="O13" s="74" t="s">
        <v>85</v>
      </c>
      <c r="P13" s="75" t="s">
        <v>90</v>
      </c>
    </row>
    <row r="14" spans="1:16" ht="12.75" customHeight="1" thickBot="1">
      <c r="A14" s="29" t="str">
        <f t="shared" si="0"/>
        <v>BAVM 158 </v>
      </c>
      <c r="B14" s="6" t="str">
        <f t="shared" si="1"/>
        <v>I</v>
      </c>
      <c r="C14" s="29">
        <f t="shared" si="2"/>
        <v>52371.320800000001</v>
      </c>
      <c r="D14" s="37" t="str">
        <f t="shared" si="3"/>
        <v>vis</v>
      </c>
      <c r="E14" s="71">
        <f>VLOOKUP(C14,Active!C$21:E$973,3,FALSE)</f>
        <v>37403.472129270376</v>
      </c>
      <c r="F14" s="6" t="s">
        <v>67</v>
      </c>
      <c r="G14" s="37" t="str">
        <f t="shared" si="4"/>
        <v>52371.3208</v>
      </c>
      <c r="H14" s="29">
        <f t="shared" si="5"/>
        <v>37363</v>
      </c>
      <c r="I14" s="72" t="s">
        <v>94</v>
      </c>
      <c r="J14" s="73" t="s">
        <v>95</v>
      </c>
      <c r="K14" s="72">
        <v>37363</v>
      </c>
      <c r="L14" s="72" t="s">
        <v>96</v>
      </c>
      <c r="M14" s="73" t="s">
        <v>72</v>
      </c>
      <c r="N14" s="73" t="s">
        <v>97</v>
      </c>
      <c r="O14" s="74" t="s">
        <v>85</v>
      </c>
      <c r="P14" s="75" t="s">
        <v>90</v>
      </c>
    </row>
    <row r="15" spans="1:16" ht="12.75" customHeight="1" thickBot="1">
      <c r="A15" s="29" t="str">
        <f t="shared" si="0"/>
        <v>BAVM 158 </v>
      </c>
      <c r="B15" s="6" t="str">
        <f t="shared" si="1"/>
        <v>II</v>
      </c>
      <c r="C15" s="29">
        <f t="shared" si="2"/>
        <v>52680.551899999999</v>
      </c>
      <c r="D15" s="37" t="str">
        <f t="shared" si="3"/>
        <v>vis</v>
      </c>
      <c r="E15" s="71">
        <f>VLOOKUP(C15,Active!C$21:E$973,3,FALSE)</f>
        <v>37830.463573570589</v>
      </c>
      <c r="F15" s="6" t="s">
        <v>67</v>
      </c>
      <c r="G15" s="37" t="str">
        <f t="shared" si="4"/>
        <v>52680.5519</v>
      </c>
      <c r="H15" s="29">
        <f t="shared" si="5"/>
        <v>37789.5</v>
      </c>
      <c r="I15" s="72" t="s">
        <v>98</v>
      </c>
      <c r="J15" s="73" t="s">
        <v>99</v>
      </c>
      <c r="K15" s="72" t="s">
        <v>100</v>
      </c>
      <c r="L15" s="72" t="s">
        <v>101</v>
      </c>
      <c r="M15" s="73" t="s">
        <v>72</v>
      </c>
      <c r="N15" s="73" t="s">
        <v>84</v>
      </c>
      <c r="O15" s="74" t="s">
        <v>85</v>
      </c>
      <c r="P15" s="75" t="s">
        <v>90</v>
      </c>
    </row>
    <row r="16" spans="1:16" ht="12.75" customHeight="1" thickBot="1">
      <c r="A16" s="29" t="str">
        <f t="shared" si="0"/>
        <v>BAVM 158 </v>
      </c>
      <c r="B16" s="6" t="str">
        <f t="shared" si="1"/>
        <v>II</v>
      </c>
      <c r="C16" s="29">
        <f t="shared" si="2"/>
        <v>52691.415399999998</v>
      </c>
      <c r="D16" s="37" t="str">
        <f t="shared" si="3"/>
        <v>vis</v>
      </c>
      <c r="E16" s="71">
        <f>VLOOKUP(C16,Active!C$21:E$973,3,FALSE)</f>
        <v>37845.464074992196</v>
      </c>
      <c r="F16" s="6" t="s">
        <v>67</v>
      </c>
      <c r="G16" s="37" t="str">
        <f t="shared" si="4"/>
        <v>52691.4154</v>
      </c>
      <c r="H16" s="29">
        <f t="shared" si="5"/>
        <v>37804.5</v>
      </c>
      <c r="I16" s="72" t="s">
        <v>102</v>
      </c>
      <c r="J16" s="73" t="s">
        <v>103</v>
      </c>
      <c r="K16" s="72" t="s">
        <v>104</v>
      </c>
      <c r="L16" s="72" t="s">
        <v>105</v>
      </c>
      <c r="M16" s="73" t="s">
        <v>72</v>
      </c>
      <c r="N16" s="73" t="s">
        <v>97</v>
      </c>
      <c r="O16" s="74" t="s">
        <v>106</v>
      </c>
      <c r="P16" s="75" t="s">
        <v>90</v>
      </c>
    </row>
    <row r="17" spans="1:16" ht="12.75" customHeight="1" thickBot="1">
      <c r="A17" s="29" t="str">
        <f t="shared" si="0"/>
        <v>BAVM 158 </v>
      </c>
      <c r="B17" s="6" t="str">
        <f t="shared" si="1"/>
        <v>II</v>
      </c>
      <c r="C17" s="29">
        <f t="shared" si="2"/>
        <v>52707.351499999997</v>
      </c>
      <c r="D17" s="37" t="str">
        <f t="shared" si="3"/>
        <v>vis</v>
      </c>
      <c r="E17" s="71">
        <f>VLOOKUP(C17,Active!C$21:E$973,3,FALSE)</f>
        <v>37867.468906833208</v>
      </c>
      <c r="F17" s="6" t="s">
        <v>67</v>
      </c>
      <c r="G17" s="37" t="str">
        <f t="shared" si="4"/>
        <v>52707.3515</v>
      </c>
      <c r="H17" s="29">
        <f t="shared" si="5"/>
        <v>37826.5</v>
      </c>
      <c r="I17" s="72" t="s">
        <v>107</v>
      </c>
      <c r="J17" s="73" t="s">
        <v>108</v>
      </c>
      <c r="K17" s="72" t="s">
        <v>109</v>
      </c>
      <c r="L17" s="72" t="s">
        <v>110</v>
      </c>
      <c r="M17" s="73" t="s">
        <v>72</v>
      </c>
      <c r="N17" s="73" t="s">
        <v>97</v>
      </c>
      <c r="O17" s="74" t="s">
        <v>106</v>
      </c>
      <c r="P17" s="75" t="s">
        <v>90</v>
      </c>
    </row>
    <row r="18" spans="1:16" ht="12.75" customHeight="1" thickBot="1">
      <c r="A18" s="29" t="str">
        <f t="shared" si="0"/>
        <v>BAVM 158 </v>
      </c>
      <c r="B18" s="6" t="str">
        <f t="shared" si="1"/>
        <v>I</v>
      </c>
      <c r="C18" s="29">
        <f t="shared" si="2"/>
        <v>52716.400500000003</v>
      </c>
      <c r="D18" s="37" t="str">
        <f t="shared" si="3"/>
        <v>vis</v>
      </c>
      <c r="E18" s="71">
        <f>VLOOKUP(C18,Active!C$21:E$973,3,FALSE)</f>
        <v>37879.963916486107</v>
      </c>
      <c r="F18" s="6" t="s">
        <v>67</v>
      </c>
      <c r="G18" s="37" t="str">
        <f t="shared" si="4"/>
        <v>52716.4005</v>
      </c>
      <c r="H18" s="29">
        <f t="shared" si="5"/>
        <v>37839</v>
      </c>
      <c r="I18" s="72" t="s">
        <v>111</v>
      </c>
      <c r="J18" s="73" t="s">
        <v>112</v>
      </c>
      <c r="K18" s="72" t="s">
        <v>113</v>
      </c>
      <c r="L18" s="72" t="s">
        <v>114</v>
      </c>
      <c r="M18" s="73" t="s">
        <v>72</v>
      </c>
      <c r="N18" s="73" t="s">
        <v>97</v>
      </c>
      <c r="O18" s="74" t="s">
        <v>106</v>
      </c>
      <c r="P18" s="75" t="s">
        <v>90</v>
      </c>
    </row>
    <row r="19" spans="1:16" ht="12.75" customHeight="1" thickBot="1">
      <c r="A19" s="29" t="str">
        <f t="shared" si="0"/>
        <v> BBS 129 </v>
      </c>
      <c r="B19" s="6" t="str">
        <f t="shared" si="1"/>
        <v>I</v>
      </c>
      <c r="C19" s="29">
        <f t="shared" si="2"/>
        <v>52719.3001</v>
      </c>
      <c r="D19" s="37" t="str">
        <f t="shared" si="3"/>
        <v>vis</v>
      </c>
      <c r="E19" s="71">
        <f>VLOOKUP(C19,Active!C$21:E$973,3,FALSE)</f>
        <v>37883.967732376201</v>
      </c>
      <c r="F19" s="6" t="s">
        <v>67</v>
      </c>
      <c r="G19" s="37" t="str">
        <f t="shared" si="4"/>
        <v>52719.3001</v>
      </c>
      <c r="H19" s="29">
        <f t="shared" si="5"/>
        <v>37843</v>
      </c>
      <c r="I19" s="72" t="s">
        <v>115</v>
      </c>
      <c r="J19" s="73" t="s">
        <v>116</v>
      </c>
      <c r="K19" s="72" t="s">
        <v>117</v>
      </c>
      <c r="L19" s="72" t="s">
        <v>118</v>
      </c>
      <c r="M19" s="73" t="s">
        <v>72</v>
      </c>
      <c r="N19" s="73" t="s">
        <v>73</v>
      </c>
      <c r="O19" s="74" t="s">
        <v>74</v>
      </c>
      <c r="P19" s="74" t="s">
        <v>119</v>
      </c>
    </row>
    <row r="20" spans="1:16" ht="12.75" customHeight="1" thickBot="1">
      <c r="A20" s="29" t="str">
        <f t="shared" si="0"/>
        <v>BAVM 172 </v>
      </c>
      <c r="B20" s="6" t="str">
        <f t="shared" si="1"/>
        <v>II</v>
      </c>
      <c r="C20" s="29">
        <f t="shared" si="2"/>
        <v>53007.534800000001</v>
      </c>
      <c r="D20" s="37" t="str">
        <f t="shared" si="3"/>
        <v>vis</v>
      </c>
      <c r="E20" s="71">
        <f>VLOOKUP(C20,Active!C$21:E$973,3,FALSE)</f>
        <v>38281.966998460499</v>
      </c>
      <c r="F20" s="6" t="s">
        <v>67</v>
      </c>
      <c r="G20" s="37" t="str">
        <f t="shared" si="4"/>
        <v>53007.5348</v>
      </c>
      <c r="H20" s="29">
        <f t="shared" si="5"/>
        <v>38240.5</v>
      </c>
      <c r="I20" s="72" t="s">
        <v>120</v>
      </c>
      <c r="J20" s="73" t="s">
        <v>121</v>
      </c>
      <c r="K20" s="72" t="s">
        <v>122</v>
      </c>
      <c r="L20" s="72" t="s">
        <v>123</v>
      </c>
      <c r="M20" s="73" t="s">
        <v>72</v>
      </c>
      <c r="N20" s="73" t="s">
        <v>97</v>
      </c>
      <c r="O20" s="74" t="s">
        <v>106</v>
      </c>
      <c r="P20" s="75" t="s">
        <v>124</v>
      </c>
    </row>
    <row r="21" spans="1:16" ht="12.75" customHeight="1" thickBot="1">
      <c r="A21" s="29" t="str">
        <f t="shared" si="0"/>
        <v>BAVM 172 </v>
      </c>
      <c r="B21" s="6" t="str">
        <f t="shared" si="1"/>
        <v>II</v>
      </c>
      <c r="C21" s="29">
        <f t="shared" si="2"/>
        <v>53055.330699999999</v>
      </c>
      <c r="D21" s="37" t="str">
        <f t="shared" si="3"/>
        <v>vis</v>
      </c>
      <c r="E21" s="71">
        <f>VLOOKUP(C21,Active!C$21:E$973,3,FALSE)</f>
        <v>38347.964371857379</v>
      </c>
      <c r="F21" s="6" t="s">
        <v>67</v>
      </c>
      <c r="G21" s="37" t="str">
        <f t="shared" si="4"/>
        <v>53055.3307</v>
      </c>
      <c r="H21" s="29">
        <f t="shared" si="5"/>
        <v>38306.5</v>
      </c>
      <c r="I21" s="72" t="s">
        <v>125</v>
      </c>
      <c r="J21" s="73" t="s">
        <v>126</v>
      </c>
      <c r="K21" s="72" t="s">
        <v>127</v>
      </c>
      <c r="L21" s="72" t="s">
        <v>128</v>
      </c>
      <c r="M21" s="73" t="s">
        <v>72</v>
      </c>
      <c r="N21" s="73" t="s">
        <v>97</v>
      </c>
      <c r="O21" s="74" t="s">
        <v>106</v>
      </c>
      <c r="P21" s="75" t="s">
        <v>124</v>
      </c>
    </row>
    <row r="22" spans="1:16" ht="12.75" customHeight="1" thickBot="1">
      <c r="A22" s="29" t="str">
        <f t="shared" si="0"/>
        <v>BAVM 173 </v>
      </c>
      <c r="B22" s="6" t="str">
        <f t="shared" si="1"/>
        <v>II</v>
      </c>
      <c r="C22" s="29">
        <f t="shared" si="2"/>
        <v>53381.5861</v>
      </c>
      <c r="D22" s="37" t="str">
        <f t="shared" si="3"/>
        <v>vis</v>
      </c>
      <c r="E22" s="71">
        <f>VLOOKUP(C22,Active!C$21:E$973,3,FALSE)</f>
        <v>38798.463252651542</v>
      </c>
      <c r="F22" s="6" t="s">
        <v>67</v>
      </c>
      <c r="G22" s="37" t="str">
        <f t="shared" si="4"/>
        <v>53381.5861</v>
      </c>
      <c r="H22" s="29">
        <f t="shared" si="5"/>
        <v>38756.5</v>
      </c>
      <c r="I22" s="72" t="s">
        <v>129</v>
      </c>
      <c r="J22" s="73" t="s">
        <v>130</v>
      </c>
      <c r="K22" s="72" t="s">
        <v>131</v>
      </c>
      <c r="L22" s="72" t="s">
        <v>132</v>
      </c>
      <c r="M22" s="73" t="s">
        <v>72</v>
      </c>
      <c r="N22" s="73" t="s">
        <v>97</v>
      </c>
      <c r="O22" s="74" t="s">
        <v>85</v>
      </c>
      <c r="P22" s="75" t="s">
        <v>133</v>
      </c>
    </row>
    <row r="23" spans="1:16" ht="12.75" customHeight="1" thickBot="1">
      <c r="A23" s="29" t="str">
        <f t="shared" si="0"/>
        <v>IBVS 5653 </v>
      </c>
      <c r="B23" s="6" t="str">
        <f t="shared" si="1"/>
        <v>II</v>
      </c>
      <c r="C23" s="29">
        <f t="shared" si="2"/>
        <v>53385.233999999997</v>
      </c>
      <c r="D23" s="37" t="str">
        <f t="shared" si="3"/>
        <v>vis</v>
      </c>
      <c r="E23" s="71">
        <f>VLOOKUP(C23,Active!C$21:E$973,3,FALSE)</f>
        <v>38803.500333623218</v>
      </c>
      <c r="F23" s="6" t="s">
        <v>67</v>
      </c>
      <c r="G23" s="37" t="str">
        <f t="shared" si="4"/>
        <v>53385.234</v>
      </c>
      <c r="H23" s="29">
        <f t="shared" si="5"/>
        <v>38761.5</v>
      </c>
      <c r="I23" s="72" t="s">
        <v>134</v>
      </c>
      <c r="J23" s="73" t="s">
        <v>135</v>
      </c>
      <c r="K23" s="72" t="s">
        <v>136</v>
      </c>
      <c r="L23" s="72" t="s">
        <v>137</v>
      </c>
      <c r="M23" s="73" t="s">
        <v>72</v>
      </c>
      <c r="N23" s="73" t="s">
        <v>73</v>
      </c>
      <c r="O23" s="74" t="s">
        <v>138</v>
      </c>
      <c r="P23" s="75" t="s">
        <v>139</v>
      </c>
    </row>
    <row r="24" spans="1:16" ht="12.75" customHeight="1" thickBot="1">
      <c r="A24" s="29" t="str">
        <f t="shared" si="0"/>
        <v>BAVM 173 </v>
      </c>
      <c r="B24" s="6" t="str">
        <f t="shared" si="1"/>
        <v>I</v>
      </c>
      <c r="C24" s="29">
        <f t="shared" si="2"/>
        <v>53386.294999999998</v>
      </c>
      <c r="D24" s="37" t="str">
        <f t="shared" si="3"/>
        <v>vis</v>
      </c>
      <c r="E24" s="71">
        <f>VLOOKUP(C24,Active!C$21:E$973,3,FALSE)</f>
        <v>38804.965380063899</v>
      </c>
      <c r="F24" s="6" t="s">
        <v>67</v>
      </c>
      <c r="G24" s="37" t="str">
        <f t="shared" si="4"/>
        <v>53386.2950</v>
      </c>
      <c r="H24" s="29">
        <f t="shared" si="5"/>
        <v>38763</v>
      </c>
      <c r="I24" s="72" t="s">
        <v>140</v>
      </c>
      <c r="J24" s="73" t="s">
        <v>141</v>
      </c>
      <c r="K24" s="72" t="s">
        <v>142</v>
      </c>
      <c r="L24" s="72" t="s">
        <v>143</v>
      </c>
      <c r="M24" s="73" t="s">
        <v>72</v>
      </c>
      <c r="N24" s="73" t="s">
        <v>97</v>
      </c>
      <c r="O24" s="74" t="s">
        <v>85</v>
      </c>
      <c r="P24" s="75" t="s">
        <v>133</v>
      </c>
    </row>
    <row r="25" spans="1:16" ht="12.75" customHeight="1" thickBot="1">
      <c r="A25" s="29" t="str">
        <f t="shared" si="0"/>
        <v>BAVM 173 </v>
      </c>
      <c r="B25" s="6" t="str">
        <f t="shared" si="1"/>
        <v>II</v>
      </c>
      <c r="C25" s="29">
        <f t="shared" si="2"/>
        <v>53387.381000000001</v>
      </c>
      <c r="D25" s="37" t="str">
        <f t="shared" si="3"/>
        <v>vis</v>
      </c>
      <c r="E25" s="71">
        <f>VLOOKUP(C25,Active!C$21:E$973,3,FALSE)</f>
        <v>38806.464946920249</v>
      </c>
      <c r="F25" s="6" t="s">
        <v>67</v>
      </c>
      <c r="G25" s="37" t="str">
        <f t="shared" si="4"/>
        <v>53387.3810</v>
      </c>
      <c r="H25" s="29">
        <f t="shared" si="5"/>
        <v>38764.5</v>
      </c>
      <c r="I25" s="72" t="s">
        <v>144</v>
      </c>
      <c r="J25" s="73" t="s">
        <v>145</v>
      </c>
      <c r="K25" s="72" t="s">
        <v>146</v>
      </c>
      <c r="L25" s="72" t="s">
        <v>147</v>
      </c>
      <c r="M25" s="73" t="s">
        <v>72</v>
      </c>
      <c r="N25" s="73" t="s">
        <v>97</v>
      </c>
      <c r="O25" s="74" t="s">
        <v>85</v>
      </c>
      <c r="P25" s="75" t="s">
        <v>133</v>
      </c>
    </row>
    <row r="26" spans="1:16" ht="12.75" customHeight="1" thickBot="1">
      <c r="A26" s="29" t="str">
        <f t="shared" si="0"/>
        <v>BAVM 173 </v>
      </c>
      <c r="B26" s="6" t="str">
        <f t="shared" si="1"/>
        <v>I</v>
      </c>
      <c r="C26" s="29">
        <f t="shared" si="2"/>
        <v>53407.296499999997</v>
      </c>
      <c r="D26" s="37" t="str">
        <f t="shared" si="3"/>
        <v>vis</v>
      </c>
      <c r="E26" s="71">
        <f>VLOOKUP(C26,Active!C$21:E$973,3,FALSE)</f>
        <v>38833.964600444611</v>
      </c>
      <c r="F26" s="6" t="s">
        <v>67</v>
      </c>
      <c r="G26" s="37" t="str">
        <f t="shared" si="4"/>
        <v>53407.2965</v>
      </c>
      <c r="H26" s="29">
        <f t="shared" si="5"/>
        <v>38792</v>
      </c>
      <c r="I26" s="72" t="s">
        <v>148</v>
      </c>
      <c r="J26" s="73" t="s">
        <v>149</v>
      </c>
      <c r="K26" s="72" t="s">
        <v>150</v>
      </c>
      <c r="L26" s="72" t="s">
        <v>151</v>
      </c>
      <c r="M26" s="73" t="s">
        <v>72</v>
      </c>
      <c r="N26" s="73" t="s">
        <v>97</v>
      </c>
      <c r="O26" s="74" t="s">
        <v>85</v>
      </c>
      <c r="P26" s="75" t="s">
        <v>133</v>
      </c>
    </row>
    <row r="27" spans="1:16" ht="12.75" customHeight="1" thickBot="1">
      <c r="A27" s="29" t="str">
        <f t="shared" si="0"/>
        <v>BAVM 173 </v>
      </c>
      <c r="B27" s="6" t="str">
        <f t="shared" si="1"/>
        <v>II</v>
      </c>
      <c r="C27" s="29">
        <f t="shared" si="2"/>
        <v>53408.383600000001</v>
      </c>
      <c r="D27" s="37" t="str">
        <f t="shared" si="3"/>
        <v>vis</v>
      </c>
      <c r="E27" s="71">
        <f>VLOOKUP(C27,Active!C$21:E$973,3,FALSE)</f>
        <v>38835.465686199248</v>
      </c>
      <c r="F27" s="6" t="s">
        <v>67</v>
      </c>
      <c r="G27" s="37" t="str">
        <f t="shared" si="4"/>
        <v>53408.3836</v>
      </c>
      <c r="H27" s="29">
        <f t="shared" si="5"/>
        <v>38793.5</v>
      </c>
      <c r="I27" s="72" t="s">
        <v>152</v>
      </c>
      <c r="J27" s="73" t="s">
        <v>153</v>
      </c>
      <c r="K27" s="72" t="s">
        <v>154</v>
      </c>
      <c r="L27" s="72" t="s">
        <v>155</v>
      </c>
      <c r="M27" s="73" t="s">
        <v>72</v>
      </c>
      <c r="N27" s="73" t="s">
        <v>97</v>
      </c>
      <c r="O27" s="74" t="s">
        <v>85</v>
      </c>
      <c r="P27" s="75" t="s">
        <v>133</v>
      </c>
    </row>
    <row r="28" spans="1:16" ht="12.75" customHeight="1" thickBot="1">
      <c r="A28" s="29" t="str">
        <f t="shared" si="0"/>
        <v>BAVM 173 </v>
      </c>
      <c r="B28" s="6" t="str">
        <f t="shared" si="1"/>
        <v>I</v>
      </c>
      <c r="C28" s="29">
        <f t="shared" si="2"/>
        <v>53409.469499999999</v>
      </c>
      <c r="D28" s="37" t="str">
        <f t="shared" si="3"/>
        <v>vis</v>
      </c>
      <c r="E28" s="71">
        <f>VLOOKUP(C28,Active!C$21:E$973,3,FALSE)</f>
        <v>38836.965114973929</v>
      </c>
      <c r="F28" s="6" t="s">
        <v>67</v>
      </c>
      <c r="G28" s="37" t="str">
        <f t="shared" si="4"/>
        <v>53409.4695</v>
      </c>
      <c r="H28" s="29">
        <f t="shared" si="5"/>
        <v>38795</v>
      </c>
      <c r="I28" s="72" t="s">
        <v>156</v>
      </c>
      <c r="J28" s="73" t="s">
        <v>157</v>
      </c>
      <c r="K28" s="72" t="s">
        <v>158</v>
      </c>
      <c r="L28" s="72" t="s">
        <v>159</v>
      </c>
      <c r="M28" s="73" t="s">
        <v>72</v>
      </c>
      <c r="N28" s="73" t="s">
        <v>97</v>
      </c>
      <c r="O28" s="74" t="s">
        <v>85</v>
      </c>
      <c r="P28" s="75" t="s">
        <v>133</v>
      </c>
    </row>
    <row r="29" spans="1:16" ht="12.75" customHeight="1" thickBot="1">
      <c r="A29" s="29" t="str">
        <f t="shared" si="0"/>
        <v>BAVM 173 </v>
      </c>
      <c r="B29" s="6" t="str">
        <f t="shared" si="1"/>
        <v>II</v>
      </c>
      <c r="C29" s="29">
        <f t="shared" si="2"/>
        <v>53410.556600000004</v>
      </c>
      <c r="D29" s="37" t="str">
        <f t="shared" si="3"/>
        <v>vis</v>
      </c>
      <c r="E29" s="71">
        <f>VLOOKUP(C29,Active!C$21:E$973,3,FALSE)</f>
        <v>38838.466200728566</v>
      </c>
      <c r="F29" s="6" t="s">
        <v>67</v>
      </c>
      <c r="G29" s="37" t="str">
        <f t="shared" si="4"/>
        <v>53410.5566</v>
      </c>
      <c r="H29" s="29">
        <f t="shared" si="5"/>
        <v>38796.5</v>
      </c>
      <c r="I29" s="72" t="s">
        <v>160</v>
      </c>
      <c r="J29" s="73" t="s">
        <v>161</v>
      </c>
      <c r="K29" s="72" t="s">
        <v>162</v>
      </c>
      <c r="L29" s="72" t="s">
        <v>163</v>
      </c>
      <c r="M29" s="73" t="s">
        <v>72</v>
      </c>
      <c r="N29" s="73" t="s">
        <v>97</v>
      </c>
      <c r="O29" s="74" t="s">
        <v>85</v>
      </c>
      <c r="P29" s="75" t="s">
        <v>133</v>
      </c>
    </row>
    <row r="30" spans="1:16" ht="12.75" customHeight="1" thickBot="1">
      <c r="A30" s="29" t="str">
        <f t="shared" si="0"/>
        <v>IBVS 5760 </v>
      </c>
      <c r="B30" s="6" t="str">
        <f t="shared" si="1"/>
        <v>II</v>
      </c>
      <c r="C30" s="29">
        <f t="shared" si="2"/>
        <v>53741.879500000003</v>
      </c>
      <c r="D30" s="37" t="str">
        <f t="shared" si="3"/>
        <v>vis</v>
      </c>
      <c r="E30" s="71">
        <f>VLOOKUP(C30,Active!C$21:E$973,3,FALSE)</f>
        <v>39295.962369777335</v>
      </c>
      <c r="F30" s="6" t="s">
        <v>67</v>
      </c>
      <c r="G30" s="37" t="str">
        <f t="shared" si="4"/>
        <v>53741.8795</v>
      </c>
      <c r="H30" s="29">
        <f t="shared" si="5"/>
        <v>39253.5</v>
      </c>
      <c r="I30" s="72" t="s">
        <v>171</v>
      </c>
      <c r="J30" s="73" t="s">
        <v>172</v>
      </c>
      <c r="K30" s="72" t="s">
        <v>173</v>
      </c>
      <c r="L30" s="72" t="s">
        <v>174</v>
      </c>
      <c r="M30" s="73" t="s">
        <v>168</v>
      </c>
      <c r="N30" s="73" t="s">
        <v>175</v>
      </c>
      <c r="O30" s="74" t="s">
        <v>176</v>
      </c>
      <c r="P30" s="75" t="s">
        <v>177</v>
      </c>
    </row>
    <row r="31" spans="1:16" ht="12.75" customHeight="1" thickBot="1">
      <c r="A31" s="29" t="str">
        <f t="shared" si="0"/>
        <v>BAVM 209 </v>
      </c>
      <c r="B31" s="6" t="str">
        <f t="shared" si="1"/>
        <v>I</v>
      </c>
      <c r="C31" s="29">
        <f t="shared" si="2"/>
        <v>54830.363799999999</v>
      </c>
      <c r="D31" s="37" t="str">
        <f t="shared" si="3"/>
        <v>vis</v>
      </c>
      <c r="E31" s="71">
        <f>VLOOKUP(C31,Active!C$21:E$973,3,FALSE)</f>
        <v>40798.959588864003</v>
      </c>
      <c r="F31" s="6" t="s">
        <v>67</v>
      </c>
      <c r="G31" s="37" t="str">
        <f t="shared" si="4"/>
        <v>54830.3638</v>
      </c>
      <c r="H31" s="29">
        <f t="shared" si="5"/>
        <v>40755</v>
      </c>
      <c r="I31" s="72" t="s">
        <v>184</v>
      </c>
      <c r="J31" s="73" t="s">
        <v>185</v>
      </c>
      <c r="K31" s="72" t="s">
        <v>186</v>
      </c>
      <c r="L31" s="72" t="s">
        <v>187</v>
      </c>
      <c r="M31" s="73" t="s">
        <v>168</v>
      </c>
      <c r="N31" s="73" t="s">
        <v>97</v>
      </c>
      <c r="O31" s="74" t="s">
        <v>106</v>
      </c>
      <c r="P31" s="75" t="s">
        <v>188</v>
      </c>
    </row>
    <row r="32" spans="1:16" ht="12.75" customHeight="1" thickBot="1">
      <c r="A32" s="29" t="str">
        <f t="shared" si="0"/>
        <v>BAVM 209 </v>
      </c>
      <c r="B32" s="6" t="str">
        <f t="shared" si="1"/>
        <v>I</v>
      </c>
      <c r="C32" s="29">
        <f t="shared" si="2"/>
        <v>54843.4</v>
      </c>
      <c r="D32" s="37" t="str">
        <f t="shared" si="3"/>
        <v>vis</v>
      </c>
      <c r="E32" s="71">
        <f>VLOOKUP(C32,Active!C$21:E$973,3,FALSE)</f>
        <v>40816.960190569931</v>
      </c>
      <c r="F32" s="6" t="s">
        <v>67</v>
      </c>
      <c r="G32" s="37" t="str">
        <f t="shared" si="4"/>
        <v>54843.4000</v>
      </c>
      <c r="H32" s="29">
        <f t="shared" si="5"/>
        <v>40773</v>
      </c>
      <c r="I32" s="72" t="s">
        <v>189</v>
      </c>
      <c r="J32" s="73" t="s">
        <v>190</v>
      </c>
      <c r="K32" s="72" t="s">
        <v>191</v>
      </c>
      <c r="L32" s="72" t="s">
        <v>192</v>
      </c>
      <c r="M32" s="73" t="s">
        <v>168</v>
      </c>
      <c r="N32" s="73" t="s">
        <v>97</v>
      </c>
      <c r="O32" s="74" t="s">
        <v>106</v>
      </c>
      <c r="P32" s="75" t="s">
        <v>188</v>
      </c>
    </row>
    <row r="33" spans="1:16" ht="12.75" customHeight="1" thickBot="1">
      <c r="A33" s="29" t="str">
        <f t="shared" si="0"/>
        <v>BAVM 209 </v>
      </c>
      <c r="B33" s="6" t="str">
        <f t="shared" si="1"/>
        <v>I</v>
      </c>
      <c r="C33" s="29">
        <f t="shared" si="2"/>
        <v>54856.436099999999</v>
      </c>
      <c r="D33" s="37" t="str">
        <f t="shared" si="3"/>
        <v>vis</v>
      </c>
      <c r="E33" s="71">
        <f>VLOOKUP(C33,Active!C$21:E$973,3,FALSE)</f>
        <v>40834.960654194198</v>
      </c>
      <c r="F33" s="6" t="s">
        <v>67</v>
      </c>
      <c r="G33" s="37" t="str">
        <f t="shared" si="4"/>
        <v>54856.4361</v>
      </c>
      <c r="H33" s="29">
        <f t="shared" si="5"/>
        <v>40791</v>
      </c>
      <c r="I33" s="72" t="s">
        <v>193</v>
      </c>
      <c r="J33" s="73" t="s">
        <v>194</v>
      </c>
      <c r="K33" s="72" t="s">
        <v>195</v>
      </c>
      <c r="L33" s="72" t="s">
        <v>196</v>
      </c>
      <c r="M33" s="73" t="s">
        <v>168</v>
      </c>
      <c r="N33" s="73" t="s">
        <v>97</v>
      </c>
      <c r="O33" s="74" t="s">
        <v>106</v>
      </c>
      <c r="P33" s="75" t="s">
        <v>188</v>
      </c>
    </row>
    <row r="34" spans="1:16" ht="12.75" customHeight="1" thickBot="1">
      <c r="A34" s="29" t="str">
        <f t="shared" si="0"/>
        <v>IBVS 5894 </v>
      </c>
      <c r="B34" s="6" t="str">
        <f t="shared" si="1"/>
        <v>I</v>
      </c>
      <c r="C34" s="29">
        <f t="shared" si="2"/>
        <v>54884.674899999998</v>
      </c>
      <c r="D34" s="37" t="str">
        <f t="shared" si="3"/>
        <v>vis</v>
      </c>
      <c r="E34" s="71">
        <f>VLOOKUP(C34,Active!C$21:E$973,3,FALSE)</f>
        <v>40873.953258745634</v>
      </c>
      <c r="F34" s="6" t="s">
        <v>67</v>
      </c>
      <c r="G34" s="37" t="str">
        <f t="shared" si="4"/>
        <v>54884.6749</v>
      </c>
      <c r="H34" s="29">
        <f t="shared" si="5"/>
        <v>40830</v>
      </c>
      <c r="I34" s="72" t="s">
        <v>197</v>
      </c>
      <c r="J34" s="73" t="s">
        <v>198</v>
      </c>
      <c r="K34" s="72" t="s">
        <v>199</v>
      </c>
      <c r="L34" s="72" t="s">
        <v>200</v>
      </c>
      <c r="M34" s="73" t="s">
        <v>168</v>
      </c>
      <c r="N34" s="73" t="s">
        <v>67</v>
      </c>
      <c r="O34" s="74" t="s">
        <v>79</v>
      </c>
      <c r="P34" s="75" t="s">
        <v>201</v>
      </c>
    </row>
    <row r="35" spans="1:16" ht="12.75" customHeight="1" thickBot="1">
      <c r="A35" s="29" t="str">
        <f t="shared" si="0"/>
        <v>IBVS 5960 </v>
      </c>
      <c r="B35" s="6" t="str">
        <f t="shared" si="1"/>
        <v>I</v>
      </c>
      <c r="C35" s="29">
        <f t="shared" si="2"/>
        <v>55545.880400000002</v>
      </c>
      <c r="D35" s="37" t="str">
        <f t="shared" si="3"/>
        <v>vis</v>
      </c>
      <c r="E35" s="71">
        <f>VLOOKUP(C35,Active!C$21:E$973,3,FALSE)</f>
        <v>41786.956806656075</v>
      </c>
      <c r="F35" s="6" t="s">
        <v>67</v>
      </c>
      <c r="G35" s="37" t="str">
        <f t="shared" si="4"/>
        <v>55545.8804</v>
      </c>
      <c r="H35" s="29">
        <f t="shared" si="5"/>
        <v>41742</v>
      </c>
      <c r="I35" s="72" t="s">
        <v>202</v>
      </c>
      <c r="J35" s="73" t="s">
        <v>203</v>
      </c>
      <c r="K35" s="72" t="s">
        <v>204</v>
      </c>
      <c r="L35" s="72" t="s">
        <v>205</v>
      </c>
      <c r="M35" s="73" t="s">
        <v>168</v>
      </c>
      <c r="N35" s="73" t="s">
        <v>67</v>
      </c>
      <c r="O35" s="74" t="s">
        <v>79</v>
      </c>
      <c r="P35" s="75" t="s">
        <v>206</v>
      </c>
    </row>
    <row r="36" spans="1:16" ht="12.75" customHeight="1" thickBot="1">
      <c r="A36" s="29" t="str">
        <f t="shared" si="0"/>
        <v>BAVM 215 </v>
      </c>
      <c r="B36" s="6" t="str">
        <f t="shared" si="1"/>
        <v>I</v>
      </c>
      <c r="C36" s="29">
        <f t="shared" si="2"/>
        <v>55578.47</v>
      </c>
      <c r="D36" s="37" t="str">
        <f t="shared" si="3"/>
        <v>vis</v>
      </c>
      <c r="E36" s="71">
        <f>VLOOKUP(C36,Active!C$21:E$973,3,FALSE)</f>
        <v>41831.95706818594</v>
      </c>
      <c r="F36" s="6" t="s">
        <v>67</v>
      </c>
      <c r="G36" s="37" t="str">
        <f t="shared" si="4"/>
        <v>55578.4700</v>
      </c>
      <c r="H36" s="29">
        <f t="shared" si="5"/>
        <v>41787</v>
      </c>
      <c r="I36" s="72" t="s">
        <v>207</v>
      </c>
      <c r="J36" s="73" t="s">
        <v>208</v>
      </c>
      <c r="K36" s="72" t="s">
        <v>209</v>
      </c>
      <c r="L36" s="72" t="s">
        <v>210</v>
      </c>
      <c r="M36" s="73" t="s">
        <v>168</v>
      </c>
      <c r="N36" s="73" t="s">
        <v>97</v>
      </c>
      <c r="O36" s="74" t="s">
        <v>106</v>
      </c>
      <c r="P36" s="75" t="s">
        <v>211</v>
      </c>
    </row>
    <row r="37" spans="1:16" ht="12.75" customHeight="1" thickBot="1">
      <c r="A37" s="29" t="str">
        <f t="shared" si="0"/>
        <v> BBS 122 </v>
      </c>
      <c r="B37" s="6" t="str">
        <f t="shared" si="1"/>
        <v>I</v>
      </c>
      <c r="C37" s="29">
        <f t="shared" si="2"/>
        <v>51616.324000000001</v>
      </c>
      <c r="D37" s="37" t="str">
        <f t="shared" si="3"/>
        <v>vis</v>
      </c>
      <c r="E37" s="71">
        <f>VLOOKUP(C37,Active!C$21:E$973,3,FALSE)</f>
        <v>36360.959994902114</v>
      </c>
      <c r="F37" s="6" t="s">
        <v>67</v>
      </c>
      <c r="G37" s="37" t="str">
        <f t="shared" si="4"/>
        <v>51616.324</v>
      </c>
      <c r="H37" s="29">
        <f t="shared" si="5"/>
        <v>36321</v>
      </c>
      <c r="I37" s="72" t="s">
        <v>69</v>
      </c>
      <c r="J37" s="73" t="s">
        <v>70</v>
      </c>
      <c r="K37" s="72">
        <v>36321</v>
      </c>
      <c r="L37" s="72" t="s">
        <v>71</v>
      </c>
      <c r="M37" s="73" t="s">
        <v>72</v>
      </c>
      <c r="N37" s="73" t="s">
        <v>73</v>
      </c>
      <c r="O37" s="74" t="s">
        <v>74</v>
      </c>
      <c r="P37" s="74" t="s">
        <v>75</v>
      </c>
    </row>
    <row r="38" spans="1:16" ht="12.75" customHeight="1" thickBot="1">
      <c r="A38" s="29" t="str">
        <f t="shared" si="0"/>
        <v> BBS 124 </v>
      </c>
      <c r="B38" s="6" t="str">
        <f t="shared" si="1"/>
        <v>II</v>
      </c>
      <c r="C38" s="29">
        <f t="shared" si="2"/>
        <v>51879.574099999998</v>
      </c>
      <c r="D38" s="37" t="str">
        <f t="shared" si="3"/>
        <v>vis</v>
      </c>
      <c r="E38" s="71">
        <f>VLOOKUP(C38,Active!C$21:E$973,3,FALSE)</f>
        <v>36724.460109900821</v>
      </c>
      <c r="F38" s="6" t="s">
        <v>67</v>
      </c>
      <c r="G38" s="37" t="str">
        <f t="shared" si="4"/>
        <v>51879.5741</v>
      </c>
      <c r="H38" s="29">
        <f t="shared" si="5"/>
        <v>36684.5</v>
      </c>
      <c r="I38" s="72" t="s">
        <v>76</v>
      </c>
      <c r="J38" s="73" t="s">
        <v>77</v>
      </c>
      <c r="K38" s="72">
        <v>36684.5</v>
      </c>
      <c r="L38" s="72" t="s">
        <v>78</v>
      </c>
      <c r="M38" s="73" t="s">
        <v>72</v>
      </c>
      <c r="N38" s="73" t="s">
        <v>73</v>
      </c>
      <c r="O38" s="74" t="s">
        <v>79</v>
      </c>
      <c r="P38" s="74" t="s">
        <v>80</v>
      </c>
    </row>
    <row r="39" spans="1:16" ht="12.75" customHeight="1" thickBot="1">
      <c r="A39" s="29" t="str">
        <f t="shared" si="0"/>
        <v>BAVM 203 </v>
      </c>
      <c r="B39" s="6" t="str">
        <f t="shared" si="1"/>
        <v>I</v>
      </c>
      <c r="C39" s="29">
        <f t="shared" si="2"/>
        <v>53446.403599999998</v>
      </c>
      <c r="D39" s="37" t="str">
        <f t="shared" si="3"/>
        <v>vis</v>
      </c>
      <c r="E39" s="71">
        <f>VLOOKUP(C39,Active!C$21:E$973,3,FALSE)</f>
        <v>38887.964334337463</v>
      </c>
      <c r="F39" s="6" t="s">
        <v>67</v>
      </c>
      <c r="G39" s="37" t="str">
        <f t="shared" si="4"/>
        <v>53446.4036</v>
      </c>
      <c r="H39" s="29">
        <f t="shared" si="5"/>
        <v>38846</v>
      </c>
      <c r="I39" s="72" t="s">
        <v>164</v>
      </c>
      <c r="J39" s="73" t="s">
        <v>165</v>
      </c>
      <c r="K39" s="72" t="s">
        <v>166</v>
      </c>
      <c r="L39" s="72" t="s">
        <v>167</v>
      </c>
      <c r="M39" s="73" t="s">
        <v>168</v>
      </c>
      <c r="N39" s="73" t="s">
        <v>84</v>
      </c>
      <c r="O39" s="74" t="s">
        <v>169</v>
      </c>
      <c r="P39" s="75" t="s">
        <v>170</v>
      </c>
    </row>
    <row r="40" spans="1:16" ht="12.75" customHeight="1" thickBot="1">
      <c r="A40" s="29" t="str">
        <f t="shared" si="0"/>
        <v>VSB 48 </v>
      </c>
      <c r="B40" s="6" t="str">
        <f t="shared" si="1"/>
        <v>I</v>
      </c>
      <c r="C40" s="29">
        <f t="shared" si="2"/>
        <v>54823.121099999997</v>
      </c>
      <c r="D40" s="37" t="str">
        <f t="shared" si="3"/>
        <v>vis</v>
      </c>
      <c r="E40" s="71">
        <f>VLOOKUP(C40,Active!C$21:E$973,3,FALSE)</f>
        <v>40788.958748283498</v>
      </c>
      <c r="F40" s="6" t="s">
        <v>67</v>
      </c>
      <c r="G40" s="37" t="str">
        <f t="shared" si="4"/>
        <v>54823.1211</v>
      </c>
      <c r="H40" s="29">
        <f t="shared" si="5"/>
        <v>40745</v>
      </c>
      <c r="I40" s="72" t="s">
        <v>178</v>
      </c>
      <c r="J40" s="73" t="s">
        <v>179</v>
      </c>
      <c r="K40" s="72" t="s">
        <v>180</v>
      </c>
      <c r="L40" s="72" t="s">
        <v>181</v>
      </c>
      <c r="M40" s="73" t="s">
        <v>168</v>
      </c>
      <c r="N40" s="73" t="s">
        <v>67</v>
      </c>
      <c r="O40" s="74" t="s">
        <v>182</v>
      </c>
      <c r="P40" s="75" t="s">
        <v>183</v>
      </c>
    </row>
    <row r="41" spans="1:16">
      <c r="B41" s="6"/>
      <c r="F41" s="6"/>
    </row>
    <row r="42" spans="1:16">
      <c r="B42" s="6"/>
      <c r="F42" s="6"/>
    </row>
    <row r="43" spans="1:16">
      <c r="B43" s="6"/>
      <c r="F43" s="6"/>
    </row>
    <row r="44" spans="1:16">
      <c r="B44" s="6"/>
      <c r="F44" s="6"/>
    </row>
    <row r="45" spans="1:16">
      <c r="B45" s="6"/>
      <c r="F45" s="6"/>
    </row>
    <row r="46" spans="1:16">
      <c r="B46" s="6"/>
      <c r="F46" s="6"/>
    </row>
    <row r="47" spans="1:16">
      <c r="B47" s="6"/>
      <c r="F47" s="6"/>
    </row>
    <row r="48" spans="1:1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</sheetData>
  <phoneticPr fontId="8" type="noConversion"/>
  <hyperlinks>
    <hyperlink ref="P11" r:id="rId1" display="http://www.bav-astro.de/sfs/BAVM_link.php?BAVMnr=152"/>
    <hyperlink ref="P12" r:id="rId2" display="http://www.bav-astro.de/sfs/BAVM_link.php?BAVMnr=158"/>
    <hyperlink ref="P13" r:id="rId3" display="http://www.bav-astro.de/sfs/BAVM_link.php?BAVMnr=158"/>
    <hyperlink ref="P14" r:id="rId4" display="http://www.bav-astro.de/sfs/BAVM_link.php?BAVMnr=158"/>
    <hyperlink ref="P15" r:id="rId5" display="http://www.bav-astro.de/sfs/BAVM_link.php?BAVMnr=158"/>
    <hyperlink ref="P16" r:id="rId6" display="http://www.bav-astro.de/sfs/BAVM_link.php?BAVMnr=158"/>
    <hyperlink ref="P17" r:id="rId7" display="http://www.bav-astro.de/sfs/BAVM_link.php?BAVMnr=158"/>
    <hyperlink ref="P18" r:id="rId8" display="http://www.bav-astro.de/sfs/BAVM_link.php?BAVMnr=158"/>
    <hyperlink ref="P20" r:id="rId9" display="http://www.bav-astro.de/sfs/BAVM_link.php?BAVMnr=172"/>
    <hyperlink ref="P21" r:id="rId10" display="http://www.bav-astro.de/sfs/BAVM_link.php?BAVMnr=172"/>
    <hyperlink ref="P22" r:id="rId11" display="http://www.bav-astro.de/sfs/BAVM_link.php?BAVMnr=173"/>
    <hyperlink ref="P23" r:id="rId12" display="http://www.konkoly.hu/cgi-bin/IBVS?5653"/>
    <hyperlink ref="P24" r:id="rId13" display="http://www.bav-astro.de/sfs/BAVM_link.php?BAVMnr=173"/>
    <hyperlink ref="P25" r:id="rId14" display="http://www.bav-astro.de/sfs/BAVM_link.php?BAVMnr=173"/>
    <hyperlink ref="P26" r:id="rId15" display="http://www.bav-astro.de/sfs/BAVM_link.php?BAVMnr=173"/>
    <hyperlink ref="P27" r:id="rId16" display="http://www.bav-astro.de/sfs/BAVM_link.php?BAVMnr=173"/>
    <hyperlink ref="P28" r:id="rId17" display="http://www.bav-astro.de/sfs/BAVM_link.php?BAVMnr=173"/>
    <hyperlink ref="P29" r:id="rId18" display="http://www.bav-astro.de/sfs/BAVM_link.php?BAVMnr=173"/>
    <hyperlink ref="P39" r:id="rId19" display="http://www.bav-astro.de/sfs/BAVM_link.php?BAVMnr=203"/>
    <hyperlink ref="P30" r:id="rId20" display="http://www.konkoly.hu/cgi-bin/IBVS?5760"/>
    <hyperlink ref="P40" r:id="rId21" display="http://vsolj.cetus-net.org/no48.pdf"/>
    <hyperlink ref="P31" r:id="rId22" display="http://www.bav-astro.de/sfs/BAVM_link.php?BAVMnr=209"/>
    <hyperlink ref="P32" r:id="rId23" display="http://www.bav-astro.de/sfs/BAVM_link.php?BAVMnr=209"/>
    <hyperlink ref="P33" r:id="rId24" display="http://www.bav-astro.de/sfs/BAVM_link.php?BAVMnr=209"/>
    <hyperlink ref="P34" r:id="rId25" display="http://www.konkoly.hu/cgi-bin/IBVS?5894"/>
    <hyperlink ref="P35" r:id="rId26" display="http://www.konkoly.hu/cgi-bin/IBVS?5960"/>
    <hyperlink ref="P36" r:id="rId27" display="http://www.bav-astro.de/sfs/BAVM_link.php?BAVMnr=21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Active</vt:lpstr>
      <vt:lpstr>A (old)</vt:lpstr>
      <vt:lpstr>A (2)</vt:lpstr>
      <vt:lpstr>A (3)</vt:lpstr>
      <vt:lpstr>A (4)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2024-02-11T04:37:16Z</dcterms:modified>
</cp:coreProperties>
</file>