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17AB8C5-2747-49AB-9D77-ACCFC624D9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D9" i="2" l="1"/>
  <c r="C9" i="2"/>
  <c r="Q44" i="2"/>
  <c r="Q45" i="2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E22" i="2"/>
  <c r="F22" i="2"/>
  <c r="G22" i="2"/>
  <c r="I22" i="2"/>
  <c r="E28" i="2"/>
  <c r="F28" i="2"/>
  <c r="E29" i="2"/>
  <c r="F29" i="2"/>
  <c r="G29" i="2"/>
  <c r="I29" i="2"/>
  <c r="E31" i="2"/>
  <c r="F31" i="2"/>
  <c r="E32" i="2"/>
  <c r="F32" i="2"/>
  <c r="G32" i="2"/>
  <c r="K32" i="2"/>
  <c r="Q42" i="2"/>
  <c r="Q43" i="2"/>
  <c r="C7" i="2"/>
  <c r="E44" i="2"/>
  <c r="F44" i="2"/>
  <c r="Q41" i="2"/>
  <c r="F16" i="2"/>
  <c r="C17" i="2"/>
  <c r="Q40" i="2"/>
  <c r="Q39" i="2"/>
  <c r="Q38" i="2"/>
  <c r="Q31" i="2"/>
  <c r="Q32" i="2"/>
  <c r="Q21" i="2"/>
  <c r="Q22" i="2"/>
  <c r="Q28" i="2"/>
  <c r="Q29" i="2"/>
  <c r="Q34" i="2"/>
  <c r="Q23" i="2"/>
  <c r="Q24" i="2"/>
  <c r="Q25" i="2"/>
  <c r="Q26" i="2"/>
  <c r="Q27" i="2"/>
  <c r="Q30" i="2"/>
  <c r="Q33" i="2"/>
  <c r="Q35" i="2"/>
  <c r="Q36" i="2"/>
  <c r="Q37" i="2"/>
  <c r="K26" i="1"/>
  <c r="Q26" i="1"/>
  <c r="Q27" i="1"/>
  <c r="Q28" i="1"/>
  <c r="Q29" i="1"/>
  <c r="Q30" i="1"/>
  <c r="Q31" i="1"/>
  <c r="Q32" i="1"/>
  <c r="Q33" i="1"/>
  <c r="Q34" i="1"/>
  <c r="Q35" i="1"/>
  <c r="C17" i="1"/>
  <c r="Q25" i="1"/>
  <c r="Q22" i="1"/>
  <c r="Q23" i="1"/>
  <c r="Q24" i="1"/>
  <c r="C7" i="1"/>
  <c r="E31" i="1"/>
  <c r="F31" i="1"/>
  <c r="C8" i="1"/>
  <c r="Q21" i="1"/>
  <c r="E16" i="3"/>
  <c r="E28" i="1"/>
  <c r="F28" i="1"/>
  <c r="G30" i="1"/>
  <c r="K30" i="1"/>
  <c r="E23" i="1"/>
  <c r="F23" i="1"/>
  <c r="E22" i="1"/>
  <c r="F22" i="1"/>
  <c r="E25" i="1"/>
  <c r="F25" i="1"/>
  <c r="E34" i="1"/>
  <c r="F34" i="1"/>
  <c r="E33" i="1"/>
  <c r="F33" i="1"/>
  <c r="E27" i="1"/>
  <c r="F27" i="1"/>
  <c r="E24" i="2"/>
  <c r="F24" i="2"/>
  <c r="G24" i="2"/>
  <c r="J24" i="2"/>
  <c r="E26" i="2"/>
  <c r="F26" i="2"/>
  <c r="G26" i="2"/>
  <c r="J26" i="2"/>
  <c r="E30" i="2"/>
  <c r="F30" i="2"/>
  <c r="G30" i="2"/>
  <c r="J30" i="2"/>
  <c r="E34" i="2"/>
  <c r="F34" i="2"/>
  <c r="G34" i="2"/>
  <c r="K34" i="2"/>
  <c r="E36" i="2"/>
  <c r="F36" i="2"/>
  <c r="G36" i="2"/>
  <c r="J36" i="2"/>
  <c r="E38" i="2"/>
  <c r="F38" i="2"/>
  <c r="G38" i="2"/>
  <c r="J38" i="2"/>
  <c r="E40" i="2"/>
  <c r="F40" i="2"/>
  <c r="G40" i="2"/>
  <c r="K40" i="2"/>
  <c r="E42" i="2"/>
  <c r="F42" i="2"/>
  <c r="G42" i="2"/>
  <c r="J42" i="2"/>
  <c r="G45" i="2"/>
  <c r="K45" i="2"/>
  <c r="E30" i="1"/>
  <c r="F30" i="1"/>
  <c r="E45" i="2"/>
  <c r="F45" i="2"/>
  <c r="E21" i="1"/>
  <c r="F21" i="1"/>
  <c r="E32" i="1"/>
  <c r="F32" i="1"/>
  <c r="G32" i="1"/>
  <c r="K32" i="1"/>
  <c r="E26" i="1"/>
  <c r="F26" i="1"/>
  <c r="E24" i="1"/>
  <c r="F24" i="1"/>
  <c r="E35" i="1"/>
  <c r="F35" i="1"/>
  <c r="G31" i="1"/>
  <c r="K31" i="1"/>
  <c r="E29" i="1"/>
  <c r="F29" i="1"/>
  <c r="G29" i="1"/>
  <c r="K29" i="1"/>
  <c r="E21" i="2"/>
  <c r="F21" i="2"/>
  <c r="G21" i="2"/>
  <c r="H21" i="2"/>
  <c r="G31" i="2"/>
  <c r="G28" i="2"/>
  <c r="I28" i="2"/>
  <c r="E23" i="2"/>
  <c r="F23" i="2"/>
  <c r="G23" i="2"/>
  <c r="J23" i="2"/>
  <c r="E25" i="2"/>
  <c r="F25" i="2"/>
  <c r="G25" i="2"/>
  <c r="J25" i="2"/>
  <c r="E27" i="2"/>
  <c r="F27" i="2"/>
  <c r="G27" i="2"/>
  <c r="J27" i="2"/>
  <c r="E33" i="2"/>
  <c r="F33" i="2"/>
  <c r="G33" i="2"/>
  <c r="J33" i="2"/>
  <c r="E35" i="2"/>
  <c r="F35" i="2"/>
  <c r="G35" i="2"/>
  <c r="J35" i="2"/>
  <c r="E37" i="2"/>
  <c r="F37" i="2"/>
  <c r="G37" i="2"/>
  <c r="J37" i="2"/>
  <c r="E39" i="2"/>
  <c r="F39" i="2"/>
  <c r="G39" i="2"/>
  <c r="K39" i="2"/>
  <c r="E41" i="2"/>
  <c r="F41" i="2"/>
  <c r="G41" i="2"/>
  <c r="K41" i="2"/>
  <c r="E43" i="2"/>
  <c r="F43" i="2"/>
  <c r="G43" i="2"/>
  <c r="K43" i="2"/>
  <c r="G44" i="2"/>
  <c r="K44" i="2"/>
  <c r="K31" i="2"/>
  <c r="C12" i="1"/>
  <c r="C16" i="1"/>
  <c r="D18" i="1"/>
  <c r="C11" i="1"/>
  <c r="E21" i="3"/>
  <c r="E26" i="3"/>
  <c r="E20" i="3"/>
  <c r="E25" i="3"/>
  <c r="E12" i="3"/>
  <c r="E17" i="3"/>
  <c r="E13" i="3"/>
  <c r="E15" i="3"/>
  <c r="E27" i="3"/>
  <c r="E14" i="3"/>
  <c r="E19" i="3"/>
  <c r="E24" i="3"/>
  <c r="E11" i="3"/>
  <c r="E23" i="3"/>
  <c r="E18" i="3"/>
  <c r="E22" i="3"/>
  <c r="O34" i="1"/>
  <c r="O21" i="1"/>
  <c r="O26" i="1"/>
  <c r="O32" i="1"/>
  <c r="O27" i="1"/>
  <c r="O33" i="1"/>
  <c r="O23" i="1"/>
  <c r="O22" i="1"/>
  <c r="O30" i="1"/>
  <c r="O35" i="1"/>
  <c r="O25" i="1"/>
  <c r="O28" i="1"/>
  <c r="O29" i="1"/>
  <c r="O31" i="1"/>
  <c r="O24" i="1"/>
  <c r="C15" i="1"/>
  <c r="C18" i="1"/>
  <c r="C12" i="2"/>
  <c r="C11" i="2"/>
  <c r="O44" i="2" l="1"/>
  <c r="O42" i="2"/>
  <c r="O45" i="2"/>
  <c r="O24" i="2"/>
  <c r="O25" i="2"/>
  <c r="O30" i="2"/>
  <c r="O33" i="2"/>
  <c r="O22" i="2"/>
  <c r="O28" i="2"/>
  <c r="O35" i="2"/>
  <c r="C15" i="2"/>
  <c r="F18" i="2" s="1"/>
  <c r="O32" i="2"/>
  <c r="O37" i="2"/>
  <c r="O40" i="2"/>
  <c r="O23" i="2"/>
  <c r="O38" i="2"/>
  <c r="O36" i="2"/>
  <c r="O29" i="2"/>
  <c r="O41" i="2"/>
  <c r="O39" i="2"/>
  <c r="O31" i="2"/>
  <c r="O21" i="2"/>
  <c r="O27" i="2"/>
  <c r="O26" i="2"/>
  <c r="O34" i="2"/>
  <c r="O43" i="2"/>
  <c r="C16" i="2"/>
  <c r="D18" i="2" s="1"/>
  <c r="F17" i="2"/>
  <c r="C18" i="2" l="1"/>
  <c r="F19" i="2"/>
</calcChain>
</file>

<file path=xl/sharedStrings.xml><?xml version="1.0" encoding="utf-8"?>
<sst xmlns="http://schemas.openxmlformats.org/spreadsheetml/2006/main" count="309" uniqueCount="152">
  <si>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</si>
  <si>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</si>
  <si>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</si>
  <si>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</si>
  <si>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</si>
  <si>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</si>
  <si>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</si>
  <si>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</si>
  <si>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</si>
  <si>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</si>
  <si>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</si>
  <si>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</si>
  <si>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</si>
  <si>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</si>
  <si>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</si>
  <si>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</si>
  <si>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</si>
  <si>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</si>
  <si>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</si>
  <si>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</si>
  <si>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</si>
  <si>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</si>
  <si>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</si>
  <si>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</si>
  <si>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</si>
  <si>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</si>
  <si>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</si>
  <si>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</si>
  <si>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</si>
  <si>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</si>
  <si>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</si>
  <si>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</si>
  <si>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Bull.42</t>
  </si>
  <si>
    <t>B</t>
  </si>
  <si>
    <t>Krobusek B</t>
  </si>
  <si>
    <t>BBSAG Bull.117</t>
  </si>
  <si>
    <t>Blaettler E</t>
  </si>
  <si>
    <t>BBSAG</t>
  </si>
  <si>
    <t>Nelson</t>
  </si>
  <si>
    <t>II</t>
  </si>
  <si>
    <t>IBVS 5672</t>
  </si>
  <si>
    <t># of data points:</t>
  </si>
  <si>
    <t>EW</t>
  </si>
  <si>
    <t>DP Gem / GSC 01872-01682</t>
  </si>
  <si>
    <t>IBVS 5731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</si>
  <si>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</si>
  <si>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</si>
  <si>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</si>
  <si>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</si>
  <si>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</si>
  <si>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</si>
  <si>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</si>
  <si>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</si>
  <si>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</si>
  <si>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5871</t>
  </si>
  <si>
    <t>IBVS 5894</t>
  </si>
  <si>
    <t>Add cycle</t>
  </si>
  <si>
    <t>Old Cycle</t>
  </si>
  <si>
    <t>IBVS 5960</t>
  </si>
  <si>
    <t>2011-07-02 -- Period confirmed by ToMcat</t>
  </si>
  <si>
    <t>IBVS 6029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</si>
  <si>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</si>
  <si>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</si>
  <si>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</si>
  <si>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</si>
  <si>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</si>
  <si>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</si>
  <si>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</si>
  <si>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</si>
  <si>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</si>
  <si>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</si>
  <si>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</si>
  <si>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</si>
  <si>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2450012.6779 </t>
  </si>
  <si>
    <t> 22.10.1995 04:16 </t>
  </si>
  <si>
    <t> -0.1393 </t>
  </si>
  <si>
    <t>C </t>
  </si>
  <si>
    <t>o</t>
  </si>
  <si>
    <t> W.Moschner </t>
  </si>
  <si>
    <t>BAVM 178 </t>
  </si>
  <si>
    <t>2450043.3859 </t>
  </si>
  <si>
    <t> 21.11.1995 21:15 </t>
  </si>
  <si>
    <t> -0.1433 </t>
  </si>
  <si>
    <t>2450072.4249 </t>
  </si>
  <si>
    <t> 20.12.1995 22:11 </t>
  </si>
  <si>
    <t> -0.1411 </t>
  </si>
  <si>
    <t>2450113.4707 </t>
  </si>
  <si>
    <t> 30.01.1996 23:17 </t>
  </si>
  <si>
    <t> 0.1415 </t>
  </si>
  <si>
    <t>2450369.5211 </t>
  </si>
  <si>
    <t> 13.10.1996 00:30 </t>
  </si>
  <si>
    <t> -0.1137 </t>
  </si>
  <si>
    <t>2451185.4134 </t>
  </si>
  <si>
    <t> 06.01.1999 21:55 </t>
  </si>
  <si>
    <t> -0.0438 </t>
  </si>
  <si>
    <t>2453035.2722 </t>
  </si>
  <si>
    <t> 30.01.2004 18:31 </t>
  </si>
  <si>
    <t> 0.1150 </t>
  </si>
  <si>
    <t>-I</t>
  </si>
  <si>
    <t> F.Agerer </t>
  </si>
  <si>
    <t>2453443.780 </t>
  </si>
  <si>
    <t> 14.03.2005 06:43 </t>
  </si>
  <si>
    <t>26917</t>
  </si>
  <si>
    <t> 0.153 </t>
  </si>
  <si>
    <t>E </t>
  </si>
  <si>
    <t>?</t>
  </si>
  <si>
    <t> R.Nelson </t>
  </si>
  <si>
    <t>IBVS 5672 </t>
  </si>
  <si>
    <t>2453635.616 </t>
  </si>
  <si>
    <t> 22.09.2005 02:47 </t>
  </si>
  <si>
    <t>27260.5</t>
  </si>
  <si>
    <t> 0.179 </t>
  </si>
  <si>
    <t> Moschner &amp; Frank </t>
  </si>
  <si>
    <t>2453764.3291 </t>
  </si>
  <si>
    <t> 28.01.2006 19:53 </t>
  </si>
  <si>
    <t>27491</t>
  </si>
  <si>
    <t> 0.1807 </t>
  </si>
  <si>
    <t>2453765.4457 </t>
  </si>
  <si>
    <t> 29.01.2006 22:41 </t>
  </si>
  <si>
    <t>27493</t>
  </si>
  <si>
    <t> 0.1805 </t>
  </si>
  <si>
    <t>2454019.535 </t>
  </si>
  <si>
    <t> 11.10.2006 00:50 </t>
  </si>
  <si>
    <t>27948</t>
  </si>
  <si>
    <t> 0.198 </t>
  </si>
  <si>
    <t>BAVM 186 </t>
  </si>
  <si>
    <t>2454800.8123 </t>
  </si>
  <si>
    <t> 30.11.2008 07:29 </t>
  </si>
  <si>
    <t>29347</t>
  </si>
  <si>
    <t> 0.2735 </t>
  </si>
  <si>
    <t> R.Diethelm </t>
  </si>
  <si>
    <t>IBVS 5871 </t>
  </si>
  <si>
    <t>2454849.6698 </t>
  </si>
  <si>
    <t> 18.01.2009 04:04 </t>
  </si>
  <si>
    <t>29434.5</t>
  </si>
  <si>
    <t> 0.2710 </t>
  </si>
  <si>
    <t>IBVS 5894 </t>
  </si>
  <si>
    <t>2455527.9162 </t>
  </si>
  <si>
    <t> 27.11.2010 09:59 </t>
  </si>
  <si>
    <t>30649</t>
  </si>
  <si>
    <t> 0.3406 </t>
  </si>
  <si>
    <t>IBVS 5960 </t>
  </si>
  <si>
    <t>2455590.4610 </t>
  </si>
  <si>
    <t> 28.01.2011 23:03 </t>
  </si>
  <si>
    <t>30761</t>
  </si>
  <si>
    <t> 0.3446 </t>
  </si>
  <si>
    <t>BAVM 215 </t>
  </si>
  <si>
    <t>2455957.6453 </t>
  </si>
  <si>
    <t> 31.01.2012 03:29 </t>
  </si>
  <si>
    <t>31418.5</t>
  </si>
  <si>
    <t> 0.3809 </t>
  </si>
  <si>
    <t>IBVS 6029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</si>
</sst>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24" borderId="0" xfId="0" applyFill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quotePrefix="1" applyFont="1" applyAlignment="1"/>
    <xf numFmtId="0" fontId="13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1" fillId="25" borderId="18" xfId="38" applyFill="1" applyBorder="1" applyAlignment="1" applyProtection="1">
      <alignment horizontal="right" vertical="top" wrapText="1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Gem - O-C Diagr.</a:t>
            </a:r>
          </a:p>
        </c:rich>
      </c:tx>
      <c:layout>
        <c:manualLayout>
          <c:xMode val="edge"/>
          <c:yMode val="edge"/>
          <c:x val="0.358559126055189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522760984587"/>
          <c:y val="0.14769252958613219"/>
          <c:w val="0.7891905778268895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9901</c:v>
                </c:pt>
                <c:pt idx="2">
                  <c:v>20771</c:v>
                </c:pt>
                <c:pt idx="3">
                  <c:v>20826</c:v>
                </c:pt>
                <c:pt idx="4">
                  <c:v>20878</c:v>
                </c:pt>
                <c:pt idx="5">
                  <c:v>20951.5</c:v>
                </c:pt>
                <c:pt idx="6">
                  <c:v>21410</c:v>
                </c:pt>
                <c:pt idx="7">
                  <c:v>22287.5</c:v>
                </c:pt>
                <c:pt idx="8">
                  <c:v>22360.5</c:v>
                </c:pt>
                <c:pt idx="9">
                  <c:v>22871</c:v>
                </c:pt>
                <c:pt idx="10">
                  <c:v>25444</c:v>
                </c:pt>
                <c:pt idx="11">
                  <c:v>25564</c:v>
                </c:pt>
                <c:pt idx="12">
                  <c:v>26183.5</c:v>
                </c:pt>
                <c:pt idx="13">
                  <c:v>26915</c:v>
                </c:pt>
                <c:pt idx="14">
                  <c:v>27258.5</c:v>
                </c:pt>
                <c:pt idx="15">
                  <c:v>27489</c:v>
                </c:pt>
                <c:pt idx="16">
                  <c:v>27491</c:v>
                </c:pt>
                <c:pt idx="17">
                  <c:v>27946</c:v>
                </c:pt>
                <c:pt idx="18">
                  <c:v>29345</c:v>
                </c:pt>
                <c:pt idx="19">
                  <c:v>29432.5</c:v>
                </c:pt>
                <c:pt idx="20">
                  <c:v>30647</c:v>
                </c:pt>
                <c:pt idx="21">
                  <c:v>30759</c:v>
                </c:pt>
                <c:pt idx="22">
                  <c:v>31416.5</c:v>
                </c:pt>
                <c:pt idx="23">
                  <c:v>33970</c:v>
                </c:pt>
                <c:pt idx="24">
                  <c:v>33969.5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74-4F16-A750-EDA3D3127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9901</c:v>
                </c:pt>
                <c:pt idx="2">
                  <c:v>20771</c:v>
                </c:pt>
                <c:pt idx="3">
                  <c:v>20826</c:v>
                </c:pt>
                <c:pt idx="4">
                  <c:v>20878</c:v>
                </c:pt>
                <c:pt idx="5">
                  <c:v>20951.5</c:v>
                </c:pt>
                <c:pt idx="6">
                  <c:v>21410</c:v>
                </c:pt>
                <c:pt idx="7">
                  <c:v>22287.5</c:v>
                </c:pt>
                <c:pt idx="8">
                  <c:v>22360.5</c:v>
                </c:pt>
                <c:pt idx="9">
                  <c:v>22871</c:v>
                </c:pt>
                <c:pt idx="10">
                  <c:v>25444</c:v>
                </c:pt>
                <c:pt idx="11">
                  <c:v>25564</c:v>
                </c:pt>
                <c:pt idx="12">
                  <c:v>26183.5</c:v>
                </c:pt>
                <c:pt idx="13">
                  <c:v>26915</c:v>
                </c:pt>
                <c:pt idx="14">
                  <c:v>27258.5</c:v>
                </c:pt>
                <c:pt idx="15">
                  <c:v>27489</c:v>
                </c:pt>
                <c:pt idx="16">
                  <c:v>27491</c:v>
                </c:pt>
                <c:pt idx="17">
                  <c:v>27946</c:v>
                </c:pt>
                <c:pt idx="18">
                  <c:v>29345</c:v>
                </c:pt>
                <c:pt idx="19">
                  <c:v>29432.5</c:v>
                </c:pt>
                <c:pt idx="20">
                  <c:v>30647</c:v>
                </c:pt>
                <c:pt idx="21">
                  <c:v>30759</c:v>
                </c:pt>
                <c:pt idx="22">
                  <c:v>31416.5</c:v>
                </c:pt>
                <c:pt idx="23">
                  <c:v>33970</c:v>
                </c:pt>
                <c:pt idx="24">
                  <c:v>33969.5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-3.2040159319876693E-2</c:v>
                </c:pt>
                <c:pt idx="7">
                  <c:v>-2.7933799698075745E-2</c:v>
                </c:pt>
                <c:pt idx="8">
                  <c:v>-2.9648064082721248E-2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74-4F16-A750-EDA3D3127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9901</c:v>
                </c:pt>
                <c:pt idx="2">
                  <c:v>20771</c:v>
                </c:pt>
                <c:pt idx="3">
                  <c:v>20826</c:v>
                </c:pt>
                <c:pt idx="4">
                  <c:v>20878</c:v>
                </c:pt>
                <c:pt idx="5">
                  <c:v>20951.5</c:v>
                </c:pt>
                <c:pt idx="6">
                  <c:v>21410</c:v>
                </c:pt>
                <c:pt idx="7">
                  <c:v>22287.5</c:v>
                </c:pt>
                <c:pt idx="8">
                  <c:v>22360.5</c:v>
                </c:pt>
                <c:pt idx="9">
                  <c:v>22871</c:v>
                </c:pt>
                <c:pt idx="10">
                  <c:v>25444</c:v>
                </c:pt>
                <c:pt idx="11">
                  <c:v>25564</c:v>
                </c:pt>
                <c:pt idx="12">
                  <c:v>26183.5</c:v>
                </c:pt>
                <c:pt idx="13">
                  <c:v>26915</c:v>
                </c:pt>
                <c:pt idx="14">
                  <c:v>27258.5</c:v>
                </c:pt>
                <c:pt idx="15">
                  <c:v>27489</c:v>
                </c:pt>
                <c:pt idx="16">
                  <c:v>27491</c:v>
                </c:pt>
                <c:pt idx="17">
                  <c:v>27946</c:v>
                </c:pt>
                <c:pt idx="18">
                  <c:v>29345</c:v>
                </c:pt>
                <c:pt idx="19">
                  <c:v>29432.5</c:v>
                </c:pt>
                <c:pt idx="20">
                  <c:v>30647</c:v>
                </c:pt>
                <c:pt idx="21">
                  <c:v>30759</c:v>
                </c:pt>
                <c:pt idx="22">
                  <c:v>31416.5</c:v>
                </c:pt>
                <c:pt idx="23">
                  <c:v>33970</c:v>
                </c:pt>
                <c:pt idx="24">
                  <c:v>33969.5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-2.2428567746828776E-2</c:v>
                </c:pt>
                <c:pt idx="3">
                  <c:v>-2.9076301179884467E-2</c:v>
                </c:pt>
                <c:pt idx="4">
                  <c:v>-2.9379612795310095E-2</c:v>
                </c:pt>
                <c:pt idx="5">
                  <c:v>-2.9517947485146578E-2</c:v>
                </c:pt>
                <c:pt idx="6">
                  <c:v>-2.7590416226303205E-2</c:v>
                </c:pt>
                <c:pt idx="9">
                  <c:v>-2.802384444657946E-2</c:v>
                </c:pt>
                <c:pt idx="12">
                  <c:v>-2.8689608276181389E-2</c:v>
                </c:pt>
                <c:pt idx="14">
                  <c:v>-1.664076182350982E-2</c:v>
                </c:pt>
                <c:pt idx="15">
                  <c:v>-2.5837171953753568E-2</c:v>
                </c:pt>
                <c:pt idx="16">
                  <c:v>-2.6133453175134491E-2</c:v>
                </c:pt>
                <c:pt idx="17">
                  <c:v>-3.0737429784494452E-2</c:v>
                </c:pt>
                <c:pt idx="21">
                  <c:v>-1.9356959957804065E-2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74-4F16-A750-EDA3D3127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9901</c:v>
                </c:pt>
                <c:pt idx="2">
                  <c:v>20771</c:v>
                </c:pt>
                <c:pt idx="3">
                  <c:v>20826</c:v>
                </c:pt>
                <c:pt idx="4">
                  <c:v>20878</c:v>
                </c:pt>
                <c:pt idx="5">
                  <c:v>20951.5</c:v>
                </c:pt>
                <c:pt idx="6">
                  <c:v>21410</c:v>
                </c:pt>
                <c:pt idx="7">
                  <c:v>22287.5</c:v>
                </c:pt>
                <c:pt idx="8">
                  <c:v>22360.5</c:v>
                </c:pt>
                <c:pt idx="9">
                  <c:v>22871</c:v>
                </c:pt>
                <c:pt idx="10">
                  <c:v>25444</c:v>
                </c:pt>
                <c:pt idx="11">
                  <c:v>25564</c:v>
                </c:pt>
                <c:pt idx="12">
                  <c:v>26183.5</c:v>
                </c:pt>
                <c:pt idx="13">
                  <c:v>26915</c:v>
                </c:pt>
                <c:pt idx="14">
                  <c:v>27258.5</c:v>
                </c:pt>
                <c:pt idx="15">
                  <c:v>27489</c:v>
                </c:pt>
                <c:pt idx="16">
                  <c:v>27491</c:v>
                </c:pt>
                <c:pt idx="17">
                  <c:v>27946</c:v>
                </c:pt>
                <c:pt idx="18">
                  <c:v>29345</c:v>
                </c:pt>
                <c:pt idx="19">
                  <c:v>29432.5</c:v>
                </c:pt>
                <c:pt idx="20">
                  <c:v>30647</c:v>
                </c:pt>
                <c:pt idx="21">
                  <c:v>30759</c:v>
                </c:pt>
                <c:pt idx="22">
                  <c:v>31416.5</c:v>
                </c:pt>
                <c:pt idx="23">
                  <c:v>33970</c:v>
                </c:pt>
                <c:pt idx="24">
                  <c:v>33969.5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">
                  <c:v>-3.3489628702227492E-2</c:v>
                </c:pt>
                <c:pt idx="11">
                  <c:v>-3.0966501653892919E-2</c:v>
                </c:pt>
                <c:pt idx="13">
                  <c:v>-2.5704462997964583E-2</c:v>
                </c:pt>
                <c:pt idx="18">
                  <c:v>-2.2386140313756187E-2</c:v>
                </c:pt>
                <c:pt idx="19">
                  <c:v>-2.9098443512339145E-2</c:v>
                </c:pt>
                <c:pt idx="20">
                  <c:v>-1.7965211867704056E-2</c:v>
                </c:pt>
                <c:pt idx="22">
                  <c:v>-1.4709409690112807E-2</c:v>
                </c:pt>
                <c:pt idx="23">
                  <c:v>-9.3364520871546119E-3</c:v>
                </c:pt>
                <c:pt idx="24">
                  <c:v>-1.0212381785095204E-2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74-4F16-A750-EDA3D3127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9901</c:v>
                </c:pt>
                <c:pt idx="2">
                  <c:v>20771</c:v>
                </c:pt>
                <c:pt idx="3">
                  <c:v>20826</c:v>
                </c:pt>
                <c:pt idx="4">
                  <c:v>20878</c:v>
                </c:pt>
                <c:pt idx="5">
                  <c:v>20951.5</c:v>
                </c:pt>
                <c:pt idx="6">
                  <c:v>21410</c:v>
                </c:pt>
                <c:pt idx="7">
                  <c:v>22287.5</c:v>
                </c:pt>
                <c:pt idx="8">
                  <c:v>22360.5</c:v>
                </c:pt>
                <c:pt idx="9">
                  <c:v>22871</c:v>
                </c:pt>
                <c:pt idx="10">
                  <c:v>25444</c:v>
                </c:pt>
                <c:pt idx="11">
                  <c:v>25564</c:v>
                </c:pt>
                <c:pt idx="12">
                  <c:v>26183.5</c:v>
                </c:pt>
                <c:pt idx="13">
                  <c:v>26915</c:v>
                </c:pt>
                <c:pt idx="14">
                  <c:v>27258.5</c:v>
                </c:pt>
                <c:pt idx="15">
                  <c:v>27489</c:v>
                </c:pt>
                <c:pt idx="16">
                  <c:v>27491</c:v>
                </c:pt>
                <c:pt idx="17">
                  <c:v>27946</c:v>
                </c:pt>
                <c:pt idx="18">
                  <c:v>29345</c:v>
                </c:pt>
                <c:pt idx="19">
                  <c:v>29432.5</c:v>
                </c:pt>
                <c:pt idx="20">
                  <c:v>30647</c:v>
                </c:pt>
                <c:pt idx="21">
                  <c:v>30759</c:v>
                </c:pt>
                <c:pt idx="22">
                  <c:v>31416.5</c:v>
                </c:pt>
                <c:pt idx="23">
                  <c:v>33970</c:v>
                </c:pt>
                <c:pt idx="24">
                  <c:v>33969.5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74-4F16-A750-EDA3D3127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9901</c:v>
                </c:pt>
                <c:pt idx="2">
                  <c:v>20771</c:v>
                </c:pt>
                <c:pt idx="3">
                  <c:v>20826</c:v>
                </c:pt>
                <c:pt idx="4">
                  <c:v>20878</c:v>
                </c:pt>
                <c:pt idx="5">
                  <c:v>20951.5</c:v>
                </c:pt>
                <c:pt idx="6">
                  <c:v>21410</c:v>
                </c:pt>
                <c:pt idx="7">
                  <c:v>22287.5</c:v>
                </c:pt>
                <c:pt idx="8">
                  <c:v>22360.5</c:v>
                </c:pt>
                <c:pt idx="9">
                  <c:v>22871</c:v>
                </c:pt>
                <c:pt idx="10">
                  <c:v>25444</c:v>
                </c:pt>
                <c:pt idx="11">
                  <c:v>25564</c:v>
                </c:pt>
                <c:pt idx="12">
                  <c:v>26183.5</c:v>
                </c:pt>
                <c:pt idx="13">
                  <c:v>26915</c:v>
                </c:pt>
                <c:pt idx="14">
                  <c:v>27258.5</c:v>
                </c:pt>
                <c:pt idx="15">
                  <c:v>27489</c:v>
                </c:pt>
                <c:pt idx="16">
                  <c:v>27491</c:v>
                </c:pt>
                <c:pt idx="17">
                  <c:v>27946</c:v>
                </c:pt>
                <c:pt idx="18">
                  <c:v>29345</c:v>
                </c:pt>
                <c:pt idx="19">
                  <c:v>29432.5</c:v>
                </c:pt>
                <c:pt idx="20">
                  <c:v>30647</c:v>
                </c:pt>
                <c:pt idx="21">
                  <c:v>30759</c:v>
                </c:pt>
                <c:pt idx="22">
                  <c:v>31416.5</c:v>
                </c:pt>
                <c:pt idx="23">
                  <c:v>33970</c:v>
                </c:pt>
                <c:pt idx="24">
                  <c:v>33969.5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74-4F16-A750-EDA3D3127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1.1999999999999999E-3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2.7000000000000001E-3</c:v>
                  </c:pt>
                  <c:pt idx="22">
                    <c:v>5.9999999999999995E-4</c:v>
                  </c:pt>
                  <c:pt idx="23">
                    <c:v>3.8E-3</c:v>
                  </c:pt>
                  <c:pt idx="2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9901</c:v>
                </c:pt>
                <c:pt idx="2">
                  <c:v>20771</c:v>
                </c:pt>
                <c:pt idx="3">
                  <c:v>20826</c:v>
                </c:pt>
                <c:pt idx="4">
                  <c:v>20878</c:v>
                </c:pt>
                <c:pt idx="5">
                  <c:v>20951.5</c:v>
                </c:pt>
                <c:pt idx="6">
                  <c:v>21410</c:v>
                </c:pt>
                <c:pt idx="7">
                  <c:v>22287.5</c:v>
                </c:pt>
                <c:pt idx="8">
                  <c:v>22360.5</c:v>
                </c:pt>
                <c:pt idx="9">
                  <c:v>22871</c:v>
                </c:pt>
                <c:pt idx="10">
                  <c:v>25444</c:v>
                </c:pt>
                <c:pt idx="11">
                  <c:v>25564</c:v>
                </c:pt>
                <c:pt idx="12">
                  <c:v>26183.5</c:v>
                </c:pt>
                <c:pt idx="13">
                  <c:v>26915</c:v>
                </c:pt>
                <c:pt idx="14">
                  <c:v>27258.5</c:v>
                </c:pt>
                <c:pt idx="15">
                  <c:v>27489</c:v>
                </c:pt>
                <c:pt idx="16">
                  <c:v>27491</c:v>
                </c:pt>
                <c:pt idx="17">
                  <c:v>27946</c:v>
                </c:pt>
                <c:pt idx="18">
                  <c:v>29345</c:v>
                </c:pt>
                <c:pt idx="19">
                  <c:v>29432.5</c:v>
                </c:pt>
                <c:pt idx="20">
                  <c:v>30647</c:v>
                </c:pt>
                <c:pt idx="21">
                  <c:v>30759</c:v>
                </c:pt>
                <c:pt idx="22">
                  <c:v>31416.5</c:v>
                </c:pt>
                <c:pt idx="23">
                  <c:v>33970</c:v>
                </c:pt>
                <c:pt idx="24">
                  <c:v>33969.5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74-4F16-A750-EDA3D3127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9901</c:v>
                </c:pt>
                <c:pt idx="2">
                  <c:v>20771</c:v>
                </c:pt>
                <c:pt idx="3">
                  <c:v>20826</c:v>
                </c:pt>
                <c:pt idx="4">
                  <c:v>20878</c:v>
                </c:pt>
                <c:pt idx="5">
                  <c:v>20951.5</c:v>
                </c:pt>
                <c:pt idx="6">
                  <c:v>21410</c:v>
                </c:pt>
                <c:pt idx="7">
                  <c:v>22287.5</c:v>
                </c:pt>
                <c:pt idx="8">
                  <c:v>22360.5</c:v>
                </c:pt>
                <c:pt idx="9">
                  <c:v>22871</c:v>
                </c:pt>
                <c:pt idx="10">
                  <c:v>25444</c:v>
                </c:pt>
                <c:pt idx="11">
                  <c:v>25564</c:v>
                </c:pt>
                <c:pt idx="12">
                  <c:v>26183.5</c:v>
                </c:pt>
                <c:pt idx="13">
                  <c:v>26915</c:v>
                </c:pt>
                <c:pt idx="14">
                  <c:v>27258.5</c:v>
                </c:pt>
                <c:pt idx="15">
                  <c:v>27489</c:v>
                </c:pt>
                <c:pt idx="16">
                  <c:v>27491</c:v>
                </c:pt>
                <c:pt idx="17">
                  <c:v>27946</c:v>
                </c:pt>
                <c:pt idx="18">
                  <c:v>29345</c:v>
                </c:pt>
                <c:pt idx="19">
                  <c:v>29432.5</c:v>
                </c:pt>
                <c:pt idx="20">
                  <c:v>30647</c:v>
                </c:pt>
                <c:pt idx="21">
                  <c:v>30759</c:v>
                </c:pt>
                <c:pt idx="22">
                  <c:v>31416.5</c:v>
                </c:pt>
                <c:pt idx="23">
                  <c:v>33970</c:v>
                </c:pt>
                <c:pt idx="24">
                  <c:v>33969.5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-9.2279425832216572E-2</c:v>
                </c:pt>
                <c:pt idx="1">
                  <c:v>-6.8477448125713852E-2</c:v>
                </c:pt>
                <c:pt idx="2">
                  <c:v>-4.2345996992526835E-2</c:v>
                </c:pt>
                <c:pt idx="3">
                  <c:v>-4.2213777138587066E-2</c:v>
                </c:pt>
                <c:pt idx="4">
                  <c:v>-4.2088769276680378E-2</c:v>
                </c:pt>
                <c:pt idx="5">
                  <c:v>-4.191207547186996E-2</c:v>
                </c:pt>
                <c:pt idx="6">
                  <c:v>-4.0809842689481159E-2</c:v>
                </c:pt>
                <c:pt idx="7">
                  <c:v>-3.8700335019805764E-2</c:v>
                </c:pt>
                <c:pt idx="8">
                  <c:v>-3.8524843213667524E-2</c:v>
                </c:pt>
                <c:pt idx="9">
                  <c:v>-3.7297602569372035E-2</c:v>
                </c:pt>
                <c:pt idx="10">
                  <c:v>-3.1112117402335215E-2</c:v>
                </c:pt>
                <c:pt idx="11">
                  <c:v>-3.0823637721012084E-2</c:v>
                </c:pt>
                <c:pt idx="12">
                  <c:v>-2.9334361366181422E-2</c:v>
                </c:pt>
                <c:pt idx="13">
                  <c:v>-2.7575837308782492E-2</c:v>
                </c:pt>
                <c:pt idx="14">
                  <c:v>-2.6750064220995032E-2</c:v>
                </c:pt>
                <c:pt idx="15">
                  <c:v>-2.6195942833120184E-2</c:v>
                </c:pt>
                <c:pt idx="16">
                  <c:v>-2.6191134838431468E-2</c:v>
                </c:pt>
                <c:pt idx="17">
                  <c:v>-2.5097316046747919E-2</c:v>
                </c:pt>
                <c:pt idx="18">
                  <c:v>-2.1734123761989077E-2</c:v>
                </c:pt>
                <c:pt idx="19">
                  <c:v>-2.1523773994357634E-2</c:v>
                </c:pt>
                <c:pt idx="20">
                  <c:v>-1.8604119219633106E-2</c:v>
                </c:pt>
                <c:pt idx="21">
                  <c:v>-1.8334871517064838E-2</c:v>
                </c:pt>
                <c:pt idx="22">
                  <c:v>-1.6754243263148519E-2</c:v>
                </c:pt>
                <c:pt idx="23">
                  <c:v>-1.0615636044326707E-2</c:v>
                </c:pt>
                <c:pt idx="24">
                  <c:v>-1.0616838042998886E-2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74-4F16-A750-EDA3D312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200312"/>
        <c:axId val="1"/>
      </c:scatterChart>
      <c:valAx>
        <c:axId val="92020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252701520417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542432195975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0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37875670946535"/>
          <c:y val="0.92000129214617399"/>
          <c:w val="0.753154477311957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Gem - O-C Diagr.</a:t>
            </a:r>
          </a:p>
        </c:rich>
      </c:tx>
      <c:layout>
        <c:manualLayout>
          <c:xMode val="edge"/>
          <c:yMode val="edge"/>
          <c:x val="0.358559126055189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4439777660082"/>
          <c:y val="0.15"/>
          <c:w val="0.8000014076601345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9902</c:v>
                </c:pt>
                <c:pt idx="2">
                  <c:v>22290</c:v>
                </c:pt>
                <c:pt idx="3">
                  <c:v>22363</c:v>
                </c:pt>
                <c:pt idx="4">
                  <c:v>26918</c:v>
                </c:pt>
                <c:pt idx="5">
                  <c:v>20773.5</c:v>
                </c:pt>
                <c:pt idx="6">
                  <c:v>20828</c:v>
                </c:pt>
                <c:pt idx="7">
                  <c:v>20880</c:v>
                </c:pt>
                <c:pt idx="8">
                  <c:v>20954</c:v>
                </c:pt>
                <c:pt idx="9">
                  <c:v>21412.5</c:v>
                </c:pt>
                <c:pt idx="10">
                  <c:v>22873.5</c:v>
                </c:pt>
                <c:pt idx="11">
                  <c:v>26186</c:v>
                </c:pt>
                <c:pt idx="12">
                  <c:v>27261.5</c:v>
                </c:pt>
                <c:pt idx="13">
                  <c:v>27492</c:v>
                </c:pt>
                <c:pt idx="14">
                  <c:v>27494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6-49CA-B82E-AD6E709C0F6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9902</c:v>
                </c:pt>
                <c:pt idx="2">
                  <c:v>22290</c:v>
                </c:pt>
                <c:pt idx="3">
                  <c:v>22363</c:v>
                </c:pt>
                <c:pt idx="4">
                  <c:v>26918</c:v>
                </c:pt>
                <c:pt idx="5">
                  <c:v>20773.5</c:v>
                </c:pt>
                <c:pt idx="6">
                  <c:v>20828</c:v>
                </c:pt>
                <c:pt idx="7">
                  <c:v>20880</c:v>
                </c:pt>
                <c:pt idx="8">
                  <c:v>20954</c:v>
                </c:pt>
                <c:pt idx="9">
                  <c:v>21412.5</c:v>
                </c:pt>
                <c:pt idx="10">
                  <c:v>22873.5</c:v>
                </c:pt>
                <c:pt idx="11">
                  <c:v>26186</c:v>
                </c:pt>
                <c:pt idx="12">
                  <c:v>27261.5</c:v>
                </c:pt>
                <c:pt idx="13">
                  <c:v>27492</c:v>
                </c:pt>
                <c:pt idx="14">
                  <c:v>27494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-0.11379999999917345</c:v>
                </c:pt>
                <c:pt idx="2">
                  <c:v>-0.35100000000238651</c:v>
                </c:pt>
                <c:pt idx="3">
                  <c:v>-0.34919999999692664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6-49CA-B82E-AD6E709C0F6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9902</c:v>
                </c:pt>
                <c:pt idx="2">
                  <c:v>22290</c:v>
                </c:pt>
                <c:pt idx="3">
                  <c:v>22363</c:v>
                </c:pt>
                <c:pt idx="4">
                  <c:v>26918</c:v>
                </c:pt>
                <c:pt idx="5">
                  <c:v>20773.5</c:v>
                </c:pt>
                <c:pt idx="6">
                  <c:v>20828</c:v>
                </c:pt>
                <c:pt idx="7">
                  <c:v>20880</c:v>
                </c:pt>
                <c:pt idx="8">
                  <c:v>20954</c:v>
                </c:pt>
                <c:pt idx="9">
                  <c:v>21412.5</c:v>
                </c:pt>
                <c:pt idx="10">
                  <c:v>22873.5</c:v>
                </c:pt>
                <c:pt idx="11">
                  <c:v>26186</c:v>
                </c:pt>
                <c:pt idx="12">
                  <c:v>27261.5</c:v>
                </c:pt>
                <c:pt idx="13">
                  <c:v>27492</c:v>
                </c:pt>
                <c:pt idx="14">
                  <c:v>27494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4">
                  <c:v>-0.40520000000105938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6-49CA-B82E-AD6E709C0F6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9902</c:v>
                </c:pt>
                <c:pt idx="2">
                  <c:v>22290</c:v>
                </c:pt>
                <c:pt idx="3">
                  <c:v>22363</c:v>
                </c:pt>
                <c:pt idx="4">
                  <c:v>26918</c:v>
                </c:pt>
                <c:pt idx="5">
                  <c:v>20773.5</c:v>
                </c:pt>
                <c:pt idx="6">
                  <c:v>20828</c:v>
                </c:pt>
                <c:pt idx="7">
                  <c:v>20880</c:v>
                </c:pt>
                <c:pt idx="8">
                  <c:v>20954</c:v>
                </c:pt>
                <c:pt idx="9">
                  <c:v>21412.5</c:v>
                </c:pt>
                <c:pt idx="10">
                  <c:v>22873.5</c:v>
                </c:pt>
                <c:pt idx="11">
                  <c:v>26186</c:v>
                </c:pt>
                <c:pt idx="12">
                  <c:v>27261.5</c:v>
                </c:pt>
                <c:pt idx="13">
                  <c:v>27492</c:v>
                </c:pt>
                <c:pt idx="14">
                  <c:v>27494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5">
                  <c:v>0</c:v>
                </c:pt>
                <c:pt idx="6">
                  <c:v>-0.14329999999608845</c:v>
                </c:pt>
                <c:pt idx="7">
                  <c:v>-0.14110000000073342</c:v>
                </c:pt>
                <c:pt idx="8">
                  <c:v>-0.41690000000380678</c:v>
                </c:pt>
                <c:pt idx="9">
                  <c:v>-0.39289999999891734</c:v>
                </c:pt>
                <c:pt idx="10">
                  <c:v>-0.32300000000395812</c:v>
                </c:pt>
                <c:pt idx="11">
                  <c:v>-0.16419999999925494</c:v>
                </c:pt>
                <c:pt idx="12">
                  <c:v>-0.37959999999293359</c:v>
                </c:pt>
                <c:pt idx="13">
                  <c:v>-0.37769999999727588</c:v>
                </c:pt>
                <c:pt idx="14">
                  <c:v>-0.37790000000677537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6-49CA-B82E-AD6E709C0F6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9902</c:v>
                </c:pt>
                <c:pt idx="2">
                  <c:v>22290</c:v>
                </c:pt>
                <c:pt idx="3">
                  <c:v>22363</c:v>
                </c:pt>
                <c:pt idx="4">
                  <c:v>26918</c:v>
                </c:pt>
                <c:pt idx="5">
                  <c:v>20773.5</c:v>
                </c:pt>
                <c:pt idx="6">
                  <c:v>20828</c:v>
                </c:pt>
                <c:pt idx="7">
                  <c:v>20880</c:v>
                </c:pt>
                <c:pt idx="8">
                  <c:v>20954</c:v>
                </c:pt>
                <c:pt idx="9">
                  <c:v>21412.5</c:v>
                </c:pt>
                <c:pt idx="10">
                  <c:v>22873.5</c:v>
                </c:pt>
                <c:pt idx="11">
                  <c:v>26186</c:v>
                </c:pt>
                <c:pt idx="12">
                  <c:v>27261.5</c:v>
                </c:pt>
                <c:pt idx="13">
                  <c:v>27492</c:v>
                </c:pt>
                <c:pt idx="14">
                  <c:v>27494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6-49CA-B82E-AD6E709C0F6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9902</c:v>
                </c:pt>
                <c:pt idx="2">
                  <c:v>22290</c:v>
                </c:pt>
                <c:pt idx="3">
                  <c:v>22363</c:v>
                </c:pt>
                <c:pt idx="4">
                  <c:v>26918</c:v>
                </c:pt>
                <c:pt idx="5">
                  <c:v>20773.5</c:v>
                </c:pt>
                <c:pt idx="6">
                  <c:v>20828</c:v>
                </c:pt>
                <c:pt idx="7">
                  <c:v>20880</c:v>
                </c:pt>
                <c:pt idx="8">
                  <c:v>20954</c:v>
                </c:pt>
                <c:pt idx="9">
                  <c:v>21412.5</c:v>
                </c:pt>
                <c:pt idx="10">
                  <c:v>22873.5</c:v>
                </c:pt>
                <c:pt idx="11">
                  <c:v>26186</c:v>
                </c:pt>
                <c:pt idx="12">
                  <c:v>27261.5</c:v>
                </c:pt>
                <c:pt idx="13">
                  <c:v>27492</c:v>
                </c:pt>
                <c:pt idx="14">
                  <c:v>27494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6-49CA-B82E-AD6E709C0F6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3.0000000000000001E-3</c:v>
                  </c:pt>
                  <c:pt idx="3">
                    <c:v>2E-3</c:v>
                  </c:pt>
                  <c:pt idx="4">
                    <c:v>1E-4</c:v>
                  </c:pt>
                  <c:pt idx="5">
                    <c:v>1.2999999999999999E-3</c:v>
                  </c:pt>
                  <c:pt idx="6">
                    <c:v>1.2999999999999999E-3</c:v>
                  </c:pt>
                  <c:pt idx="7">
                    <c:v>1.2999999999999999E-3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2E-3</c:v>
                  </c:pt>
                  <c:pt idx="13">
                    <c:v>5.0000000000000001E-4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9902</c:v>
                </c:pt>
                <c:pt idx="2">
                  <c:v>22290</c:v>
                </c:pt>
                <c:pt idx="3">
                  <c:v>22363</c:v>
                </c:pt>
                <c:pt idx="4">
                  <c:v>26918</c:v>
                </c:pt>
                <c:pt idx="5">
                  <c:v>20773.5</c:v>
                </c:pt>
                <c:pt idx="6">
                  <c:v>20828</c:v>
                </c:pt>
                <c:pt idx="7">
                  <c:v>20880</c:v>
                </c:pt>
                <c:pt idx="8">
                  <c:v>20954</c:v>
                </c:pt>
                <c:pt idx="9">
                  <c:v>21412.5</c:v>
                </c:pt>
                <c:pt idx="10">
                  <c:v>22873.5</c:v>
                </c:pt>
                <c:pt idx="11">
                  <c:v>26186</c:v>
                </c:pt>
                <c:pt idx="12">
                  <c:v>27261.5</c:v>
                </c:pt>
                <c:pt idx="13">
                  <c:v>27492</c:v>
                </c:pt>
                <c:pt idx="14">
                  <c:v>27494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6-49CA-B82E-AD6E709C0F6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9902</c:v>
                </c:pt>
                <c:pt idx="2">
                  <c:v>22290</c:v>
                </c:pt>
                <c:pt idx="3">
                  <c:v>22363</c:v>
                </c:pt>
                <c:pt idx="4">
                  <c:v>26918</c:v>
                </c:pt>
                <c:pt idx="5">
                  <c:v>20773.5</c:v>
                </c:pt>
                <c:pt idx="6">
                  <c:v>20828</c:v>
                </c:pt>
                <c:pt idx="7">
                  <c:v>20880</c:v>
                </c:pt>
                <c:pt idx="8">
                  <c:v>20954</c:v>
                </c:pt>
                <c:pt idx="9">
                  <c:v>21412.5</c:v>
                </c:pt>
                <c:pt idx="10">
                  <c:v>22873.5</c:v>
                </c:pt>
                <c:pt idx="11">
                  <c:v>26186</c:v>
                </c:pt>
                <c:pt idx="12">
                  <c:v>27261.5</c:v>
                </c:pt>
                <c:pt idx="13">
                  <c:v>27492</c:v>
                </c:pt>
                <c:pt idx="14">
                  <c:v>27494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-1.4245758056279549</c:v>
                </c:pt>
                <c:pt idx="1">
                  <c:v>-0.94788750569956193</c:v>
                </c:pt>
                <c:pt idx="2">
                  <c:v>-0.35152165440558791</c:v>
                </c:pt>
                <c:pt idx="3">
                  <c:v>-0.34800739002518255</c:v>
                </c:pt>
                <c:pt idx="4">
                  <c:v>-0.12872692080948589</c:v>
                </c:pt>
                <c:pt idx="5">
                  <c:v>-0.42452688636291036</c:v>
                </c:pt>
                <c:pt idx="6">
                  <c:v>-0.42190322322959428</c:v>
                </c:pt>
                <c:pt idx="7">
                  <c:v>-0.41939991161615486</c:v>
                </c:pt>
                <c:pt idx="8">
                  <c:v>-0.41583750662779884</c:v>
                </c:pt>
                <c:pt idx="9">
                  <c:v>-0.39376503788237693</c:v>
                </c:pt>
                <c:pt idx="10">
                  <c:v>-0.32343160966632145</c:v>
                </c:pt>
                <c:pt idx="11">
                  <c:v>-0.16396584582943974</c:v>
                </c:pt>
                <c:pt idx="12">
                  <c:v>-0.11219062197840102</c:v>
                </c:pt>
                <c:pt idx="13">
                  <c:v>-0.1010942118457514</c:v>
                </c:pt>
                <c:pt idx="14">
                  <c:v>-0.10099793062985007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6-49CA-B82E-AD6E709C0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197792"/>
        <c:axId val="1"/>
      </c:scatterChart>
      <c:valAx>
        <c:axId val="92019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198647466364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542432195975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19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89191080844624"/>
          <c:y val="0.91874999999999996"/>
          <c:w val="0.98558728807547691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114300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4D9FAA5-5E64-3B1C-76C2-4A9CC300A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200025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4C492B-DD05-274B-FAD1-47D58DF0E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2" TargetMode="External"/><Relationship Id="rId13" Type="http://schemas.openxmlformats.org/officeDocument/2006/relationships/hyperlink" Target="http://www.konkoly.hu/cgi-bin/IBVS?5871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613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27</v>
      </c>
      <c r="B2" s="17" t="s">
        <v>42</v>
      </c>
    </row>
    <row r="4" spans="1:6" ht="14.25" thickTop="1" thickBot="1">
      <c r="A4" s="8" t="s">
        <v>1</v>
      </c>
      <c r="C4" s="3">
        <v>38413.173999999999</v>
      </c>
      <c r="D4" s="4">
        <v>0.55840000000000001</v>
      </c>
    </row>
    <row r="5" spans="1:6" ht="13.5" thickTop="1">
      <c r="A5" s="26" t="s">
        <v>47</v>
      </c>
      <c r="B5" s="18"/>
      <c r="C5" s="27">
        <v>-9.5</v>
      </c>
      <c r="D5" s="18" t="s">
        <v>48</v>
      </c>
    </row>
    <row r="6" spans="1:6">
      <c r="A6" s="8" t="s">
        <v>2</v>
      </c>
    </row>
    <row r="7" spans="1:6">
      <c r="A7" t="s">
        <v>3</v>
      </c>
      <c r="C7">
        <f>+C4</f>
        <v>38413.173999999999</v>
      </c>
    </row>
    <row r="8" spans="1:6">
      <c r="A8" t="s">
        <v>4</v>
      </c>
      <c r="C8">
        <v>0.55844814060795078</v>
      </c>
      <c r="D8" s="40" t="s">
        <v>59</v>
      </c>
    </row>
    <row r="9" spans="1:6">
      <c r="A9" s="37" t="s">
        <v>53</v>
      </c>
      <c r="B9" s="38">
        <v>31</v>
      </c>
      <c r="C9" s="36" t="str">
        <f>"F"&amp;B9</f>
        <v>F31</v>
      </c>
      <c r="D9" s="12" t="str">
        <f>"G"&amp;B9</f>
        <v>G31</v>
      </c>
    </row>
    <row r="10" spans="1:6" ht="13.5" thickBot="1">
      <c r="A10" s="18"/>
      <c r="B10" s="18"/>
      <c r="C10" s="7" t="s">
        <v>22</v>
      </c>
      <c r="D10" s="7" t="s">
        <v>23</v>
      </c>
      <c r="E10" s="18"/>
    </row>
    <row r="11" spans="1:6">
      <c r="A11" s="18" t="s">
        <v>17</v>
      </c>
      <c r="B11" s="18"/>
      <c r="C11" s="35">
        <f ca="1">INTERCEPT(INDIRECT($D$9):G986,INDIRECT($C$9):F986)</f>
        <v>-9.2279425832216572E-2</v>
      </c>
      <c r="D11" s="6"/>
      <c r="E11" s="18"/>
    </row>
    <row r="12" spans="1:6">
      <c r="A12" s="18" t="s">
        <v>18</v>
      </c>
      <c r="B12" s="18"/>
      <c r="C12" s="35">
        <f ca="1">SLOPE(INDIRECT($D$9):G986,INDIRECT($C$9):F986)</f>
        <v>2.4039973443594307E-6</v>
      </c>
      <c r="D12" s="6"/>
      <c r="E12" s="18"/>
    </row>
    <row r="13" spans="1:6">
      <c r="A13" s="18" t="s">
        <v>21</v>
      </c>
      <c r="B13" s="18"/>
      <c r="C13" s="6" t="s">
        <v>15</v>
      </c>
    </row>
    <row r="14" spans="1:6">
      <c r="A14" s="18"/>
      <c r="B14" s="18"/>
      <c r="C14" s="18"/>
    </row>
    <row r="15" spans="1:6">
      <c r="A15" s="28" t="s">
        <v>19</v>
      </c>
      <c r="B15" s="18"/>
      <c r="C15" s="14">
        <f ca="1">(C7+C11)+(C8+C12)*INT(MAX(F21:F3527))</f>
        <v>57383.646720816047</v>
      </c>
      <c r="E15" s="29" t="s">
        <v>56</v>
      </c>
      <c r="F15" s="27">
        <v>1</v>
      </c>
    </row>
    <row r="16" spans="1:6">
      <c r="A16" s="31" t="s">
        <v>5</v>
      </c>
      <c r="B16" s="18"/>
      <c r="C16" s="15">
        <f ca="1">+C8+C12</f>
        <v>0.5584505446052952</v>
      </c>
      <c r="E16" s="29" t="s">
        <v>49</v>
      </c>
      <c r="F16" s="30">
        <f ca="1">NOW()+15018.5+$C$5/24</f>
        <v>60351.750175578702</v>
      </c>
    </row>
    <row r="17" spans="1:31" ht="13.5" thickBot="1">
      <c r="A17" s="29" t="s">
        <v>41</v>
      </c>
      <c r="B17" s="18"/>
      <c r="C17" s="18">
        <f>COUNT(C21:C2185)</f>
        <v>25</v>
      </c>
      <c r="E17" s="29" t="s">
        <v>57</v>
      </c>
      <c r="F17" s="30">
        <f ca="1">ROUND(2*(F16-$C$7)/$C$8,0)/2+F15</f>
        <v>39286</v>
      </c>
    </row>
    <row r="18" spans="1:31" ht="14.25" thickTop="1" thickBot="1">
      <c r="A18" s="31" t="s">
        <v>6</v>
      </c>
      <c r="B18" s="18"/>
      <c r="C18" s="33">
        <f ca="1">+C15</f>
        <v>57383.646720816047</v>
      </c>
      <c r="D18" s="34">
        <f ca="1">+C16</f>
        <v>0.5584505446052952</v>
      </c>
      <c r="E18" s="29" t="s">
        <v>50</v>
      </c>
      <c r="F18" s="12">
        <f ca="1">ROUND(2*(F16-$C$15)/$C$16,0)/2+F15</f>
        <v>5316</v>
      </c>
    </row>
    <row r="19" spans="1:31" ht="13.5" thickTop="1">
      <c r="E19" s="29" t="s">
        <v>51</v>
      </c>
      <c r="F19" s="32">
        <f ca="1">+$C$15+$C$16*F18-15018.5-$C$5/24</f>
        <v>45334.265649271132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69</v>
      </c>
      <c r="I20" s="10" t="s">
        <v>72</v>
      </c>
      <c r="J20" s="10" t="s">
        <v>66</v>
      </c>
      <c r="K20" s="10" t="s">
        <v>64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1">
      <c r="A21" t="s">
        <v>13</v>
      </c>
      <c r="B21" s="6"/>
      <c r="C21" s="25">
        <v>38413.173999999999</v>
      </c>
      <c r="D21" s="25" t="s">
        <v>15</v>
      </c>
      <c r="E21">
        <f t="shared" ref="E21:E43" si="0">+(C21-C$7)/C$8</f>
        <v>0</v>
      </c>
      <c r="F21">
        <f t="shared" ref="F21:F45" si="1">ROUND(2*E21,0)/2</f>
        <v>0</v>
      </c>
      <c r="G21">
        <f t="shared" ref="G21:G43" si="2">+C21-(C$7+F21*C$8)</f>
        <v>0</v>
      </c>
      <c r="H21" s="12">
        <f>G21</f>
        <v>0</v>
      </c>
      <c r="O21">
        <f t="shared" ref="O21:O43" ca="1" si="3">+C$11+C$12*F21</f>
        <v>-9.2279425832216572E-2</v>
      </c>
      <c r="Q21" s="2">
        <f t="shared" ref="Q21:Q43" si="4">+C21-15018.5</f>
        <v>23394.673999999999</v>
      </c>
    </row>
    <row r="22" spans="1:31">
      <c r="A22" t="s">
        <v>32</v>
      </c>
      <c r="B22" s="6"/>
      <c r="C22" s="25">
        <v>43942.337</v>
      </c>
      <c r="D22" s="25"/>
      <c r="E22">
        <f t="shared" si="0"/>
        <v>9900.9426264374597</v>
      </c>
      <c r="F22">
        <f t="shared" si="1"/>
        <v>9901</v>
      </c>
      <c r="G22">
        <f t="shared" si="2"/>
        <v>-3.2040159319876693E-2</v>
      </c>
      <c r="I22">
        <f>G22</f>
        <v>-3.2040159319876693E-2</v>
      </c>
      <c r="O22">
        <f t="shared" ca="1" si="3"/>
        <v>-6.8477448125713852E-2</v>
      </c>
      <c r="Q22" s="2">
        <f t="shared" si="4"/>
        <v>28923.837</v>
      </c>
      <c r="AA22">
        <v>11</v>
      </c>
      <c r="AC22" t="s">
        <v>31</v>
      </c>
      <c r="AE22" t="s">
        <v>33</v>
      </c>
    </row>
    <row r="23" spans="1:31">
      <c r="A23" s="18" t="s">
        <v>44</v>
      </c>
      <c r="B23" s="19"/>
      <c r="C23" s="25">
        <v>50012.677900000002</v>
      </c>
      <c r="D23" s="25">
        <v>1.2999999999999999E-3</v>
      </c>
      <c r="E23">
        <f t="shared" si="0"/>
        <v>20770.959837689283</v>
      </c>
      <c r="F23">
        <f t="shared" si="1"/>
        <v>20771</v>
      </c>
      <c r="G23">
        <f t="shared" si="2"/>
        <v>-2.2428567746828776E-2</v>
      </c>
      <c r="J23">
        <f>+G23</f>
        <v>-2.2428567746828776E-2</v>
      </c>
      <c r="O23">
        <f t="shared" ca="1" si="3"/>
        <v>-4.2345996992526835E-2</v>
      </c>
      <c r="Q23" s="2">
        <f t="shared" si="4"/>
        <v>34994.177900000002</v>
      </c>
    </row>
    <row r="24" spans="1:31">
      <c r="A24" s="18" t="s">
        <v>44</v>
      </c>
      <c r="B24" s="19"/>
      <c r="C24" s="25">
        <v>50043.385900000001</v>
      </c>
      <c r="D24" s="25">
        <v>1.2999999999999999E-3</v>
      </c>
      <c r="E24">
        <f t="shared" si="0"/>
        <v>20825.947933748783</v>
      </c>
      <c r="F24">
        <f t="shared" si="1"/>
        <v>20826</v>
      </c>
      <c r="G24">
        <f t="shared" si="2"/>
        <v>-2.9076301179884467E-2</v>
      </c>
      <c r="J24">
        <f>+G24</f>
        <v>-2.9076301179884467E-2</v>
      </c>
      <c r="O24">
        <f t="shared" ca="1" si="3"/>
        <v>-4.2213777138587066E-2</v>
      </c>
      <c r="Q24" s="2">
        <f t="shared" si="4"/>
        <v>35024.885900000001</v>
      </c>
    </row>
    <row r="25" spans="1:31">
      <c r="A25" s="18" t="s">
        <v>44</v>
      </c>
      <c r="B25" s="19"/>
      <c r="C25" s="25">
        <v>50072.424899999998</v>
      </c>
      <c r="D25" s="25">
        <v>1.2999999999999999E-3</v>
      </c>
      <c r="E25">
        <f t="shared" si="0"/>
        <v>20877.947390615776</v>
      </c>
      <c r="F25">
        <f t="shared" si="1"/>
        <v>20878</v>
      </c>
      <c r="G25">
        <f t="shared" si="2"/>
        <v>-2.9379612795310095E-2</v>
      </c>
      <c r="J25">
        <f>+G25</f>
        <v>-2.9379612795310095E-2</v>
      </c>
      <c r="O25">
        <f t="shared" ca="1" si="3"/>
        <v>-4.2088769276680378E-2</v>
      </c>
      <c r="Q25" s="2">
        <f t="shared" si="4"/>
        <v>35053.924899999998</v>
      </c>
    </row>
    <row r="26" spans="1:31">
      <c r="A26" s="18" t="s">
        <v>44</v>
      </c>
      <c r="B26" s="19"/>
      <c r="C26" s="25">
        <v>50113.470699999998</v>
      </c>
      <c r="D26" s="25">
        <v>1.2999999999999999E-3</v>
      </c>
      <c r="E26">
        <f t="shared" si="0"/>
        <v>20951.4471429031</v>
      </c>
      <c r="F26">
        <f t="shared" si="1"/>
        <v>20951.5</v>
      </c>
      <c r="G26">
        <f t="shared" si="2"/>
        <v>-2.9517947485146578E-2</v>
      </c>
      <c r="J26">
        <f>+G26</f>
        <v>-2.9517947485146578E-2</v>
      </c>
      <c r="O26">
        <f t="shared" ca="1" si="3"/>
        <v>-4.191207547186996E-2</v>
      </c>
      <c r="Q26" s="2">
        <f t="shared" si="4"/>
        <v>35094.970699999998</v>
      </c>
    </row>
    <row r="27" spans="1:31">
      <c r="A27" s="18" t="s">
        <v>44</v>
      </c>
      <c r="B27" s="19"/>
      <c r="C27" s="25">
        <v>50369.521099999998</v>
      </c>
      <c r="D27" s="25">
        <v>1.2999999999999999E-3</v>
      </c>
      <c r="E27">
        <f t="shared" si="0"/>
        <v>21409.950594488153</v>
      </c>
      <c r="F27">
        <f t="shared" si="1"/>
        <v>21410</v>
      </c>
      <c r="G27">
        <f t="shared" si="2"/>
        <v>-2.7590416226303205E-2</v>
      </c>
      <c r="J27">
        <f>+G27</f>
        <v>-2.7590416226303205E-2</v>
      </c>
      <c r="O27">
        <f t="shared" ca="1" si="3"/>
        <v>-4.0809842689481159E-2</v>
      </c>
      <c r="Q27" s="2">
        <f t="shared" si="4"/>
        <v>35351.021099999998</v>
      </c>
    </row>
    <row r="28" spans="1:31">
      <c r="A28" t="s">
        <v>35</v>
      </c>
      <c r="B28" s="21" t="s">
        <v>39</v>
      </c>
      <c r="C28" s="25">
        <v>50859.559000000001</v>
      </c>
      <c r="D28" s="25">
        <v>3.0000000000000001E-3</v>
      </c>
      <c r="E28">
        <f t="shared" si="0"/>
        <v>22287.449979599412</v>
      </c>
      <c r="F28">
        <f t="shared" si="1"/>
        <v>22287.5</v>
      </c>
      <c r="G28">
        <f t="shared" si="2"/>
        <v>-2.7933799698075745E-2</v>
      </c>
      <c r="I28">
        <f>G28</f>
        <v>-2.7933799698075745E-2</v>
      </c>
      <c r="O28">
        <f t="shared" ca="1" si="3"/>
        <v>-3.8700335019805764E-2</v>
      </c>
      <c r="Q28" s="2">
        <f t="shared" si="4"/>
        <v>35841.059000000001</v>
      </c>
      <c r="AA28">
        <v>13</v>
      </c>
      <c r="AC28" t="s">
        <v>34</v>
      </c>
      <c r="AE28" t="s">
        <v>33</v>
      </c>
    </row>
    <row r="29" spans="1:31">
      <c r="A29" t="s">
        <v>35</v>
      </c>
      <c r="B29" s="21" t="s">
        <v>39</v>
      </c>
      <c r="C29" s="25">
        <v>50900.324000000001</v>
      </c>
      <c r="D29" s="25">
        <v>2E-3</v>
      </c>
      <c r="E29">
        <f t="shared" si="0"/>
        <v>22360.446909906354</v>
      </c>
      <c r="F29">
        <f t="shared" si="1"/>
        <v>22360.5</v>
      </c>
      <c r="G29">
        <f t="shared" si="2"/>
        <v>-2.9648064082721248E-2</v>
      </c>
      <c r="I29">
        <f>G29</f>
        <v>-2.9648064082721248E-2</v>
      </c>
      <c r="O29">
        <f t="shared" ca="1" si="3"/>
        <v>-3.8524843213667524E-2</v>
      </c>
      <c r="Q29" s="2">
        <f t="shared" si="4"/>
        <v>35881.824000000001</v>
      </c>
      <c r="AA29">
        <v>43</v>
      </c>
      <c r="AC29" t="s">
        <v>36</v>
      </c>
      <c r="AE29" t="s">
        <v>33</v>
      </c>
    </row>
    <row r="30" spans="1:31">
      <c r="A30" s="18" t="s">
        <v>44</v>
      </c>
      <c r="B30" s="19"/>
      <c r="C30" s="25">
        <v>51185.413399999998</v>
      </c>
      <c r="D30" s="25">
        <v>5.9999999999999995E-4</v>
      </c>
      <c r="E30">
        <f t="shared" si="0"/>
        <v>22870.9498183584</v>
      </c>
      <c r="F30">
        <f t="shared" si="1"/>
        <v>22871</v>
      </c>
      <c r="G30">
        <f t="shared" si="2"/>
        <v>-2.802384444657946E-2</v>
      </c>
      <c r="J30">
        <f>+G30</f>
        <v>-2.802384444657946E-2</v>
      </c>
      <c r="O30">
        <f t="shared" ca="1" si="3"/>
        <v>-3.7297602569372035E-2</v>
      </c>
      <c r="Q30" s="2">
        <f t="shared" si="4"/>
        <v>36166.913399999998</v>
      </c>
    </row>
    <row r="31" spans="1:31">
      <c r="A31" s="22" t="s">
        <v>45</v>
      </c>
      <c r="B31" s="23" t="s">
        <v>46</v>
      </c>
      <c r="C31" s="24">
        <v>52622.294999999998</v>
      </c>
      <c r="D31" s="24">
        <v>1.1999999999999999E-3</v>
      </c>
      <c r="E31">
        <f t="shared" si="0"/>
        <v>25443.940030906604</v>
      </c>
      <c r="F31">
        <f t="shared" si="1"/>
        <v>25444</v>
      </c>
      <c r="G31">
        <f t="shared" si="2"/>
        <v>-3.3489628702227492E-2</v>
      </c>
      <c r="K31">
        <f>+G31</f>
        <v>-3.3489628702227492E-2</v>
      </c>
      <c r="O31">
        <f t="shared" ca="1" si="3"/>
        <v>-3.1112117402335215E-2</v>
      </c>
      <c r="Q31" s="2">
        <f t="shared" si="4"/>
        <v>37603.794999999998</v>
      </c>
    </row>
    <row r="32" spans="1:31">
      <c r="A32" s="22" t="s">
        <v>45</v>
      </c>
      <c r="B32" s="23" t="s">
        <v>46</v>
      </c>
      <c r="C32" s="24">
        <v>52689.311300000001</v>
      </c>
      <c r="D32" s="24">
        <v>1.1000000000000001E-3</v>
      </c>
      <c r="E32">
        <f t="shared" si="0"/>
        <v>25563.944549011088</v>
      </c>
      <c r="F32">
        <f t="shared" si="1"/>
        <v>25564</v>
      </c>
      <c r="G32">
        <f t="shared" si="2"/>
        <v>-3.0966501653892919E-2</v>
      </c>
      <c r="K32">
        <f>+G32</f>
        <v>-3.0966501653892919E-2</v>
      </c>
      <c r="O32">
        <f t="shared" ca="1" si="3"/>
        <v>-3.0823637721012084E-2</v>
      </c>
      <c r="Q32" s="2">
        <f t="shared" si="4"/>
        <v>37670.811300000001</v>
      </c>
    </row>
    <row r="33" spans="1:17">
      <c r="A33" s="18" t="s">
        <v>44</v>
      </c>
      <c r="B33" s="6" t="s">
        <v>39</v>
      </c>
      <c r="C33" s="25">
        <v>53035.272199999999</v>
      </c>
      <c r="D33" s="25">
        <v>4.0000000000000002E-4</v>
      </c>
      <c r="E33">
        <f t="shared" si="0"/>
        <v>26183.4486261907</v>
      </c>
      <c r="F33">
        <f t="shared" si="1"/>
        <v>26183.5</v>
      </c>
      <c r="G33">
        <f t="shared" si="2"/>
        <v>-2.8689608276181389E-2</v>
      </c>
      <c r="J33">
        <f>+G33</f>
        <v>-2.8689608276181389E-2</v>
      </c>
      <c r="O33">
        <f t="shared" ca="1" si="3"/>
        <v>-2.9334361366181422E-2</v>
      </c>
      <c r="Q33" s="2">
        <f t="shared" si="4"/>
        <v>38016.772199999999</v>
      </c>
    </row>
    <row r="34" spans="1:17">
      <c r="A34" s="8" t="s">
        <v>40</v>
      </c>
      <c r="B34" s="6"/>
      <c r="C34" s="25">
        <v>53443.78</v>
      </c>
      <c r="D34" s="25">
        <v>1E-4</v>
      </c>
      <c r="E34">
        <f t="shared" si="0"/>
        <v>26914.953971620413</v>
      </c>
      <c r="F34">
        <f t="shared" si="1"/>
        <v>26915</v>
      </c>
      <c r="G34">
        <f t="shared" si="2"/>
        <v>-2.5704462997964583E-2</v>
      </c>
      <c r="K34">
        <f>G34</f>
        <v>-2.5704462997964583E-2</v>
      </c>
      <c r="O34">
        <f t="shared" ca="1" si="3"/>
        <v>-2.7575837308782492E-2</v>
      </c>
      <c r="Q34" s="2">
        <f t="shared" si="4"/>
        <v>38425.279999999999</v>
      </c>
    </row>
    <row r="35" spans="1:17">
      <c r="A35" s="18" t="s">
        <v>44</v>
      </c>
      <c r="B35" s="19"/>
      <c r="C35" s="25">
        <v>53635.616000000002</v>
      </c>
      <c r="D35" s="25">
        <v>2E-3</v>
      </c>
      <c r="E35">
        <f t="shared" si="0"/>
        <v>27258.470201777724</v>
      </c>
      <c r="F35">
        <f t="shared" si="1"/>
        <v>27258.5</v>
      </c>
      <c r="G35">
        <f t="shared" si="2"/>
        <v>-1.664076182350982E-2</v>
      </c>
      <c r="J35">
        <f>+G35</f>
        <v>-1.664076182350982E-2</v>
      </c>
      <c r="O35">
        <f t="shared" ca="1" si="3"/>
        <v>-2.6750064220995032E-2</v>
      </c>
      <c r="Q35" s="2">
        <f t="shared" si="4"/>
        <v>38617.116000000002</v>
      </c>
    </row>
    <row r="36" spans="1:17">
      <c r="A36" s="18" t="s">
        <v>44</v>
      </c>
      <c r="B36" s="6" t="s">
        <v>39</v>
      </c>
      <c r="C36" s="25">
        <v>53764.329100000003</v>
      </c>
      <c r="D36" s="25">
        <v>5.0000000000000001E-4</v>
      </c>
      <c r="E36">
        <f t="shared" si="0"/>
        <v>27488.953733981587</v>
      </c>
      <c r="F36">
        <f t="shared" si="1"/>
        <v>27489</v>
      </c>
      <c r="G36">
        <f t="shared" si="2"/>
        <v>-2.5837171953753568E-2</v>
      </c>
      <c r="J36">
        <f>+G36</f>
        <v>-2.5837171953753568E-2</v>
      </c>
      <c r="O36">
        <f t="shared" ca="1" si="3"/>
        <v>-2.6195942833120184E-2</v>
      </c>
      <c r="Q36" s="2">
        <f t="shared" si="4"/>
        <v>38745.829100000003</v>
      </c>
    </row>
    <row r="37" spans="1:17">
      <c r="A37" s="18" t="s">
        <v>44</v>
      </c>
      <c r="B37" s="6" t="s">
        <v>39</v>
      </c>
      <c r="C37" s="25">
        <v>53765.445699999997</v>
      </c>
      <c r="D37" s="25">
        <v>5.9999999999999995E-4</v>
      </c>
      <c r="E37">
        <f t="shared" si="0"/>
        <v>27490.953203437748</v>
      </c>
      <c r="F37">
        <f t="shared" si="1"/>
        <v>27491</v>
      </c>
      <c r="G37">
        <f t="shared" si="2"/>
        <v>-2.6133453175134491E-2</v>
      </c>
      <c r="J37">
        <f>+G37</f>
        <v>-2.6133453175134491E-2</v>
      </c>
      <c r="O37">
        <f t="shared" ca="1" si="3"/>
        <v>-2.6191134838431468E-2</v>
      </c>
      <c r="Q37" s="2">
        <f t="shared" si="4"/>
        <v>38746.945699999997</v>
      </c>
    </row>
    <row r="38" spans="1:17">
      <c r="A38" s="24" t="s">
        <v>52</v>
      </c>
      <c r="B38" s="6" t="s">
        <v>39</v>
      </c>
      <c r="C38" s="20">
        <v>54019.535000000003</v>
      </c>
      <c r="D38" s="20">
        <v>1E-3</v>
      </c>
      <c r="E38">
        <f t="shared" si="0"/>
        <v>27945.944959204709</v>
      </c>
      <c r="F38">
        <f t="shared" si="1"/>
        <v>27946</v>
      </c>
      <c r="G38">
        <f t="shared" si="2"/>
        <v>-3.0737429784494452E-2</v>
      </c>
      <c r="J38">
        <f>+G38</f>
        <v>-3.0737429784494452E-2</v>
      </c>
      <c r="O38">
        <f t="shared" ca="1" si="3"/>
        <v>-2.5097316046747919E-2</v>
      </c>
      <c r="Q38" s="2">
        <f t="shared" si="4"/>
        <v>39001.035000000003</v>
      </c>
    </row>
    <row r="39" spans="1:17">
      <c r="A39" s="24" t="s">
        <v>54</v>
      </c>
      <c r="B39" s="23" t="s">
        <v>46</v>
      </c>
      <c r="C39" s="24">
        <v>54800.812299999998</v>
      </c>
      <c r="D39" s="24">
        <v>4.0000000000000002E-4</v>
      </c>
      <c r="E39">
        <f t="shared" si="0"/>
        <v>29344.959913663079</v>
      </c>
      <c r="F39">
        <f t="shared" si="1"/>
        <v>29345</v>
      </c>
      <c r="G39">
        <f t="shared" si="2"/>
        <v>-2.2386140313756187E-2</v>
      </c>
      <c r="K39">
        <f>+G39</f>
        <v>-2.2386140313756187E-2</v>
      </c>
      <c r="O39">
        <f t="shared" ca="1" si="3"/>
        <v>-2.1734123761989077E-2</v>
      </c>
      <c r="Q39" s="2">
        <f t="shared" si="4"/>
        <v>39782.312299999998</v>
      </c>
    </row>
    <row r="40" spans="1:17">
      <c r="A40" s="39" t="s">
        <v>55</v>
      </c>
      <c r="B40" s="21" t="s">
        <v>39</v>
      </c>
      <c r="C40" s="39">
        <v>54849.669800000003</v>
      </c>
      <c r="D40" s="39">
        <v>2.9999999999999997E-4</v>
      </c>
      <c r="E40">
        <f t="shared" si="0"/>
        <v>29432.447894099038</v>
      </c>
      <c r="F40">
        <f t="shared" si="1"/>
        <v>29432.5</v>
      </c>
      <c r="G40">
        <f t="shared" si="2"/>
        <v>-2.9098443512339145E-2</v>
      </c>
      <c r="K40">
        <f>+G40</f>
        <v>-2.9098443512339145E-2</v>
      </c>
      <c r="O40">
        <f t="shared" ca="1" si="3"/>
        <v>-2.1523773994357634E-2</v>
      </c>
      <c r="Q40" s="2">
        <f t="shared" si="4"/>
        <v>39831.169800000003</v>
      </c>
    </row>
    <row r="41" spans="1:17">
      <c r="A41" s="41" t="s">
        <v>58</v>
      </c>
      <c r="B41" s="21" t="s">
        <v>46</v>
      </c>
      <c r="C41" s="39">
        <v>55527.9162</v>
      </c>
      <c r="D41" s="39">
        <v>5.9999999999999995E-4</v>
      </c>
      <c r="E41">
        <f t="shared" si="0"/>
        <v>30646.967830116064</v>
      </c>
      <c r="F41">
        <f t="shared" si="1"/>
        <v>30647</v>
      </c>
      <c r="G41">
        <f t="shared" si="2"/>
        <v>-1.7965211867704056E-2</v>
      </c>
      <c r="K41">
        <f>+G41</f>
        <v>-1.7965211867704056E-2</v>
      </c>
      <c r="O41">
        <f t="shared" ca="1" si="3"/>
        <v>-1.8604119219633106E-2</v>
      </c>
      <c r="Q41" s="2">
        <f t="shared" si="4"/>
        <v>40509.4162</v>
      </c>
    </row>
    <row r="42" spans="1:17">
      <c r="A42" s="41" t="s">
        <v>61</v>
      </c>
      <c r="B42" s="41"/>
      <c r="C42" s="39">
        <v>55590.461000000003</v>
      </c>
      <c r="D42" s="39">
        <v>2.7000000000000001E-3</v>
      </c>
      <c r="E42">
        <f t="shared" si="0"/>
        <v>30758.965337945378</v>
      </c>
      <c r="F42">
        <f t="shared" si="1"/>
        <v>30759</v>
      </c>
      <c r="G42">
        <f t="shared" si="2"/>
        <v>-1.9356959957804065E-2</v>
      </c>
      <c r="J42">
        <f>+G42</f>
        <v>-1.9356959957804065E-2</v>
      </c>
      <c r="O42">
        <f t="shared" ca="1" si="3"/>
        <v>-1.8334871517064838E-2</v>
      </c>
      <c r="Q42" s="2">
        <f t="shared" si="4"/>
        <v>40571.961000000003</v>
      </c>
    </row>
    <row r="43" spans="1:17">
      <c r="A43" s="39" t="s">
        <v>60</v>
      </c>
      <c r="B43" s="21" t="s">
        <v>46</v>
      </c>
      <c r="C43" s="39">
        <v>55957.645299999996</v>
      </c>
      <c r="D43" s="39">
        <v>5.9999999999999995E-4</v>
      </c>
      <c r="E43">
        <f t="shared" si="0"/>
        <v>31416.473660204738</v>
      </c>
      <c r="F43">
        <f t="shared" si="1"/>
        <v>31416.5</v>
      </c>
      <c r="G43">
        <f t="shared" si="2"/>
        <v>-1.4709409690112807E-2</v>
      </c>
      <c r="K43">
        <f>+G43</f>
        <v>-1.4709409690112807E-2</v>
      </c>
      <c r="O43">
        <f t="shared" ca="1" si="3"/>
        <v>-1.6754243263148519E-2</v>
      </c>
      <c r="Q43" s="2">
        <f t="shared" si="4"/>
        <v>40939.145299999996</v>
      </c>
    </row>
    <row r="44" spans="1:17">
      <c r="A44" s="55" t="s">
        <v>0</v>
      </c>
      <c r="B44" s="56" t="s">
        <v>46</v>
      </c>
      <c r="C44" s="57">
        <v>57383.648000000001</v>
      </c>
      <c r="D44" s="57">
        <v>3.8E-3</v>
      </c>
      <c r="E44">
        <f>+(C44-C$7)/C$8</f>
        <v>33969.983281434019</v>
      </c>
      <c r="F44">
        <f t="shared" si="1"/>
        <v>33970</v>
      </c>
      <c r="G44">
        <f>+C44-(C$7+F44*C$8)</f>
        <v>-9.3364520871546119E-3</v>
      </c>
      <c r="K44">
        <f>+G44</f>
        <v>-9.3364520871546119E-3</v>
      </c>
      <c r="O44">
        <f ca="1">+C$11+C$12*F44</f>
        <v>-1.0615636044326707E-2</v>
      </c>
      <c r="Q44" s="2">
        <f>+C44-15018.5</f>
        <v>42365.148000000001</v>
      </c>
    </row>
    <row r="45" spans="1:17">
      <c r="A45" s="55" t="s">
        <v>0</v>
      </c>
      <c r="B45" s="56" t="s">
        <v>46</v>
      </c>
      <c r="C45" s="57">
        <v>57383.367899999997</v>
      </c>
      <c r="D45" s="57">
        <v>4.1999999999999997E-3</v>
      </c>
      <c r="E45">
        <f>+(C45-C$7)/C$8</f>
        <v>33969.481712927227</v>
      </c>
      <c r="F45">
        <f t="shared" si="1"/>
        <v>33969.5</v>
      </c>
      <c r="G45">
        <f>+C45-(C$7+F45*C$8)</f>
        <v>-1.0212381785095204E-2</v>
      </c>
      <c r="K45">
        <f>+G45</f>
        <v>-1.0212381785095204E-2</v>
      </c>
      <c r="O45">
        <f ca="1">+C$11+C$12*F45</f>
        <v>-1.0616838042998886E-2</v>
      </c>
      <c r="Q45" s="2">
        <f>+C45-15018.5</f>
        <v>42364.867899999997</v>
      </c>
    </row>
    <row r="46" spans="1:17">
      <c r="C46" s="20"/>
      <c r="D46" s="20"/>
    </row>
    <row r="47" spans="1:17">
      <c r="C47" s="20"/>
      <c r="D47" s="20"/>
    </row>
    <row r="48" spans="1:17">
      <c r="C48" s="20"/>
      <c r="D48" s="20"/>
    </row>
    <row r="49" spans="3:4">
      <c r="C49" s="20"/>
      <c r="D49" s="20"/>
    </row>
    <row r="50" spans="3:4">
      <c r="C50" s="20"/>
      <c r="D50" s="20"/>
    </row>
    <row r="51" spans="3:4">
      <c r="C51" s="20"/>
      <c r="D51" s="20"/>
    </row>
    <row r="52" spans="3:4">
      <c r="C52" s="20"/>
      <c r="D52" s="20"/>
    </row>
    <row r="53" spans="3:4">
      <c r="C53" s="20"/>
      <c r="D53" s="20"/>
    </row>
    <row r="54" spans="3:4">
      <c r="C54" s="20"/>
      <c r="D54" s="20"/>
    </row>
    <row r="55" spans="3:4">
      <c r="C55" s="20"/>
      <c r="D55" s="20"/>
    </row>
    <row r="56" spans="3:4">
      <c r="C56" s="20"/>
      <c r="D56" s="20"/>
    </row>
    <row r="57" spans="3:4">
      <c r="C57" s="20"/>
      <c r="D57" s="20"/>
    </row>
    <row r="58" spans="3:4">
      <c r="C58" s="20"/>
      <c r="D58" s="20"/>
    </row>
    <row r="59" spans="3:4">
      <c r="C59" s="20"/>
      <c r="D59" s="20"/>
    </row>
    <row r="60" spans="3:4">
      <c r="C60" s="20"/>
      <c r="D60" s="20"/>
    </row>
    <row r="61" spans="3:4">
      <c r="C61" s="20"/>
      <c r="D61" s="20"/>
    </row>
    <row r="62" spans="3:4">
      <c r="C62" s="20"/>
      <c r="D62" s="20"/>
    </row>
    <row r="63" spans="3:4">
      <c r="C63" s="20"/>
      <c r="D63" s="20"/>
    </row>
    <row r="64" spans="3:4">
      <c r="C64" s="20"/>
      <c r="D64" s="20"/>
    </row>
    <row r="65" spans="3:4">
      <c r="C65" s="20"/>
      <c r="D65" s="20"/>
    </row>
    <row r="66" spans="3:4">
      <c r="C66" s="20"/>
      <c r="D66" s="20"/>
    </row>
    <row r="67" spans="3:4">
      <c r="C67" s="20"/>
      <c r="D67" s="20"/>
    </row>
    <row r="68" spans="3:4">
      <c r="C68" s="20"/>
      <c r="D68" s="20"/>
    </row>
    <row r="69" spans="3:4">
      <c r="C69" s="20"/>
      <c r="D69" s="20"/>
    </row>
    <row r="70" spans="3:4">
      <c r="C70" s="20"/>
      <c r="D70" s="20"/>
    </row>
    <row r="71" spans="3:4">
      <c r="C71" s="20"/>
      <c r="D71" s="20"/>
    </row>
    <row r="72" spans="3:4">
      <c r="C72" s="20"/>
      <c r="D72" s="20"/>
    </row>
    <row r="73" spans="3:4">
      <c r="C73" s="20"/>
      <c r="D73" s="20"/>
    </row>
    <row r="74" spans="3:4">
      <c r="C74" s="20"/>
      <c r="D74" s="20"/>
    </row>
    <row r="75" spans="3:4">
      <c r="C75" s="20"/>
      <c r="D75" s="20"/>
    </row>
    <row r="76" spans="3:4">
      <c r="C76" s="20"/>
      <c r="D76" s="20"/>
    </row>
    <row r="77" spans="3:4">
      <c r="C77" s="20"/>
      <c r="D77" s="20"/>
    </row>
    <row r="78" spans="3:4">
      <c r="C78" s="20"/>
      <c r="D78" s="20"/>
    </row>
    <row r="79" spans="3:4">
      <c r="C79" s="20"/>
      <c r="D79" s="20"/>
    </row>
    <row r="80" spans="3:4">
      <c r="C80" s="20"/>
      <c r="D80" s="20"/>
    </row>
    <row r="81" spans="3:4">
      <c r="C81" s="20"/>
      <c r="D81" s="20"/>
    </row>
    <row r="82" spans="3:4">
      <c r="C82" s="20"/>
      <c r="D82" s="20"/>
    </row>
    <row r="83" spans="3:4">
      <c r="C83" s="20"/>
      <c r="D83" s="20"/>
    </row>
    <row r="84" spans="3:4">
      <c r="C84" s="20"/>
      <c r="D84" s="20"/>
    </row>
    <row r="85" spans="3:4">
      <c r="C85" s="20"/>
      <c r="D85" s="20"/>
    </row>
    <row r="86" spans="3:4">
      <c r="C86" s="20"/>
      <c r="D86" s="20"/>
    </row>
    <row r="87" spans="3:4">
      <c r="C87" s="20"/>
      <c r="D87" s="20"/>
    </row>
    <row r="88" spans="3:4">
      <c r="C88" s="20"/>
      <c r="D88" s="20"/>
    </row>
    <row r="89" spans="3:4">
      <c r="C89" s="20"/>
      <c r="D89" s="20"/>
    </row>
    <row r="90" spans="3:4">
      <c r="C90" s="20"/>
      <c r="D90" s="20"/>
    </row>
    <row r="91" spans="3:4">
      <c r="C91" s="20"/>
      <c r="D91" s="20"/>
    </row>
    <row r="92" spans="3:4">
      <c r="C92" s="20"/>
      <c r="D92" s="20"/>
    </row>
    <row r="93" spans="3:4">
      <c r="C93" s="20"/>
      <c r="D93" s="20"/>
    </row>
    <row r="94" spans="3:4">
      <c r="C94" s="20"/>
      <c r="D94" s="20"/>
    </row>
    <row r="95" spans="3:4">
      <c r="C95" s="20"/>
      <c r="D95" s="20"/>
    </row>
    <row r="96" spans="3:4">
      <c r="C96" s="20"/>
      <c r="D96" s="20"/>
    </row>
    <row r="97" spans="3:4">
      <c r="C97" s="20"/>
      <c r="D97" s="20"/>
    </row>
    <row r="98" spans="3:4">
      <c r="C98" s="20"/>
      <c r="D98" s="20"/>
    </row>
    <row r="99" spans="3:4">
      <c r="C99" s="20"/>
      <c r="D99" s="20"/>
    </row>
    <row r="100" spans="3:4">
      <c r="C100" s="20"/>
      <c r="D100" s="20"/>
    </row>
    <row r="101" spans="3:4">
      <c r="C101" s="20"/>
      <c r="D101" s="20"/>
    </row>
    <row r="102" spans="3:4">
      <c r="C102" s="20"/>
      <c r="D102" s="20"/>
    </row>
    <row r="103" spans="3:4">
      <c r="C103" s="20"/>
      <c r="D103" s="20"/>
    </row>
    <row r="104" spans="3:4">
      <c r="C104" s="20"/>
      <c r="D104" s="20"/>
    </row>
    <row r="105" spans="3:4">
      <c r="C105" s="20"/>
      <c r="D105" s="20"/>
    </row>
    <row r="106" spans="3:4">
      <c r="C106" s="20"/>
      <c r="D106" s="20"/>
    </row>
    <row r="107" spans="3:4">
      <c r="C107" s="20"/>
      <c r="D107" s="20"/>
    </row>
    <row r="108" spans="3:4">
      <c r="C108" s="20"/>
      <c r="D108" s="20"/>
    </row>
    <row r="109" spans="3:4">
      <c r="C109" s="20"/>
      <c r="D109" s="20"/>
    </row>
    <row r="110" spans="3:4">
      <c r="C110" s="20"/>
      <c r="D110" s="20"/>
    </row>
    <row r="111" spans="3:4">
      <c r="C111" s="20"/>
      <c r="D111" s="20"/>
    </row>
    <row r="112" spans="3:4">
      <c r="C112" s="20"/>
      <c r="D112" s="20"/>
    </row>
    <row r="113" spans="3:4">
      <c r="C113" s="20"/>
      <c r="D113" s="20"/>
    </row>
    <row r="114" spans="3:4">
      <c r="C114" s="20"/>
      <c r="D114" s="20"/>
    </row>
    <row r="115" spans="3:4">
      <c r="C115" s="20"/>
      <c r="D115" s="20"/>
    </row>
    <row r="116" spans="3:4">
      <c r="C116" s="20"/>
      <c r="D116" s="20"/>
    </row>
    <row r="117" spans="3:4">
      <c r="C117" s="20"/>
      <c r="D117" s="20"/>
    </row>
    <row r="118" spans="3:4">
      <c r="C118" s="20"/>
      <c r="D118" s="20"/>
    </row>
    <row r="119" spans="3:4">
      <c r="C119" s="20"/>
      <c r="D119" s="20"/>
    </row>
    <row r="120" spans="3:4">
      <c r="C120" s="20"/>
      <c r="D120" s="20"/>
    </row>
    <row r="121" spans="3:4">
      <c r="C121" s="20"/>
      <c r="D121" s="20"/>
    </row>
    <row r="122" spans="3:4">
      <c r="C122" s="20"/>
      <c r="D122" s="20"/>
    </row>
    <row r="123" spans="3:4">
      <c r="C123" s="20"/>
      <c r="D123" s="20"/>
    </row>
    <row r="124" spans="3:4">
      <c r="C124" s="20"/>
      <c r="D124" s="20"/>
    </row>
    <row r="125" spans="3:4">
      <c r="C125" s="20"/>
      <c r="D125" s="20"/>
    </row>
    <row r="126" spans="3:4">
      <c r="C126" s="20"/>
      <c r="D126" s="20"/>
    </row>
    <row r="127" spans="3:4">
      <c r="C127" s="20"/>
      <c r="D127" s="20"/>
    </row>
    <row r="128" spans="3:4">
      <c r="C128" s="20"/>
      <c r="D128" s="20"/>
    </row>
    <row r="129" spans="3:4">
      <c r="C129" s="20"/>
      <c r="D129" s="20"/>
    </row>
    <row r="130" spans="3:4">
      <c r="C130" s="20"/>
      <c r="D130" s="20"/>
    </row>
    <row r="131" spans="3:4">
      <c r="C131" s="20"/>
      <c r="D131" s="20"/>
    </row>
    <row r="132" spans="3:4">
      <c r="C132" s="20"/>
      <c r="D132" s="20"/>
    </row>
    <row r="133" spans="3:4">
      <c r="C133" s="20"/>
      <c r="D133" s="20"/>
    </row>
    <row r="134" spans="3:4">
      <c r="C134" s="20"/>
      <c r="D134" s="20"/>
    </row>
    <row r="135" spans="3:4">
      <c r="C135" s="20"/>
      <c r="D135" s="20"/>
    </row>
    <row r="136" spans="3:4">
      <c r="C136" s="20"/>
      <c r="D136" s="20"/>
    </row>
    <row r="137" spans="3:4">
      <c r="C137" s="20"/>
      <c r="D137" s="20"/>
    </row>
    <row r="138" spans="3:4">
      <c r="C138" s="20"/>
      <c r="D138" s="20"/>
    </row>
    <row r="139" spans="3:4">
      <c r="C139" s="20"/>
      <c r="D139" s="20"/>
    </row>
    <row r="140" spans="3:4">
      <c r="C140" s="20"/>
      <c r="D140" s="20"/>
    </row>
    <row r="141" spans="3:4">
      <c r="C141" s="20"/>
      <c r="D141" s="20"/>
    </row>
    <row r="142" spans="3:4">
      <c r="C142" s="20"/>
      <c r="D142" s="20"/>
    </row>
    <row r="143" spans="3:4">
      <c r="C143" s="20"/>
      <c r="D143" s="20"/>
    </row>
    <row r="144" spans="3:4">
      <c r="C144" s="20"/>
      <c r="D144" s="20"/>
    </row>
    <row r="145" spans="3:4">
      <c r="C145" s="20"/>
      <c r="D145" s="20"/>
    </row>
    <row r="146" spans="3:4">
      <c r="C146" s="20"/>
      <c r="D146" s="20"/>
    </row>
    <row r="147" spans="3:4">
      <c r="C147" s="20"/>
      <c r="D147" s="20"/>
    </row>
    <row r="148" spans="3:4">
      <c r="C148" s="20"/>
      <c r="D148" s="20"/>
    </row>
    <row r="149" spans="3:4">
      <c r="C149" s="20"/>
      <c r="D149" s="20"/>
    </row>
    <row r="150" spans="3:4">
      <c r="C150" s="20"/>
      <c r="D150" s="20"/>
    </row>
    <row r="151" spans="3:4">
      <c r="C151" s="20"/>
      <c r="D151" s="20"/>
    </row>
    <row r="152" spans="3:4">
      <c r="C152" s="20"/>
      <c r="D152" s="20"/>
    </row>
    <row r="153" spans="3:4">
      <c r="C153" s="20"/>
      <c r="D153" s="20"/>
    </row>
    <row r="154" spans="3:4">
      <c r="C154" s="20"/>
      <c r="D154" s="20"/>
    </row>
    <row r="155" spans="3:4">
      <c r="C155" s="20"/>
      <c r="D155" s="20"/>
    </row>
    <row r="156" spans="3:4">
      <c r="C156" s="20"/>
      <c r="D156" s="20"/>
    </row>
    <row r="157" spans="3:4">
      <c r="C157" s="20"/>
      <c r="D157" s="20"/>
    </row>
    <row r="158" spans="3:4">
      <c r="C158" s="20"/>
      <c r="D158" s="20"/>
    </row>
    <row r="159" spans="3:4">
      <c r="C159" s="20"/>
      <c r="D159" s="20"/>
    </row>
    <row r="160" spans="3:4">
      <c r="C160" s="20"/>
      <c r="D160" s="20"/>
    </row>
    <row r="161" spans="3:4">
      <c r="C161" s="20"/>
      <c r="D161" s="20"/>
    </row>
    <row r="162" spans="3:4">
      <c r="C162" s="20"/>
      <c r="D162" s="20"/>
    </row>
    <row r="163" spans="3:4">
      <c r="C163" s="20"/>
      <c r="D163" s="20"/>
    </row>
    <row r="164" spans="3:4">
      <c r="C164" s="20"/>
      <c r="D164" s="20"/>
    </row>
    <row r="165" spans="3:4">
      <c r="C165" s="20"/>
      <c r="D165" s="20"/>
    </row>
    <row r="166" spans="3:4">
      <c r="C166" s="20"/>
      <c r="D166" s="20"/>
    </row>
    <row r="167" spans="3:4">
      <c r="C167" s="20"/>
      <c r="D167" s="20"/>
    </row>
    <row r="168" spans="3:4">
      <c r="C168" s="20"/>
      <c r="D168" s="20"/>
    </row>
    <row r="169" spans="3:4">
      <c r="C169" s="20"/>
      <c r="D169" s="20"/>
    </row>
    <row r="170" spans="3:4">
      <c r="C170" s="20"/>
      <c r="D170" s="20"/>
    </row>
    <row r="171" spans="3:4">
      <c r="C171" s="20"/>
      <c r="D171" s="20"/>
    </row>
    <row r="172" spans="3:4">
      <c r="C172" s="20"/>
      <c r="D172" s="20"/>
    </row>
    <row r="173" spans="3:4">
      <c r="C173" s="20"/>
      <c r="D173" s="20"/>
    </row>
    <row r="174" spans="3:4">
      <c r="C174" s="20"/>
      <c r="D174" s="20"/>
    </row>
    <row r="175" spans="3:4">
      <c r="C175" s="20"/>
      <c r="D175" s="20"/>
    </row>
    <row r="176" spans="3:4">
      <c r="C176" s="20"/>
      <c r="D176" s="20"/>
    </row>
    <row r="177" spans="3:4">
      <c r="C177" s="20"/>
      <c r="D177" s="20"/>
    </row>
    <row r="178" spans="3:4">
      <c r="C178" s="20"/>
      <c r="D178" s="20"/>
    </row>
    <row r="179" spans="3:4">
      <c r="C179" s="20"/>
      <c r="D179" s="20"/>
    </row>
    <row r="180" spans="3:4">
      <c r="C180" s="20"/>
      <c r="D180" s="20"/>
    </row>
    <row r="181" spans="3:4">
      <c r="C181" s="20"/>
      <c r="D181" s="20"/>
    </row>
    <row r="182" spans="3:4">
      <c r="C182" s="20"/>
      <c r="D182" s="20"/>
    </row>
    <row r="183" spans="3:4">
      <c r="C183" s="20"/>
      <c r="D183" s="20"/>
    </row>
    <row r="184" spans="3:4">
      <c r="C184" s="20"/>
      <c r="D184" s="20"/>
    </row>
    <row r="185" spans="3:4">
      <c r="C185" s="20"/>
      <c r="D185" s="20"/>
    </row>
    <row r="186" spans="3:4">
      <c r="C186" s="20"/>
      <c r="D186" s="20"/>
    </row>
    <row r="187" spans="3:4">
      <c r="C187" s="20"/>
      <c r="D187" s="20"/>
    </row>
    <row r="188" spans="3:4">
      <c r="C188" s="20"/>
      <c r="D188" s="20"/>
    </row>
    <row r="189" spans="3:4">
      <c r="C189" s="20"/>
      <c r="D189" s="20"/>
    </row>
    <row r="190" spans="3:4">
      <c r="C190" s="20"/>
      <c r="D190" s="20"/>
    </row>
    <row r="191" spans="3:4">
      <c r="C191" s="20"/>
      <c r="D191" s="20"/>
    </row>
    <row r="192" spans="3:4">
      <c r="C192" s="20"/>
      <c r="D192" s="20"/>
    </row>
    <row r="193" spans="3:4">
      <c r="C193" s="20"/>
      <c r="D193" s="20"/>
    </row>
    <row r="194" spans="3:4">
      <c r="C194" s="20"/>
      <c r="D194" s="20"/>
    </row>
    <row r="195" spans="3:4">
      <c r="C195" s="20"/>
      <c r="D195" s="20"/>
    </row>
    <row r="196" spans="3:4">
      <c r="C196" s="20"/>
      <c r="D196" s="20"/>
    </row>
    <row r="197" spans="3:4">
      <c r="C197" s="20"/>
      <c r="D197" s="20"/>
    </row>
    <row r="198" spans="3:4">
      <c r="C198" s="20"/>
      <c r="D198" s="20"/>
    </row>
    <row r="199" spans="3:4">
      <c r="C199" s="20"/>
      <c r="D199" s="20"/>
    </row>
    <row r="200" spans="3:4">
      <c r="C200" s="20"/>
      <c r="D200" s="20"/>
    </row>
    <row r="201" spans="3:4">
      <c r="C201" s="20"/>
      <c r="D201" s="20"/>
    </row>
    <row r="202" spans="3:4">
      <c r="C202" s="20"/>
      <c r="D202" s="20"/>
    </row>
    <row r="203" spans="3:4">
      <c r="C203" s="20"/>
      <c r="D203" s="20"/>
    </row>
    <row r="204" spans="3:4">
      <c r="C204" s="20"/>
      <c r="D204" s="20"/>
    </row>
    <row r="205" spans="3:4">
      <c r="C205" s="20"/>
      <c r="D205" s="20"/>
    </row>
    <row r="206" spans="3:4">
      <c r="C206" s="20"/>
      <c r="D206" s="20"/>
    </row>
    <row r="207" spans="3:4">
      <c r="C207" s="20"/>
      <c r="D207" s="20"/>
    </row>
    <row r="208" spans="3:4">
      <c r="C208" s="20"/>
      <c r="D208" s="20"/>
    </row>
    <row r="209" spans="3:4">
      <c r="C209" s="20"/>
      <c r="D209" s="20"/>
    </row>
    <row r="210" spans="3:4">
      <c r="C210" s="20"/>
      <c r="D210" s="20"/>
    </row>
    <row r="211" spans="3:4">
      <c r="C211" s="20"/>
      <c r="D211" s="20"/>
    </row>
    <row r="212" spans="3:4">
      <c r="C212" s="20"/>
      <c r="D212" s="20"/>
    </row>
    <row r="213" spans="3:4">
      <c r="C213" s="20"/>
      <c r="D213" s="20"/>
    </row>
    <row r="214" spans="3:4">
      <c r="C214" s="20"/>
      <c r="D214" s="20"/>
    </row>
    <row r="215" spans="3:4">
      <c r="C215" s="20"/>
      <c r="D215" s="20"/>
    </row>
    <row r="216" spans="3:4">
      <c r="C216" s="20"/>
      <c r="D216" s="20"/>
    </row>
    <row r="217" spans="3:4">
      <c r="C217" s="20"/>
      <c r="D217" s="20"/>
    </row>
    <row r="218" spans="3:4">
      <c r="C218" s="20"/>
      <c r="D218" s="20"/>
    </row>
    <row r="219" spans="3:4">
      <c r="C219" s="20"/>
      <c r="D219" s="20"/>
    </row>
    <row r="220" spans="3:4">
      <c r="C220" s="20"/>
      <c r="D220" s="20"/>
    </row>
    <row r="221" spans="3:4">
      <c r="C221" s="20"/>
      <c r="D221" s="20"/>
    </row>
    <row r="222" spans="3:4">
      <c r="C222" s="20"/>
      <c r="D222" s="20"/>
    </row>
    <row r="223" spans="3:4">
      <c r="C223" s="20"/>
      <c r="D223" s="20"/>
    </row>
    <row r="224" spans="3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</sheetData>
  <phoneticPr fontId="8" type="noConversion"/>
  <hyperlinks>
    <hyperlink ref="H394" r:id="rId1" display="http://vsolj.cetus-net.org/bulletin.html"/>
    <hyperlink ref="H387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G33" sqref="G33:G3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43</v>
      </c>
    </row>
    <row r="2" spans="1:4">
      <c r="A2" t="s">
        <v>27</v>
      </c>
      <c r="B2" s="17" t="s">
        <v>42</v>
      </c>
    </row>
    <row r="4" spans="1:4">
      <c r="A4" s="8" t="s">
        <v>1</v>
      </c>
      <c r="C4" s="3">
        <v>38413.173999999999</v>
      </c>
      <c r="D4" s="4">
        <v>0.55840000000000001</v>
      </c>
    </row>
    <row r="6" spans="1:4">
      <c r="A6" s="8" t="s">
        <v>2</v>
      </c>
    </row>
    <row r="7" spans="1:4">
      <c r="A7" t="s">
        <v>3</v>
      </c>
      <c r="C7">
        <f>+C4</f>
        <v>38413.173999999999</v>
      </c>
    </row>
    <row r="8" spans="1:4">
      <c r="A8" t="s">
        <v>4</v>
      </c>
      <c r="C8">
        <f>+D4</f>
        <v>0.55840000000000001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INTERCEPT(G21:G993,F21:F993)</f>
        <v>-1.4245758056279549</v>
      </c>
      <c r="D11" s="6"/>
    </row>
    <row r="12" spans="1:4">
      <c r="A12" t="s">
        <v>18</v>
      </c>
      <c r="C12">
        <f>SLOPE(G21:G993,F21:F993)</f>
        <v>4.8140607950756709E-5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 s="14">
        <f>(C7+C11)+(C8+C12)*INT(MAX(F21:F3533))</f>
        <v>53765.722602069371</v>
      </c>
    </row>
    <row r="16" spans="1:4">
      <c r="A16" s="8" t="s">
        <v>5</v>
      </c>
      <c r="C16" s="15">
        <f>+C8+C12</f>
        <v>0.55844814060795078</v>
      </c>
    </row>
    <row r="17" spans="1:31" ht="13.5" thickBot="1">
      <c r="A17" s="16" t="s">
        <v>41</v>
      </c>
      <c r="C17">
        <f>COUNT(C21:C2191)</f>
        <v>15</v>
      </c>
    </row>
    <row r="18" spans="1:31">
      <c r="A18" s="8" t="s">
        <v>6</v>
      </c>
      <c r="C18" s="3">
        <f>+C15</f>
        <v>53765.722602069371</v>
      </c>
      <c r="D18" s="4">
        <f>+C16</f>
        <v>0.55844814060795078</v>
      </c>
    </row>
    <row r="19" spans="1:31" ht="13.5" thickTop="1"/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38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1">
      <c r="A21" t="s">
        <v>13</v>
      </c>
      <c r="B21" s="6"/>
      <c r="C21">
        <v>38413.173999999999</v>
      </c>
      <c r="D21" s="6" t="s">
        <v>15</v>
      </c>
      <c r="E21">
        <f>+(C21-C$7)/C$8</f>
        <v>0</v>
      </c>
      <c r="F21">
        <f>ROUND(2*E21,0)/2</f>
        <v>0</v>
      </c>
      <c r="H21" s="12">
        <v>0</v>
      </c>
      <c r="O21">
        <f>+C$11+C$12*F21</f>
        <v>-1.4245758056279549</v>
      </c>
      <c r="Q21" s="2">
        <f>+C21-15018.5</f>
        <v>23394.673999999999</v>
      </c>
    </row>
    <row r="22" spans="1:31">
      <c r="A22" t="s">
        <v>32</v>
      </c>
      <c r="B22" s="6"/>
      <c r="C22" s="11">
        <v>43942.337</v>
      </c>
      <c r="D22" s="6"/>
      <c r="E22">
        <f>+(C22-C$7)/C$8</f>
        <v>9901.7962034383963</v>
      </c>
      <c r="F22">
        <f>ROUND(2*E22,0)/2</f>
        <v>9902</v>
      </c>
      <c r="I22">
        <v>-0.11379999999917345</v>
      </c>
      <c r="O22">
        <f>+C$11+C$12*F22</f>
        <v>-0.94788750569956193</v>
      </c>
      <c r="Q22" s="2">
        <f>+C22-15018.5</f>
        <v>28923.837</v>
      </c>
      <c r="AA22">
        <v>11</v>
      </c>
      <c r="AC22" t="s">
        <v>31</v>
      </c>
      <c r="AE22" t="s">
        <v>33</v>
      </c>
    </row>
    <row r="23" spans="1:31">
      <c r="A23" t="s">
        <v>35</v>
      </c>
      <c r="B23" s="14" t="s">
        <v>39</v>
      </c>
      <c r="C23" s="11">
        <v>50859.559000000001</v>
      </c>
      <c r="D23">
        <v>3.0000000000000001E-3</v>
      </c>
      <c r="E23">
        <f>+(C23-C$7)/C$8</f>
        <v>22289.371418338113</v>
      </c>
      <c r="F23" s="13">
        <f>ROUND(2*E23,0)/2+0.5</f>
        <v>22290</v>
      </c>
      <c r="I23">
        <v>-0.35100000000238651</v>
      </c>
      <c r="O23">
        <f>+C$11+C$12*F23</f>
        <v>-0.35152165440558791</v>
      </c>
      <c r="Q23" s="2">
        <f>+C23-15018.5</f>
        <v>35841.059000000001</v>
      </c>
      <c r="AA23">
        <v>13</v>
      </c>
      <c r="AC23" t="s">
        <v>34</v>
      </c>
      <c r="AE23" t="s">
        <v>33</v>
      </c>
    </row>
    <row r="24" spans="1:31">
      <c r="A24" t="s">
        <v>35</v>
      </c>
      <c r="B24" s="14" t="s">
        <v>39</v>
      </c>
      <c r="C24" s="11">
        <v>50900.324000000001</v>
      </c>
      <c r="D24">
        <v>2E-3</v>
      </c>
      <c r="E24">
        <f>+(C24-C$7)/C$8</f>
        <v>22362.374641833812</v>
      </c>
      <c r="F24" s="13">
        <f>ROUND(2*E24,0)/2+0.5</f>
        <v>22363</v>
      </c>
      <c r="I24">
        <v>-0.34919999999692664</v>
      </c>
      <c r="O24">
        <f>+C$11+C$12*F24</f>
        <v>-0.34800739002518255</v>
      </c>
      <c r="Q24" s="2">
        <f>+C24-15018.5</f>
        <v>35881.824000000001</v>
      </c>
      <c r="AA24">
        <v>43</v>
      </c>
      <c r="AC24" t="s">
        <v>36</v>
      </c>
      <c r="AE24" t="s">
        <v>33</v>
      </c>
    </row>
    <row r="25" spans="1:31">
      <c r="A25" s="8" t="s">
        <v>40</v>
      </c>
      <c r="B25" s="6"/>
      <c r="C25">
        <v>53443.78</v>
      </c>
      <c r="D25" s="6">
        <v>1E-4</v>
      </c>
      <c r="E25">
        <f>+(C25-C$7)/C$8</f>
        <v>26917.274355300859</v>
      </c>
      <c r="F25" s="13">
        <f>ROUND(2*E25,0)/2+0.5</f>
        <v>26918</v>
      </c>
      <c r="J25">
        <v>-0.40520000000105938</v>
      </c>
      <c r="O25">
        <f>+C$11+C$12*F25</f>
        <v>-0.12872692080948589</v>
      </c>
      <c r="Q25" s="2">
        <f>+C25-15018.5</f>
        <v>38425.279999999999</v>
      </c>
    </row>
    <row r="26" spans="1:31">
      <c r="A26" s="18" t="s">
        <v>44</v>
      </c>
      <c r="B26" s="19"/>
      <c r="C26" s="20">
        <v>50012.677900000002</v>
      </c>
      <c r="D26" s="20">
        <v>1.2999999999999999E-3</v>
      </c>
      <c r="E26">
        <f t="shared" ref="E26:E35" si="0">+(C26-C$7)/C$8</f>
        <v>20772.750537249289</v>
      </c>
      <c r="F26" s="13">
        <f t="shared" ref="F26:F35" si="1">ROUND(2*E26,0)/2+0.5</f>
        <v>20773.5</v>
      </c>
      <c r="K26">
        <f>+G26</f>
        <v>0</v>
      </c>
      <c r="O26">
        <f t="shared" ref="O26:O35" si="2">+C$11+C$12*F26</f>
        <v>-0.42452688636291036</v>
      </c>
      <c r="Q26" s="2">
        <f t="shared" ref="Q26:Q35" si="3">+C26-15018.5</f>
        <v>34994.177900000002</v>
      </c>
    </row>
    <row r="27" spans="1:31">
      <c r="A27" s="18" t="s">
        <v>44</v>
      </c>
      <c r="B27" s="19"/>
      <c r="C27" s="20">
        <v>50043.385900000001</v>
      </c>
      <c r="D27" s="20">
        <v>1.2999999999999999E-3</v>
      </c>
      <c r="E27">
        <f t="shared" si="0"/>
        <v>20827.743373925507</v>
      </c>
      <c r="F27" s="13">
        <f t="shared" si="1"/>
        <v>20828</v>
      </c>
      <c r="K27" s="12">
        <v>-0.14329999999608845</v>
      </c>
      <c r="O27">
        <f t="shared" si="2"/>
        <v>-0.42190322322959428</v>
      </c>
      <c r="Q27" s="2">
        <f t="shared" si="3"/>
        <v>35024.885900000001</v>
      </c>
    </row>
    <row r="28" spans="1:31">
      <c r="A28" s="18" t="s">
        <v>44</v>
      </c>
      <c r="B28" s="19"/>
      <c r="C28" s="20">
        <v>50072.424899999998</v>
      </c>
      <c r="D28" s="20">
        <v>1.2999999999999999E-3</v>
      </c>
      <c r="E28">
        <f t="shared" si="0"/>
        <v>20879.747313753578</v>
      </c>
      <c r="F28" s="13">
        <f t="shared" si="1"/>
        <v>20880</v>
      </c>
      <c r="K28" s="12">
        <v>-0.14110000000073342</v>
      </c>
      <c r="O28">
        <f t="shared" si="2"/>
        <v>-0.41939991161615486</v>
      </c>
      <c r="Q28" s="2">
        <f t="shared" si="3"/>
        <v>35053.924899999998</v>
      </c>
    </row>
    <row r="29" spans="1:31">
      <c r="A29" s="18" t="s">
        <v>44</v>
      </c>
      <c r="B29" s="19"/>
      <c r="C29" s="20">
        <v>50113.470699999998</v>
      </c>
      <c r="D29" s="20">
        <v>1.2999999999999999E-3</v>
      </c>
      <c r="E29">
        <f t="shared" si="0"/>
        <v>20953.253402578794</v>
      </c>
      <c r="F29" s="13">
        <f t="shared" si="1"/>
        <v>20954</v>
      </c>
      <c r="G29">
        <f>+C29-(C$7+F29*C$8)</f>
        <v>-0.41690000000380678</v>
      </c>
      <c r="K29">
        <f>+G29</f>
        <v>-0.41690000000380678</v>
      </c>
      <c r="O29">
        <f t="shared" si="2"/>
        <v>-0.41583750662779884</v>
      </c>
      <c r="Q29" s="2">
        <f t="shared" si="3"/>
        <v>35094.970699999998</v>
      </c>
    </row>
    <row r="30" spans="1:31">
      <c r="A30" s="18" t="s">
        <v>44</v>
      </c>
      <c r="B30" s="19"/>
      <c r="C30" s="20">
        <v>50369.521099999998</v>
      </c>
      <c r="D30" s="20">
        <v>1.2999999999999999E-3</v>
      </c>
      <c r="E30">
        <f t="shared" si="0"/>
        <v>21411.796382521487</v>
      </c>
      <c r="F30" s="13">
        <f t="shared" si="1"/>
        <v>21412.5</v>
      </c>
      <c r="G30">
        <f>+C30-(C$7+F30*C$8)</f>
        <v>-0.39289999999891734</v>
      </c>
      <c r="K30">
        <f>+G30</f>
        <v>-0.39289999999891734</v>
      </c>
      <c r="O30">
        <f t="shared" si="2"/>
        <v>-0.39376503788237693</v>
      </c>
      <c r="Q30" s="2">
        <f t="shared" si="3"/>
        <v>35351.021099999998</v>
      </c>
    </row>
    <row r="31" spans="1:31">
      <c r="A31" s="18" t="s">
        <v>44</v>
      </c>
      <c r="B31" s="19"/>
      <c r="C31" s="20">
        <v>51185.413399999998</v>
      </c>
      <c r="D31" s="20">
        <v>5.9999999999999995E-4</v>
      </c>
      <c r="E31">
        <f t="shared" si="0"/>
        <v>22872.92156160458</v>
      </c>
      <c r="F31" s="13">
        <f t="shared" si="1"/>
        <v>22873.5</v>
      </c>
      <c r="G31">
        <f>+C31-(C$7+F31*C$8)</f>
        <v>-0.32300000000395812</v>
      </c>
      <c r="K31">
        <f>+G31</f>
        <v>-0.32300000000395812</v>
      </c>
      <c r="O31">
        <f t="shared" si="2"/>
        <v>-0.32343160966632145</v>
      </c>
      <c r="Q31" s="2">
        <f t="shared" si="3"/>
        <v>36166.913399999998</v>
      </c>
    </row>
    <row r="32" spans="1:31">
      <c r="A32" s="18" t="s">
        <v>44</v>
      </c>
      <c r="B32" s="6" t="s">
        <v>39</v>
      </c>
      <c r="C32" s="20">
        <v>53035.272199999999</v>
      </c>
      <c r="D32" s="20">
        <v>4.0000000000000002E-4</v>
      </c>
      <c r="E32">
        <f t="shared" si="0"/>
        <v>26185.70594555874</v>
      </c>
      <c r="F32" s="13">
        <f t="shared" si="1"/>
        <v>26186</v>
      </c>
      <c r="G32">
        <f>+C32-(C$7+F32*C$8)</f>
        <v>-0.16419999999925494</v>
      </c>
      <c r="K32">
        <f>+G32</f>
        <v>-0.16419999999925494</v>
      </c>
      <c r="O32">
        <f t="shared" si="2"/>
        <v>-0.16396584582943974</v>
      </c>
      <c r="Q32" s="2">
        <f t="shared" si="3"/>
        <v>38016.772199999999</v>
      </c>
    </row>
    <row r="33" spans="1:17">
      <c r="A33" s="18" t="s">
        <v>44</v>
      </c>
      <c r="B33" s="19"/>
      <c r="C33">
        <v>53635.616000000002</v>
      </c>
      <c r="D33" s="20">
        <v>2E-3</v>
      </c>
      <c r="E33">
        <f t="shared" si="0"/>
        <v>27260.820200573071</v>
      </c>
      <c r="F33" s="13">
        <f t="shared" si="1"/>
        <v>27261.5</v>
      </c>
      <c r="K33" s="12">
        <v>-0.37959999999293359</v>
      </c>
      <c r="O33">
        <f t="shared" si="2"/>
        <v>-0.11219062197840102</v>
      </c>
      <c r="Q33" s="2">
        <f t="shared" si="3"/>
        <v>38617.116000000002</v>
      </c>
    </row>
    <row r="34" spans="1:17">
      <c r="A34" s="18" t="s">
        <v>44</v>
      </c>
      <c r="B34" s="6" t="s">
        <v>39</v>
      </c>
      <c r="C34" s="20">
        <v>53764.329100000003</v>
      </c>
      <c r="D34" s="20">
        <v>5.0000000000000001E-4</v>
      </c>
      <c r="E34">
        <f t="shared" si="0"/>
        <v>27491.323603151868</v>
      </c>
      <c r="F34" s="13">
        <f t="shared" si="1"/>
        <v>27492</v>
      </c>
      <c r="K34" s="12">
        <v>-0.37769999999727588</v>
      </c>
      <c r="O34">
        <f t="shared" si="2"/>
        <v>-0.1010942118457514</v>
      </c>
      <c r="Q34" s="2">
        <f t="shared" si="3"/>
        <v>38745.829100000003</v>
      </c>
    </row>
    <row r="35" spans="1:17">
      <c r="A35" s="18" t="s">
        <v>44</v>
      </c>
      <c r="B35" s="6" t="s">
        <v>39</v>
      </c>
      <c r="C35" s="20">
        <v>53765.445699999997</v>
      </c>
      <c r="D35" s="20">
        <v>5.9999999999999995E-4</v>
      </c>
      <c r="E35">
        <f t="shared" si="0"/>
        <v>27493.32324498567</v>
      </c>
      <c r="F35" s="13">
        <f t="shared" si="1"/>
        <v>27494</v>
      </c>
      <c r="K35" s="12">
        <v>-0.37790000000677537</v>
      </c>
      <c r="O35">
        <f t="shared" si="2"/>
        <v>-0.10099793062985007</v>
      </c>
      <c r="Q35" s="2">
        <f t="shared" si="3"/>
        <v>38746.945699999997</v>
      </c>
    </row>
    <row r="36" spans="1:17">
      <c r="D36" s="6"/>
    </row>
    <row r="37" spans="1:17">
      <c r="D37" s="6"/>
    </row>
    <row r="38" spans="1:17">
      <c r="D38" s="6"/>
    </row>
    <row r="39" spans="1:17">
      <c r="D39" s="6"/>
    </row>
    <row r="40" spans="1:17">
      <c r="D40" s="6"/>
    </row>
    <row r="41" spans="1:17">
      <c r="D41" s="6"/>
    </row>
    <row r="42" spans="1:17">
      <c r="D42" s="6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topLeftCell="A4" workbookViewId="0">
      <selection activeCell="A11" sqref="A11:IV448"/>
    </sheetView>
  </sheetViews>
  <sheetFormatPr defaultRowHeight="12.75"/>
  <cols>
    <col min="1" max="1" width="19.7109375" style="20" customWidth="1"/>
    <col min="2" max="2" width="4.42578125" style="18" customWidth="1"/>
    <col min="3" max="3" width="12.7109375" style="2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2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42" t="s">
        <v>62</v>
      </c>
      <c r="I1" s="43" t="s">
        <v>63</v>
      </c>
      <c r="J1" s="44" t="s">
        <v>64</v>
      </c>
    </row>
    <row r="2" spans="1:16">
      <c r="I2" s="45" t="s">
        <v>65</v>
      </c>
      <c r="J2" s="46" t="s">
        <v>66</v>
      </c>
    </row>
    <row r="3" spans="1:16">
      <c r="A3" s="47" t="s">
        <v>67</v>
      </c>
      <c r="I3" s="45" t="s">
        <v>68</v>
      </c>
      <c r="J3" s="46" t="s">
        <v>69</v>
      </c>
    </row>
    <row r="4" spans="1:16">
      <c r="I4" s="45" t="s">
        <v>70</v>
      </c>
      <c r="J4" s="46" t="s">
        <v>69</v>
      </c>
    </row>
    <row r="5" spans="1:16" ht="13.5" thickBot="1">
      <c r="I5" s="48" t="s">
        <v>71</v>
      </c>
      <c r="J5" s="49" t="s">
        <v>72</v>
      </c>
    </row>
    <row r="10" spans="1:16" ht="13.5" thickBot="1"/>
    <row r="11" spans="1:16" ht="12.75" customHeight="1" thickBot="1">
      <c r="A11" s="20" t="str">
        <f t="shared" ref="A11:A27" si="0">P11</f>
        <v>BAVM 178 </v>
      </c>
      <c r="B11" s="6" t="str">
        <f t="shared" ref="B11:B27" si="1">IF(H11=INT(H11),"I","II")</f>
        <v>I</v>
      </c>
      <c r="C11" s="20">
        <f t="shared" ref="C11:C27" si="2">1*G11</f>
        <v>50012.677900000002</v>
      </c>
      <c r="D11" s="18" t="str">
        <f t="shared" ref="D11:D27" si="3">VLOOKUP(F11,I$1:J$5,2,FALSE)</f>
        <v>vis</v>
      </c>
      <c r="E11" s="50">
        <f>VLOOKUP(C11,Active!C$21:E$973,3,FALSE)</f>
        <v>20770.959837689283</v>
      </c>
      <c r="F11" s="6" t="s">
        <v>71</v>
      </c>
      <c r="G11" s="18" t="str">
        <f t="shared" ref="G11:G27" si="4">MID(I11,3,LEN(I11)-3)</f>
        <v>50012.6779</v>
      </c>
      <c r="H11" s="20">
        <f t="shared" ref="H11:H27" si="5">1*K11</f>
        <v>20773</v>
      </c>
      <c r="I11" s="51" t="s">
        <v>73</v>
      </c>
      <c r="J11" s="52" t="s">
        <v>74</v>
      </c>
      <c r="K11" s="51">
        <v>20773</v>
      </c>
      <c r="L11" s="51" t="s">
        <v>75</v>
      </c>
      <c r="M11" s="52" t="s">
        <v>76</v>
      </c>
      <c r="N11" s="52" t="s">
        <v>77</v>
      </c>
      <c r="O11" s="53" t="s">
        <v>78</v>
      </c>
      <c r="P11" s="54" t="s">
        <v>79</v>
      </c>
    </row>
    <row r="12" spans="1:16" ht="12.75" customHeight="1" thickBot="1">
      <c r="A12" s="20" t="str">
        <f t="shared" si="0"/>
        <v>BAVM 178 </v>
      </c>
      <c r="B12" s="6" t="str">
        <f t="shared" si="1"/>
        <v>I</v>
      </c>
      <c r="C12" s="20">
        <f t="shared" si="2"/>
        <v>50043.385900000001</v>
      </c>
      <c r="D12" s="18" t="str">
        <f t="shared" si="3"/>
        <v>vis</v>
      </c>
      <c r="E12" s="50">
        <f>VLOOKUP(C12,Active!C$21:E$973,3,FALSE)</f>
        <v>20825.947933748783</v>
      </c>
      <c r="F12" s="6" t="s">
        <v>71</v>
      </c>
      <c r="G12" s="18" t="str">
        <f t="shared" si="4"/>
        <v>50043.3859</v>
      </c>
      <c r="H12" s="20">
        <f t="shared" si="5"/>
        <v>20828</v>
      </c>
      <c r="I12" s="51" t="s">
        <v>80</v>
      </c>
      <c r="J12" s="52" t="s">
        <v>81</v>
      </c>
      <c r="K12" s="51">
        <v>20828</v>
      </c>
      <c r="L12" s="51" t="s">
        <v>82</v>
      </c>
      <c r="M12" s="52" t="s">
        <v>76</v>
      </c>
      <c r="N12" s="52" t="s">
        <v>77</v>
      </c>
      <c r="O12" s="53" t="s">
        <v>78</v>
      </c>
      <c r="P12" s="54" t="s">
        <v>79</v>
      </c>
    </row>
    <row r="13" spans="1:16" ht="12.75" customHeight="1" thickBot="1">
      <c r="A13" s="20" t="str">
        <f t="shared" si="0"/>
        <v>BAVM 178 </v>
      </c>
      <c r="B13" s="6" t="str">
        <f t="shared" si="1"/>
        <v>I</v>
      </c>
      <c r="C13" s="20">
        <f t="shared" si="2"/>
        <v>50072.424899999998</v>
      </c>
      <c r="D13" s="18" t="str">
        <f t="shared" si="3"/>
        <v>vis</v>
      </c>
      <c r="E13" s="50">
        <f>VLOOKUP(C13,Active!C$21:E$973,3,FALSE)</f>
        <v>20877.947390615776</v>
      </c>
      <c r="F13" s="6" t="s">
        <v>71</v>
      </c>
      <c r="G13" s="18" t="str">
        <f t="shared" si="4"/>
        <v>50072.4249</v>
      </c>
      <c r="H13" s="20">
        <f t="shared" si="5"/>
        <v>20880</v>
      </c>
      <c r="I13" s="51" t="s">
        <v>83</v>
      </c>
      <c r="J13" s="52" t="s">
        <v>84</v>
      </c>
      <c r="K13" s="51">
        <v>20880</v>
      </c>
      <c r="L13" s="51" t="s">
        <v>85</v>
      </c>
      <c r="M13" s="52" t="s">
        <v>76</v>
      </c>
      <c r="N13" s="52" t="s">
        <v>77</v>
      </c>
      <c r="O13" s="53" t="s">
        <v>78</v>
      </c>
      <c r="P13" s="54" t="s">
        <v>79</v>
      </c>
    </row>
    <row r="14" spans="1:16" ht="12.75" customHeight="1" thickBot="1">
      <c r="A14" s="20" t="str">
        <f t="shared" si="0"/>
        <v>BAVM 178 </v>
      </c>
      <c r="B14" s="6" t="str">
        <f t="shared" si="1"/>
        <v>I</v>
      </c>
      <c r="C14" s="20">
        <f t="shared" si="2"/>
        <v>50113.470699999998</v>
      </c>
      <c r="D14" s="18" t="str">
        <f t="shared" si="3"/>
        <v>vis</v>
      </c>
      <c r="E14" s="50">
        <f>VLOOKUP(C14,Active!C$21:E$973,3,FALSE)</f>
        <v>20951.4471429031</v>
      </c>
      <c r="F14" s="6" t="s">
        <v>71</v>
      </c>
      <c r="G14" s="18" t="str">
        <f t="shared" si="4"/>
        <v>50113.4707</v>
      </c>
      <c r="H14" s="20">
        <f t="shared" si="5"/>
        <v>20953</v>
      </c>
      <c r="I14" s="51" t="s">
        <v>86</v>
      </c>
      <c r="J14" s="52" t="s">
        <v>87</v>
      </c>
      <c r="K14" s="51">
        <v>20953</v>
      </c>
      <c r="L14" s="51" t="s">
        <v>88</v>
      </c>
      <c r="M14" s="52" t="s">
        <v>76</v>
      </c>
      <c r="N14" s="52" t="s">
        <v>77</v>
      </c>
      <c r="O14" s="53" t="s">
        <v>78</v>
      </c>
      <c r="P14" s="54" t="s">
        <v>79</v>
      </c>
    </row>
    <row r="15" spans="1:16" ht="12.75" customHeight="1" thickBot="1">
      <c r="A15" s="20" t="str">
        <f t="shared" si="0"/>
        <v>BAVM 178 </v>
      </c>
      <c r="B15" s="6" t="str">
        <f t="shared" si="1"/>
        <v>I</v>
      </c>
      <c r="C15" s="20">
        <f t="shared" si="2"/>
        <v>50369.521099999998</v>
      </c>
      <c r="D15" s="18" t="str">
        <f t="shared" si="3"/>
        <v>vis</v>
      </c>
      <c r="E15" s="50">
        <f>VLOOKUP(C15,Active!C$21:E$973,3,FALSE)</f>
        <v>21409.950594488153</v>
      </c>
      <c r="F15" s="6" t="s">
        <v>71</v>
      </c>
      <c r="G15" s="18" t="str">
        <f t="shared" si="4"/>
        <v>50369.5211</v>
      </c>
      <c r="H15" s="20">
        <f t="shared" si="5"/>
        <v>21412</v>
      </c>
      <c r="I15" s="51" t="s">
        <v>89</v>
      </c>
      <c r="J15" s="52" t="s">
        <v>90</v>
      </c>
      <c r="K15" s="51">
        <v>21412</v>
      </c>
      <c r="L15" s="51" t="s">
        <v>91</v>
      </c>
      <c r="M15" s="52" t="s">
        <v>76</v>
      </c>
      <c r="N15" s="52" t="s">
        <v>77</v>
      </c>
      <c r="O15" s="53" t="s">
        <v>78</v>
      </c>
      <c r="P15" s="54" t="s">
        <v>79</v>
      </c>
    </row>
    <row r="16" spans="1:16" ht="12.75" customHeight="1" thickBot="1">
      <c r="A16" s="20" t="str">
        <f t="shared" si="0"/>
        <v>BAVM 178 </v>
      </c>
      <c r="B16" s="6" t="str">
        <f t="shared" si="1"/>
        <v>I</v>
      </c>
      <c r="C16" s="20">
        <f t="shared" si="2"/>
        <v>51185.413399999998</v>
      </c>
      <c r="D16" s="18" t="str">
        <f t="shared" si="3"/>
        <v>vis</v>
      </c>
      <c r="E16" s="50">
        <f>VLOOKUP(C16,Active!C$21:E$973,3,FALSE)</f>
        <v>22870.9498183584</v>
      </c>
      <c r="F16" s="6" t="s">
        <v>71</v>
      </c>
      <c r="G16" s="18" t="str">
        <f t="shared" si="4"/>
        <v>51185.4134</v>
      </c>
      <c r="H16" s="20">
        <f t="shared" si="5"/>
        <v>22873</v>
      </c>
      <c r="I16" s="51" t="s">
        <v>92</v>
      </c>
      <c r="J16" s="52" t="s">
        <v>93</v>
      </c>
      <c r="K16" s="51">
        <v>22873</v>
      </c>
      <c r="L16" s="51" t="s">
        <v>94</v>
      </c>
      <c r="M16" s="52" t="s">
        <v>76</v>
      </c>
      <c r="N16" s="52" t="s">
        <v>77</v>
      </c>
      <c r="O16" s="53" t="s">
        <v>78</v>
      </c>
      <c r="P16" s="54" t="s">
        <v>79</v>
      </c>
    </row>
    <row r="17" spans="1:16" ht="12.75" customHeight="1" thickBot="1">
      <c r="A17" s="20" t="str">
        <f t="shared" si="0"/>
        <v>BAVM 178 </v>
      </c>
      <c r="B17" s="6" t="str">
        <f t="shared" si="1"/>
        <v>II</v>
      </c>
      <c r="C17" s="20">
        <f t="shared" si="2"/>
        <v>53035.272199999999</v>
      </c>
      <c r="D17" s="18" t="str">
        <f t="shared" si="3"/>
        <v>vis</v>
      </c>
      <c r="E17" s="50">
        <f>VLOOKUP(C17,Active!C$21:E$973,3,FALSE)</f>
        <v>26183.4486261907</v>
      </c>
      <c r="F17" s="6" t="s">
        <v>71</v>
      </c>
      <c r="G17" s="18" t="str">
        <f t="shared" si="4"/>
        <v>53035.2722</v>
      </c>
      <c r="H17" s="20">
        <f t="shared" si="5"/>
        <v>26185.5</v>
      </c>
      <c r="I17" s="51" t="s">
        <v>95</v>
      </c>
      <c r="J17" s="52" t="s">
        <v>96</v>
      </c>
      <c r="K17" s="51">
        <v>26185.5</v>
      </c>
      <c r="L17" s="51" t="s">
        <v>97</v>
      </c>
      <c r="M17" s="52" t="s">
        <v>76</v>
      </c>
      <c r="N17" s="52" t="s">
        <v>98</v>
      </c>
      <c r="O17" s="53" t="s">
        <v>99</v>
      </c>
      <c r="P17" s="54" t="s">
        <v>79</v>
      </c>
    </row>
    <row r="18" spans="1:16" ht="12.75" customHeight="1" thickBot="1">
      <c r="A18" s="20" t="str">
        <f t="shared" si="0"/>
        <v>IBVS 5672 </v>
      </c>
      <c r="B18" s="6" t="str">
        <f t="shared" si="1"/>
        <v>I</v>
      </c>
      <c r="C18" s="20">
        <f t="shared" si="2"/>
        <v>53443.78</v>
      </c>
      <c r="D18" s="18" t="str">
        <f t="shared" si="3"/>
        <v>vis</v>
      </c>
      <c r="E18" s="50">
        <f>VLOOKUP(C18,Active!C$21:E$973,3,FALSE)</f>
        <v>26914.953971620413</v>
      </c>
      <c r="F18" s="6" t="s">
        <v>71</v>
      </c>
      <c r="G18" s="18" t="str">
        <f t="shared" si="4"/>
        <v>53443.780</v>
      </c>
      <c r="H18" s="20">
        <f t="shared" si="5"/>
        <v>26917</v>
      </c>
      <c r="I18" s="51" t="s">
        <v>100</v>
      </c>
      <c r="J18" s="52" t="s">
        <v>101</v>
      </c>
      <c r="K18" s="51" t="s">
        <v>102</v>
      </c>
      <c r="L18" s="51" t="s">
        <v>103</v>
      </c>
      <c r="M18" s="52" t="s">
        <v>104</v>
      </c>
      <c r="N18" s="52" t="s">
        <v>105</v>
      </c>
      <c r="O18" s="53" t="s">
        <v>106</v>
      </c>
      <c r="P18" s="54" t="s">
        <v>107</v>
      </c>
    </row>
    <row r="19" spans="1:16" ht="12.75" customHeight="1" thickBot="1">
      <c r="A19" s="20" t="str">
        <f t="shared" si="0"/>
        <v>BAVM 178 </v>
      </c>
      <c r="B19" s="6" t="str">
        <f t="shared" si="1"/>
        <v>II</v>
      </c>
      <c r="C19" s="20">
        <f t="shared" si="2"/>
        <v>53635.616000000002</v>
      </c>
      <c r="D19" s="18" t="str">
        <f t="shared" si="3"/>
        <v>vis</v>
      </c>
      <c r="E19" s="50">
        <f>VLOOKUP(C19,Active!C$21:E$973,3,FALSE)</f>
        <v>27258.470201777724</v>
      </c>
      <c r="F19" s="6" t="s">
        <v>71</v>
      </c>
      <c r="G19" s="18" t="str">
        <f t="shared" si="4"/>
        <v>53635.616</v>
      </c>
      <c r="H19" s="20">
        <f t="shared" si="5"/>
        <v>27260.5</v>
      </c>
      <c r="I19" s="51" t="s">
        <v>108</v>
      </c>
      <c r="J19" s="52" t="s">
        <v>109</v>
      </c>
      <c r="K19" s="51" t="s">
        <v>110</v>
      </c>
      <c r="L19" s="51" t="s">
        <v>111</v>
      </c>
      <c r="M19" s="52" t="s">
        <v>76</v>
      </c>
      <c r="N19" s="52" t="s">
        <v>77</v>
      </c>
      <c r="O19" s="53" t="s">
        <v>112</v>
      </c>
      <c r="P19" s="54" t="s">
        <v>79</v>
      </c>
    </row>
    <row r="20" spans="1:16" ht="12.75" customHeight="1" thickBot="1">
      <c r="A20" s="20" t="str">
        <f t="shared" si="0"/>
        <v>BAVM 178 </v>
      </c>
      <c r="B20" s="6" t="str">
        <f t="shared" si="1"/>
        <v>I</v>
      </c>
      <c r="C20" s="20">
        <f t="shared" si="2"/>
        <v>53764.329100000003</v>
      </c>
      <c r="D20" s="18" t="str">
        <f t="shared" si="3"/>
        <v>vis</v>
      </c>
      <c r="E20" s="50">
        <f>VLOOKUP(C20,Active!C$21:E$973,3,FALSE)</f>
        <v>27488.953733981587</v>
      </c>
      <c r="F20" s="6" t="s">
        <v>71</v>
      </c>
      <c r="G20" s="18" t="str">
        <f t="shared" si="4"/>
        <v>53764.3291</v>
      </c>
      <c r="H20" s="20">
        <f t="shared" si="5"/>
        <v>27491</v>
      </c>
      <c r="I20" s="51" t="s">
        <v>113</v>
      </c>
      <c r="J20" s="52" t="s">
        <v>114</v>
      </c>
      <c r="K20" s="51" t="s">
        <v>115</v>
      </c>
      <c r="L20" s="51" t="s">
        <v>116</v>
      </c>
      <c r="M20" s="52" t="s">
        <v>76</v>
      </c>
      <c r="N20" s="52" t="s">
        <v>77</v>
      </c>
      <c r="O20" s="53" t="s">
        <v>112</v>
      </c>
      <c r="P20" s="54" t="s">
        <v>79</v>
      </c>
    </row>
    <row r="21" spans="1:16" ht="12.75" customHeight="1" thickBot="1">
      <c r="A21" s="20" t="str">
        <f t="shared" si="0"/>
        <v>BAVM 178 </v>
      </c>
      <c r="B21" s="6" t="str">
        <f t="shared" si="1"/>
        <v>I</v>
      </c>
      <c r="C21" s="20">
        <f t="shared" si="2"/>
        <v>53765.445699999997</v>
      </c>
      <c r="D21" s="18" t="str">
        <f t="shared" si="3"/>
        <v>vis</v>
      </c>
      <c r="E21" s="50">
        <f>VLOOKUP(C21,Active!C$21:E$973,3,FALSE)</f>
        <v>27490.953203437748</v>
      </c>
      <c r="F21" s="6" t="s">
        <v>71</v>
      </c>
      <c r="G21" s="18" t="str">
        <f t="shared" si="4"/>
        <v>53765.4457</v>
      </c>
      <c r="H21" s="20">
        <f t="shared" si="5"/>
        <v>27493</v>
      </c>
      <c r="I21" s="51" t="s">
        <v>117</v>
      </c>
      <c r="J21" s="52" t="s">
        <v>118</v>
      </c>
      <c r="K21" s="51" t="s">
        <v>119</v>
      </c>
      <c r="L21" s="51" t="s">
        <v>120</v>
      </c>
      <c r="M21" s="52" t="s">
        <v>76</v>
      </c>
      <c r="N21" s="52" t="s">
        <v>98</v>
      </c>
      <c r="O21" s="53" t="s">
        <v>99</v>
      </c>
      <c r="P21" s="54" t="s">
        <v>79</v>
      </c>
    </row>
    <row r="22" spans="1:16" ht="12.75" customHeight="1" thickBot="1">
      <c r="A22" s="20" t="str">
        <f t="shared" si="0"/>
        <v>BAVM 186 </v>
      </c>
      <c r="B22" s="6" t="str">
        <f t="shared" si="1"/>
        <v>I</v>
      </c>
      <c r="C22" s="20">
        <f t="shared" si="2"/>
        <v>54019.535000000003</v>
      </c>
      <c r="D22" s="18" t="str">
        <f t="shared" si="3"/>
        <v>vis</v>
      </c>
      <c r="E22" s="50">
        <f>VLOOKUP(C22,Active!C$21:E$973,3,FALSE)</f>
        <v>27945.944959204709</v>
      </c>
      <c r="F22" s="6" t="s">
        <v>71</v>
      </c>
      <c r="G22" s="18" t="str">
        <f t="shared" si="4"/>
        <v>54019.535</v>
      </c>
      <c r="H22" s="20">
        <f t="shared" si="5"/>
        <v>27948</v>
      </c>
      <c r="I22" s="51" t="s">
        <v>121</v>
      </c>
      <c r="J22" s="52" t="s">
        <v>122</v>
      </c>
      <c r="K22" s="51" t="s">
        <v>123</v>
      </c>
      <c r="L22" s="51" t="s">
        <v>124</v>
      </c>
      <c r="M22" s="52" t="s">
        <v>76</v>
      </c>
      <c r="N22" s="52" t="s">
        <v>77</v>
      </c>
      <c r="O22" s="53" t="s">
        <v>112</v>
      </c>
      <c r="P22" s="54" t="s">
        <v>125</v>
      </c>
    </row>
    <row r="23" spans="1:16" ht="12.75" customHeight="1" thickBot="1">
      <c r="A23" s="20" t="str">
        <f t="shared" si="0"/>
        <v>IBVS 5871 </v>
      </c>
      <c r="B23" s="6" t="str">
        <f t="shared" si="1"/>
        <v>I</v>
      </c>
      <c r="C23" s="20">
        <f t="shared" si="2"/>
        <v>54800.812299999998</v>
      </c>
      <c r="D23" s="18" t="str">
        <f t="shared" si="3"/>
        <v>vis</v>
      </c>
      <c r="E23" s="50">
        <f>VLOOKUP(C23,Active!C$21:E$973,3,FALSE)</f>
        <v>29344.959913663079</v>
      </c>
      <c r="F23" s="6" t="s">
        <v>71</v>
      </c>
      <c r="G23" s="18" t="str">
        <f t="shared" si="4"/>
        <v>54800.8123</v>
      </c>
      <c r="H23" s="20">
        <f t="shared" si="5"/>
        <v>29347</v>
      </c>
      <c r="I23" s="51" t="s">
        <v>126</v>
      </c>
      <c r="J23" s="52" t="s">
        <v>127</v>
      </c>
      <c r="K23" s="51" t="s">
        <v>128</v>
      </c>
      <c r="L23" s="51" t="s">
        <v>129</v>
      </c>
      <c r="M23" s="52" t="s">
        <v>76</v>
      </c>
      <c r="N23" s="52" t="s">
        <v>71</v>
      </c>
      <c r="O23" s="53" t="s">
        <v>130</v>
      </c>
      <c r="P23" s="54" t="s">
        <v>131</v>
      </c>
    </row>
    <row r="24" spans="1:16" ht="12.75" customHeight="1" thickBot="1">
      <c r="A24" s="20" t="str">
        <f t="shared" si="0"/>
        <v>IBVS 5894 </v>
      </c>
      <c r="B24" s="6" t="str">
        <f t="shared" si="1"/>
        <v>II</v>
      </c>
      <c r="C24" s="20">
        <f t="shared" si="2"/>
        <v>54849.669800000003</v>
      </c>
      <c r="D24" s="18" t="str">
        <f t="shared" si="3"/>
        <v>vis</v>
      </c>
      <c r="E24" s="50">
        <f>VLOOKUP(C24,Active!C$21:E$973,3,FALSE)</f>
        <v>29432.447894099038</v>
      </c>
      <c r="F24" s="6" t="s">
        <v>71</v>
      </c>
      <c r="G24" s="18" t="str">
        <f t="shared" si="4"/>
        <v>54849.6698</v>
      </c>
      <c r="H24" s="20">
        <f t="shared" si="5"/>
        <v>29434.5</v>
      </c>
      <c r="I24" s="51" t="s">
        <v>132</v>
      </c>
      <c r="J24" s="52" t="s">
        <v>133</v>
      </c>
      <c r="K24" s="51" t="s">
        <v>134</v>
      </c>
      <c r="L24" s="51" t="s">
        <v>135</v>
      </c>
      <c r="M24" s="52" t="s">
        <v>76</v>
      </c>
      <c r="N24" s="52" t="s">
        <v>71</v>
      </c>
      <c r="O24" s="53" t="s">
        <v>130</v>
      </c>
      <c r="P24" s="54" t="s">
        <v>136</v>
      </c>
    </row>
    <row r="25" spans="1:16" ht="12.75" customHeight="1" thickBot="1">
      <c r="A25" s="20" t="str">
        <f t="shared" si="0"/>
        <v>IBVS 5960 </v>
      </c>
      <c r="B25" s="6" t="str">
        <f t="shared" si="1"/>
        <v>I</v>
      </c>
      <c r="C25" s="20">
        <f t="shared" si="2"/>
        <v>55527.9162</v>
      </c>
      <c r="D25" s="18" t="str">
        <f t="shared" si="3"/>
        <v>vis</v>
      </c>
      <c r="E25" s="50">
        <f>VLOOKUP(C25,Active!C$21:E$973,3,FALSE)</f>
        <v>30646.967830116064</v>
      </c>
      <c r="F25" s="6" t="s">
        <v>71</v>
      </c>
      <c r="G25" s="18" t="str">
        <f t="shared" si="4"/>
        <v>55527.9162</v>
      </c>
      <c r="H25" s="20">
        <f t="shared" si="5"/>
        <v>30649</v>
      </c>
      <c r="I25" s="51" t="s">
        <v>137</v>
      </c>
      <c r="J25" s="52" t="s">
        <v>138</v>
      </c>
      <c r="K25" s="51" t="s">
        <v>139</v>
      </c>
      <c r="L25" s="51" t="s">
        <v>140</v>
      </c>
      <c r="M25" s="52" t="s">
        <v>76</v>
      </c>
      <c r="N25" s="52" t="s">
        <v>71</v>
      </c>
      <c r="O25" s="53" t="s">
        <v>130</v>
      </c>
      <c r="P25" s="54" t="s">
        <v>141</v>
      </c>
    </row>
    <row r="26" spans="1:16" ht="12.75" customHeight="1" thickBot="1">
      <c r="A26" s="20" t="str">
        <f t="shared" si="0"/>
        <v>BAVM 215 </v>
      </c>
      <c r="B26" s="6" t="str">
        <f t="shared" si="1"/>
        <v>I</v>
      </c>
      <c r="C26" s="20">
        <f t="shared" si="2"/>
        <v>55590.461000000003</v>
      </c>
      <c r="D26" s="18" t="str">
        <f t="shared" si="3"/>
        <v>vis</v>
      </c>
      <c r="E26" s="50">
        <f>VLOOKUP(C26,Active!C$21:E$973,3,FALSE)</f>
        <v>30758.965337945378</v>
      </c>
      <c r="F26" s="6" t="s">
        <v>71</v>
      </c>
      <c r="G26" s="18" t="str">
        <f t="shared" si="4"/>
        <v>55590.4610</v>
      </c>
      <c r="H26" s="20">
        <f t="shared" si="5"/>
        <v>30761</v>
      </c>
      <c r="I26" s="51" t="s">
        <v>142</v>
      </c>
      <c r="J26" s="52" t="s">
        <v>143</v>
      </c>
      <c r="K26" s="51" t="s">
        <v>144</v>
      </c>
      <c r="L26" s="51" t="s">
        <v>145</v>
      </c>
      <c r="M26" s="52" t="s">
        <v>76</v>
      </c>
      <c r="N26" s="52" t="s">
        <v>98</v>
      </c>
      <c r="O26" s="53" t="s">
        <v>99</v>
      </c>
      <c r="P26" s="54" t="s">
        <v>146</v>
      </c>
    </row>
    <row r="27" spans="1:16" ht="12.75" customHeight="1" thickBot="1">
      <c r="A27" s="20" t="str">
        <f t="shared" si="0"/>
        <v>IBVS 6029 </v>
      </c>
      <c r="B27" s="6" t="str">
        <f t="shared" si="1"/>
        <v>II</v>
      </c>
      <c r="C27" s="20">
        <f t="shared" si="2"/>
        <v>55957.645299999996</v>
      </c>
      <c r="D27" s="18" t="str">
        <f t="shared" si="3"/>
        <v>vis</v>
      </c>
      <c r="E27" s="50">
        <f>VLOOKUP(C27,Active!C$21:E$973,3,FALSE)</f>
        <v>31416.473660204738</v>
      </c>
      <c r="F27" s="6" t="s">
        <v>71</v>
      </c>
      <c r="G27" s="18" t="str">
        <f t="shared" si="4"/>
        <v>55957.6453</v>
      </c>
      <c r="H27" s="20">
        <f t="shared" si="5"/>
        <v>31418.5</v>
      </c>
      <c r="I27" s="51" t="s">
        <v>147</v>
      </c>
      <c r="J27" s="52" t="s">
        <v>148</v>
      </c>
      <c r="K27" s="51" t="s">
        <v>149</v>
      </c>
      <c r="L27" s="51" t="s">
        <v>150</v>
      </c>
      <c r="M27" s="52" t="s">
        <v>76</v>
      </c>
      <c r="N27" s="52" t="s">
        <v>71</v>
      </c>
      <c r="O27" s="53" t="s">
        <v>130</v>
      </c>
      <c r="P27" s="54" t="s">
        <v>151</v>
      </c>
    </row>
    <row r="28" spans="1:16">
      <c r="B28" s="6"/>
      <c r="E28" s="50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</sheetData>
  <phoneticPr fontId="8" type="noConversion"/>
  <hyperlinks>
    <hyperlink ref="P11" r:id="rId1" display="http://www.bav-astro.de/sfs/BAVM_link.php?BAVMnr=178"/>
    <hyperlink ref="P12" r:id="rId2" display="http://www.bav-astro.de/sfs/BAVM_link.php?BAVMnr=178"/>
    <hyperlink ref="P13" r:id="rId3" display="http://www.bav-astro.de/sfs/BAVM_link.php?BAVMnr=178"/>
    <hyperlink ref="P14" r:id="rId4" display="http://www.bav-astro.de/sfs/BAVM_link.php?BAVMnr=178"/>
    <hyperlink ref="P15" r:id="rId5" display="http://www.bav-astro.de/sfs/BAVM_link.php?BAVMnr=178"/>
    <hyperlink ref="P16" r:id="rId6" display="http://www.bav-astro.de/sfs/BAVM_link.php?BAVMnr=178"/>
    <hyperlink ref="P17" r:id="rId7" display="http://www.bav-astro.de/sfs/BAVM_link.php?BAVMnr=178"/>
    <hyperlink ref="P18" r:id="rId8" display="http://www.konkoly.hu/cgi-bin/IBVS?5672"/>
    <hyperlink ref="P19" r:id="rId9" display="http://www.bav-astro.de/sfs/BAVM_link.php?BAVMnr=178"/>
    <hyperlink ref="P20" r:id="rId10" display="http://www.bav-astro.de/sfs/BAVM_link.php?BAVMnr=178"/>
    <hyperlink ref="P21" r:id="rId11" display="http://www.bav-astro.de/sfs/BAVM_link.php?BAVMnr=178"/>
    <hyperlink ref="P22" r:id="rId12" display="http://www.bav-astro.de/sfs/BAVM_link.php?BAVMnr=186"/>
    <hyperlink ref="P23" r:id="rId13" display="http://www.konkoly.hu/cgi-bin/IBVS?5871"/>
    <hyperlink ref="P24" r:id="rId14" display="http://www.konkoly.hu/cgi-bin/IBVS?5894"/>
    <hyperlink ref="P25" r:id="rId15" display="http://www.konkoly.hu/cgi-bin/IBVS?5960"/>
    <hyperlink ref="P26" r:id="rId16" display="http://www.bav-astro.de/sfs/BAVM_link.php?BAVMnr=215"/>
    <hyperlink ref="P27" r:id="rId17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2024-02-11T05:00:15Z</dcterms:modified>
</cp:coreProperties>
</file>