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43A0B59-6907-488B-A092-E40427D7F2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51" i="1"/>
  <c r="Q53" i="1"/>
  <c r="G26" i="2"/>
  <c r="C26" i="2"/>
  <c r="G25" i="2"/>
  <c r="C25" i="2"/>
  <c r="G24" i="2"/>
  <c r="C24" i="2"/>
  <c r="G23" i="2"/>
  <c r="C23" i="2"/>
  <c r="G22" i="2"/>
  <c r="C22" i="2"/>
  <c r="G47" i="2"/>
  <c r="C47" i="2"/>
  <c r="G21" i="2"/>
  <c r="C21" i="2"/>
  <c r="G46" i="2"/>
  <c r="C46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47" i="2"/>
  <c r="B47" i="2"/>
  <c r="D47" i="2"/>
  <c r="A47" i="2"/>
  <c r="H21" i="2"/>
  <c r="D21" i="2"/>
  <c r="B21" i="2"/>
  <c r="A21" i="2"/>
  <c r="H46" i="2"/>
  <c r="B46" i="2"/>
  <c r="D46" i="2"/>
  <c r="A46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Q58" i="1"/>
  <c r="Q52" i="1"/>
  <c r="Q57" i="1"/>
  <c r="Q56" i="1"/>
  <c r="F16" i="1"/>
  <c r="F17" i="1" s="1"/>
  <c r="C17" i="1"/>
  <c r="Q55" i="1"/>
  <c r="Q50" i="1"/>
  <c r="Q54" i="1"/>
  <c r="Q48" i="1"/>
  <c r="C7" i="1"/>
  <c r="E21" i="1"/>
  <c r="F21" i="1"/>
  <c r="C8" i="1"/>
  <c r="Q41" i="1"/>
  <c r="Q42" i="1"/>
  <c r="Q43" i="1"/>
  <c r="Q49" i="1"/>
  <c r="Q44" i="1"/>
  <c r="Q45" i="1"/>
  <c r="Q46" i="1"/>
  <c r="Q47" i="1"/>
  <c r="Q26" i="1"/>
  <c r="E37" i="2"/>
  <c r="E13" i="2"/>
  <c r="E27" i="2"/>
  <c r="E24" i="2"/>
  <c r="E11" i="2"/>
  <c r="E57" i="1"/>
  <c r="F57" i="1"/>
  <c r="E43" i="1"/>
  <c r="F43" i="1"/>
  <c r="G53" i="1"/>
  <c r="I53" i="1"/>
  <c r="E40" i="1"/>
  <c r="F40" i="1"/>
  <c r="E32" i="1"/>
  <c r="F32" i="1"/>
  <c r="E23" i="1"/>
  <c r="F23" i="1"/>
  <c r="E52" i="1"/>
  <c r="F52" i="1"/>
  <c r="G39" i="1"/>
  <c r="H39" i="1"/>
  <c r="E48" i="1"/>
  <c r="F48" i="1"/>
  <c r="G48" i="1"/>
  <c r="K48" i="1"/>
  <c r="E44" i="1"/>
  <c r="E53" i="1"/>
  <c r="F53" i="1"/>
  <c r="E34" i="1"/>
  <c r="F34" i="1"/>
  <c r="G34" i="1"/>
  <c r="H34" i="1"/>
  <c r="E25" i="1"/>
  <c r="F25" i="1"/>
  <c r="G25" i="1"/>
  <c r="H25" i="1"/>
  <c r="E56" i="1"/>
  <c r="F56" i="1"/>
  <c r="E42" i="1"/>
  <c r="F42" i="1"/>
  <c r="G42" i="1"/>
  <c r="J42" i="1"/>
  <c r="E39" i="1"/>
  <c r="F39" i="1"/>
  <c r="E31" i="1"/>
  <c r="F31" i="1"/>
  <c r="G31" i="1"/>
  <c r="H31" i="1"/>
  <c r="E22" i="1"/>
  <c r="F22" i="1"/>
  <c r="E29" i="1"/>
  <c r="F29" i="1"/>
  <c r="E54" i="1"/>
  <c r="F54" i="1"/>
  <c r="G54" i="1"/>
  <c r="K54" i="1"/>
  <c r="E46" i="1"/>
  <c r="F46" i="1"/>
  <c r="G46" i="1"/>
  <c r="K46" i="1"/>
  <c r="E36" i="1"/>
  <c r="E28" i="1"/>
  <c r="G56" i="1"/>
  <c r="K56" i="1"/>
  <c r="E47" i="1"/>
  <c r="F47" i="1"/>
  <c r="G47" i="1"/>
  <c r="K47" i="1"/>
  <c r="E37" i="1"/>
  <c r="F37" i="1"/>
  <c r="G37" i="1"/>
  <c r="H37" i="1"/>
  <c r="G22" i="1"/>
  <c r="H22" i="1"/>
  <c r="E58" i="1"/>
  <c r="F58" i="1"/>
  <c r="G58" i="1"/>
  <c r="J58" i="1"/>
  <c r="E49" i="1"/>
  <c r="F49" i="1"/>
  <c r="G49" i="1"/>
  <c r="J49" i="1"/>
  <c r="E26" i="1"/>
  <c r="F26" i="1"/>
  <c r="G26" i="1"/>
  <c r="H26" i="1"/>
  <c r="E51" i="1"/>
  <c r="F51" i="1"/>
  <c r="G51" i="1"/>
  <c r="I51" i="1"/>
  <c r="G35" i="1"/>
  <c r="H35" i="1"/>
  <c r="E33" i="1"/>
  <c r="F33" i="1"/>
  <c r="G33" i="1"/>
  <c r="H33" i="1"/>
  <c r="E24" i="1"/>
  <c r="F24" i="1"/>
  <c r="G24" i="1"/>
  <c r="H24" i="1"/>
  <c r="G21" i="1"/>
  <c r="G57" i="1"/>
  <c r="K57" i="1"/>
  <c r="E55" i="1"/>
  <c r="F55" i="1"/>
  <c r="G55" i="1"/>
  <c r="K55" i="1"/>
  <c r="G43" i="1"/>
  <c r="J43" i="1"/>
  <c r="E41" i="1"/>
  <c r="F41" i="1"/>
  <c r="G41" i="1"/>
  <c r="J41" i="1"/>
  <c r="G40" i="1"/>
  <c r="H40" i="1"/>
  <c r="E38" i="1"/>
  <c r="F38" i="1"/>
  <c r="G38" i="1"/>
  <c r="H38" i="1"/>
  <c r="G32" i="1"/>
  <c r="H32" i="1"/>
  <c r="E30" i="1"/>
  <c r="F30" i="1"/>
  <c r="G30" i="1"/>
  <c r="H30" i="1"/>
  <c r="G23" i="1"/>
  <c r="H23" i="1"/>
  <c r="G52" i="1"/>
  <c r="J52" i="1"/>
  <c r="E50" i="1"/>
  <c r="F50" i="1"/>
  <c r="G50" i="1"/>
  <c r="J50" i="1"/>
  <c r="E45" i="1"/>
  <c r="F45" i="1"/>
  <c r="G45" i="1"/>
  <c r="K45" i="1"/>
  <c r="E35" i="1"/>
  <c r="F35" i="1"/>
  <c r="G29" i="1"/>
  <c r="H29" i="1"/>
  <c r="E27" i="1"/>
  <c r="F27" i="1"/>
  <c r="G27" i="1"/>
  <c r="H27" i="1"/>
  <c r="E15" i="2"/>
  <c r="E44" i="2"/>
  <c r="E19" i="2"/>
  <c r="E18" i="2"/>
  <c r="E40" i="2"/>
  <c r="E23" i="2"/>
  <c r="E42" i="2"/>
  <c r="E17" i="2"/>
  <c r="E33" i="2"/>
  <c r="F28" i="1"/>
  <c r="G28" i="1"/>
  <c r="E30" i="2"/>
  <c r="E43" i="2"/>
  <c r="E38" i="2"/>
  <c r="E31" i="2"/>
  <c r="H21" i="1"/>
  <c r="E25" i="2"/>
  <c r="E32" i="2"/>
  <c r="E28" i="2"/>
  <c r="E41" i="2"/>
  <c r="F36" i="1"/>
  <c r="G36" i="1"/>
  <c r="H36" i="1"/>
  <c r="E14" i="2"/>
  <c r="F44" i="1"/>
  <c r="G44" i="1"/>
  <c r="K44" i="1"/>
  <c r="E45" i="2"/>
  <c r="E21" i="2"/>
  <c r="E12" i="2"/>
  <c r="E16" i="2"/>
  <c r="E26" i="2"/>
  <c r="E29" i="2"/>
  <c r="E36" i="2"/>
  <c r="E39" i="2"/>
  <c r="E35" i="2"/>
  <c r="E46" i="2"/>
  <c r="E20" i="2"/>
  <c r="E22" i="2"/>
  <c r="E47" i="2"/>
  <c r="E34" i="2"/>
  <c r="H28" i="1"/>
  <c r="C12" i="1"/>
  <c r="C11" i="1"/>
  <c r="O28" i="1" l="1"/>
  <c r="O27" i="1"/>
  <c r="O29" i="1"/>
  <c r="O40" i="1"/>
  <c r="O58" i="1"/>
  <c r="O36" i="1"/>
  <c r="O35" i="1"/>
  <c r="O21" i="1"/>
  <c r="O47" i="1"/>
  <c r="O49" i="1"/>
  <c r="O37" i="1"/>
  <c r="O22" i="1"/>
  <c r="O25" i="1"/>
  <c r="O52" i="1"/>
  <c r="O30" i="1"/>
  <c r="O24" i="1"/>
  <c r="O31" i="1"/>
  <c r="O34" i="1"/>
  <c r="O38" i="1"/>
  <c r="O46" i="1"/>
  <c r="O44" i="1"/>
  <c r="O54" i="1"/>
  <c r="O33" i="1"/>
  <c r="O39" i="1"/>
  <c r="O53" i="1"/>
  <c r="O41" i="1"/>
  <c r="O57" i="1"/>
  <c r="O45" i="1"/>
  <c r="O26" i="1"/>
  <c r="O42" i="1"/>
  <c r="O51" i="1"/>
  <c r="O56" i="1"/>
  <c r="O55" i="1"/>
  <c r="O48" i="1"/>
  <c r="O43" i="1"/>
  <c r="O23" i="1"/>
  <c r="O32" i="1"/>
  <c r="O50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<sst xmlns="http://schemas.openxmlformats.org/spreadsheetml/2006/main" count="435" uniqueCount="205">
  <si>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</si>
  <si>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</si>
  <si>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</si>
  <si>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</si>
  <si>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</si>
  <si>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</si>
  <si>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</si>
  <si>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</si>
  <si>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</si>
  <si>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</si>
  <si>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</si>
  <si>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</si>
  <si>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</si>
  <si>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</si>
  <si>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</si>
  <si>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</si>
  <si>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</si>
  <si>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</si>
  <si>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</si>
  <si>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</si>
  <si>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</si>
  <si>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</si>
  <si>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</si>
  <si>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</si>
  <si>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</si>
  <si>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</si>
  <si>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</si>
  <si>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</si>
  <si>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EA/KE:</t>
  </si>
  <si>
    <t>IBVS 5287</t>
  </si>
  <si>
    <t>I</t>
  </si>
  <si>
    <t>IBVS 5583</t>
  </si>
  <si>
    <t>II</t>
  </si>
  <si>
    <t># of data points:</t>
  </si>
  <si>
    <t>EL Gem / GSC 01340-02008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</si>
  <si>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</si>
  <si>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</si>
  <si>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</si>
  <si>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</si>
  <si>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</si>
  <si>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</si>
  <si>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</si>
  <si>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</si>
  <si>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IBVS 5874</t>
  </si>
  <si>
    <t>IBVS 5894</t>
  </si>
  <si>
    <t>IBVS 5920</t>
  </si>
  <si>
    <t>Add cycle</t>
  </si>
  <si>
    <t>Old Cycle</t>
  </si>
  <si>
    <t>IBVS 5974</t>
  </si>
  <si>
    <t>IBVS 5918</t>
  </si>
  <si>
    <t>IBVS 6011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</si>
  <si>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</si>
  <si>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</si>
  <si>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</si>
  <si>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</si>
  <si>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</si>
  <si>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</si>
  <si>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</si>
  <si>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</si>
  <si>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</si>
  <si>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</si>
  <si>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</si>
  <si>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</si>
  <si>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2428192.31 </t>
  </si>
  <si>
    <t> 24.01.1936 19:26 </t>
  </si>
  <si>
    <t> 0.05 </t>
  </si>
  <si>
    <t>P </t>
  </si>
  <si>
    <t> C.Hoffmeister </t>
  </si>
  <si>
    <t> VSS 2.59 </t>
  </si>
  <si>
    <t>2428453.63 </t>
  </si>
  <si>
    <t> 12.10.1936 03:07 </t>
  </si>
  <si>
    <t> -0.01 </t>
  </si>
  <si>
    <t>2428546.44 </t>
  </si>
  <si>
    <t> 12.01.1937 22:33 </t>
  </si>
  <si>
    <t> -0.05 </t>
  </si>
  <si>
    <t>2428594.33 </t>
  </si>
  <si>
    <t> 01.03.1937 19:55 </t>
  </si>
  <si>
    <t> -0.00 </t>
  </si>
  <si>
    <t>2428924.26 </t>
  </si>
  <si>
    <t> 25.01.1938 18:14 </t>
  </si>
  <si>
    <t> -0.02 </t>
  </si>
  <si>
    <t>2429163.59 </t>
  </si>
  <si>
    <t> 22.09.1938 02:09 </t>
  </si>
  <si>
    <t> 0.07 </t>
  </si>
  <si>
    <t>2429168.58 </t>
  </si>
  <si>
    <t> 27.09.1938 01:55 </t>
  </si>
  <si>
    <t> 0.06 </t>
  </si>
  <si>
    <t>2429193.53 </t>
  </si>
  <si>
    <t> 22.10.1938 00:43 </t>
  </si>
  <si>
    <t> 0.01 </t>
  </si>
  <si>
    <t>2429250.61 </t>
  </si>
  <si>
    <t> 18.12.1938 02:38 </t>
  </si>
  <si>
    <t> -0.04 </t>
  </si>
  <si>
    <t>2429251.35 </t>
  </si>
  <si>
    <t> 18.12.1938 20:24 </t>
  </si>
  <si>
    <t>2429316.38 </t>
  </si>
  <si>
    <t> 21.02.1939 21:07 </t>
  </si>
  <si>
    <t> 0.03 </t>
  </si>
  <si>
    <t>2429638.45 </t>
  </si>
  <si>
    <t> 09.01.1940 22:48 </t>
  </si>
  <si>
    <t>2429910.61 </t>
  </si>
  <si>
    <t> 08.10.1940 02:38 </t>
  </si>
  <si>
    <t>2430023.40 </t>
  </si>
  <si>
    <t> 28.01.1941 21:36 </t>
  </si>
  <si>
    <t> 0.02 </t>
  </si>
  <si>
    <t>2430025.55 </t>
  </si>
  <si>
    <t> 31.01.1941 01:12 </t>
  </si>
  <si>
    <t>2430257.61 </t>
  </si>
  <si>
    <t> 20.09.1941 02:38 </t>
  </si>
  <si>
    <t>2430375.42 </t>
  </si>
  <si>
    <t> 15.01.1942 22:04 </t>
  </si>
  <si>
    <t>2430377.60 </t>
  </si>
  <si>
    <t> 18.01.1942 02:24 </t>
  </si>
  <si>
    <t>2430704.68 </t>
  </si>
  <si>
    <t> 11.12.1942 04:19 </t>
  </si>
  <si>
    <t>2450425.4404 </t>
  </si>
  <si>
    <t> 07.12.1996 22:34 </t>
  </si>
  <si>
    <t> -0.1826 </t>
  </si>
  <si>
    <t>C </t>
  </si>
  <si>
    <t>o</t>
  </si>
  <si>
    <t> W.Moschner </t>
  </si>
  <si>
    <t>BAVM 178 </t>
  </si>
  <si>
    <t>2450463.2872 </t>
  </si>
  <si>
    <t> 14.01.1997 18:53 </t>
  </si>
  <si>
    <t> -0.9007 </t>
  </si>
  <si>
    <t>2450752.5223 </t>
  </si>
  <si>
    <t> 31.10.1997 00:32 </t>
  </si>
  <si>
    <t> -0.1879 </t>
  </si>
  <si>
    <t>2451876.6010 </t>
  </si>
  <si>
    <t> 28.11.2000 02:25 </t>
  </si>
  <si>
    <t> -0.2038 </t>
  </si>
  <si>
    <t>E </t>
  </si>
  <si>
    <t>?</t>
  </si>
  <si>
    <t> M.Zejda </t>
  </si>
  <si>
    <t>IBVS 5287 </t>
  </si>
  <si>
    <t>2452369.3758 </t>
  </si>
  <si>
    <t> 04.04.2002 21:01 </t>
  </si>
  <si>
    <t> -0.2024 </t>
  </si>
  <si>
    <t>IBVS 5583 </t>
  </si>
  <si>
    <t>2452694.3208 </t>
  </si>
  <si>
    <t> 23.02.2003 19:41 </t>
  </si>
  <si>
    <t> -0.2022 </t>
  </si>
  <si>
    <t>2453029.2601 </t>
  </si>
  <si>
    <t> 24.01.2004 18:14 </t>
  </si>
  <si>
    <t> -0.2059 </t>
  </si>
  <si>
    <t>2453451.3268 </t>
  </si>
  <si>
    <t> 21.03.2005 19:50 </t>
  </si>
  <si>
    <t> -0.2103 </t>
  </si>
  <si>
    <t> M. Zejda et al. </t>
  </si>
  <si>
    <t>IBVS 5741 </t>
  </si>
  <si>
    <t>2453670.5735 </t>
  </si>
  <si>
    <t> 27.10.2005 01:45 </t>
  </si>
  <si>
    <t> -0.2121 </t>
  </si>
  <si>
    <t>-I</t>
  </si>
  <si>
    <t> P.Frank </t>
  </si>
  <si>
    <t>2454505.4241 </t>
  </si>
  <si>
    <t> 08.02.2008 22:10 </t>
  </si>
  <si>
    <t>18422.5</t>
  </si>
  <si>
    <t> -0.2195 </t>
  </si>
  <si>
    <t> F.Agerer </t>
  </si>
  <si>
    <t>BAVM 201 </t>
  </si>
  <si>
    <t>2454809.6543 </t>
  </si>
  <si>
    <t> 09.12.2008 03:42 </t>
  </si>
  <si>
    <t>18635.5</t>
  </si>
  <si>
    <t> -0.2233 </t>
  </si>
  <si>
    <t>BAVM 203 </t>
  </si>
  <si>
    <t>2454830.3667 </t>
  </si>
  <si>
    <t> 29.12.2008 20:48 </t>
  </si>
  <si>
    <t>18650</t>
  </si>
  <si>
    <t> -0.2217 </t>
  </si>
  <si>
    <t>BAVM 209 </t>
  </si>
  <si>
    <t>2454857.5046 </t>
  </si>
  <si>
    <t> 26.01.2009 00:06 </t>
  </si>
  <si>
    <t>18669</t>
  </si>
  <si>
    <t> -0.2220 </t>
  </si>
  <si>
    <t> U.Schmidt </t>
  </si>
  <si>
    <t>2454874.6458 </t>
  </si>
  <si>
    <t> 12.02.2009 03:29 </t>
  </si>
  <si>
    <t>18681</t>
  </si>
  <si>
    <t> -0.2208 </t>
  </si>
  <si>
    <t> R.Diethelm </t>
  </si>
  <si>
    <t>IBVS 5894 </t>
  </si>
  <si>
    <t>2455158.8795 </t>
  </si>
  <si>
    <t> 23.11.2009 09:06 </t>
  </si>
  <si>
    <t>18880</t>
  </si>
  <si>
    <t> -0.2245 </t>
  </si>
  <si>
    <t>IBVS 5920 </t>
  </si>
  <si>
    <t>2455261.7186 </t>
  </si>
  <si>
    <t> 06.03.2010 05:14 </t>
  </si>
  <si>
    <t>18952</t>
  </si>
  <si>
    <t> -0.2250 </t>
  </si>
  <si>
    <t> S.Dvorak </t>
  </si>
  <si>
    <t>IBVS 5974 </t>
  </si>
  <si>
    <t>2455895.8907 </t>
  </si>
  <si>
    <t> 30.11.2011 09:22 </t>
  </si>
  <si>
    <t>19396</t>
  </si>
  <si>
    <t> -0.2308 </t>
  </si>
  <si>
    <t>IBVS 6011 </t>
  </si>
  <si>
    <t>2457028.5425 </t>
  </si>
  <si>
    <t> 06.01.2015 01:01 </t>
  </si>
  <si>
    <t>20189</t>
  </si>
  <si>
    <t> -0.2436 </t>
  </si>
  <si>
    <t>BAVM 239 </t>
  </si>
  <si>
    <t>BAD?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</si>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</sst>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Gem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5.0000000002910383E-2</c:v>
                </c:pt>
                <c:pt idx="1">
                  <c:v>-1.4133799995761365E-2</c:v>
                </c:pt>
                <c:pt idx="2">
                  <c:v>-4.5492799999919953E-2</c:v>
                </c:pt>
                <c:pt idx="3">
                  <c:v>-4.5008999950368889E-3</c:v>
                </c:pt>
                <c:pt idx="4">
                  <c:v>-1.840749999973923E-2</c:v>
                </c:pt>
                <c:pt idx="5">
                  <c:v>0</c:v>
                </c:pt>
                <c:pt idx="6">
                  <c:v>6.6552000000228873E-2</c:v>
                </c:pt>
                <c:pt idx="7">
                  <c:v>5.7401900005061179E-2</c:v>
                </c:pt>
                <c:pt idx="8">
                  <c:v>1.1651400000118883E-2</c:v>
                </c:pt>
                <c:pt idx="9">
                  <c:v>-4.1492599997582147E-2</c:v>
                </c:pt>
                <c:pt idx="10">
                  <c:v>-1.5656899999157758E-2</c:v>
                </c:pt>
                <c:pt idx="11">
                  <c:v>2.5391800001671072E-2</c:v>
                </c:pt>
                <c:pt idx="12">
                  <c:v>7.2925000022223685E-3</c:v>
                </c:pt>
                <c:pt idx="13">
                  <c:v>7.0694200003345031E-2</c:v>
                </c:pt>
                <c:pt idx="14">
                  <c:v>2.2734800004400313E-2</c:v>
                </c:pt>
                <c:pt idx="15">
                  <c:v>3.0241899999964517E-2</c:v>
                </c:pt>
                <c:pt idx="16">
                  <c:v>-1.3155599997844547E-2</c:v>
                </c:pt>
                <c:pt idx="17">
                  <c:v>-4.0265100000397069E-2</c:v>
                </c:pt>
                <c:pt idx="18">
                  <c:v>-2.7579999987210613E-3</c:v>
                </c:pt>
                <c:pt idx="19">
                  <c:v>-1.0007399996538879E-2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08-4DAF-94EB-6C8CADC8F3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0">
                  <c:v>-0.2233252999940305</c:v>
                </c:pt>
                <c:pt idx="32">
                  <c:v>-0.22203340000123717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08-4DAF-94EB-6C8CADC8F3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0">
                  <c:v>-0.18258760000026086</c:v>
                </c:pt>
                <c:pt idx="21">
                  <c:v>-0.18649549999827286</c:v>
                </c:pt>
                <c:pt idx="22">
                  <c:v>-0.18793700000242097</c:v>
                </c:pt>
                <c:pt idx="28">
                  <c:v>-0.21206679999886546</c:v>
                </c:pt>
                <c:pt idx="29">
                  <c:v>-0.21953349999967031</c:v>
                </c:pt>
                <c:pt idx="31">
                  <c:v>-0.22168999999848893</c:v>
                </c:pt>
                <c:pt idx="37">
                  <c:v>-0.24360539999179309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08-4DAF-94EB-6C8CADC8F3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-0.20384519999061013</c:v>
                </c:pt>
                <c:pt idx="24">
                  <c:v>-0.20241219999297755</c:v>
                </c:pt>
                <c:pt idx="25">
                  <c:v>-0.2021686999942176</c:v>
                </c:pt>
                <c:pt idx="26">
                  <c:v>-0.20592539999779547</c:v>
                </c:pt>
                <c:pt idx="27">
                  <c:v>-0.21032669999840437</c:v>
                </c:pt>
                <c:pt idx="33">
                  <c:v>-0.22077659999922616</c:v>
                </c:pt>
                <c:pt idx="34">
                  <c:v>-0.22446799999306677</c:v>
                </c:pt>
                <c:pt idx="35">
                  <c:v>-0.22502720000193221</c:v>
                </c:pt>
                <c:pt idx="36">
                  <c:v>-0.23082559999602381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08-4DAF-94EB-6C8CADC8F3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08-4DAF-94EB-6C8CADC8F3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08-4DAF-94EB-6C8CADC8F3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08-4DAF-94EB-6C8CADC8F3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1.7231315392930199E-2</c:v>
                </c:pt>
                <c:pt idx="1">
                  <c:v>1.4876783988587342E-2</c:v>
                </c:pt>
                <c:pt idx="2">
                  <c:v>1.404047501983168E-2</c:v>
                </c:pt>
                <c:pt idx="3">
                  <c:v>1.3609454243626841E-2</c:v>
                </c:pt>
                <c:pt idx="4">
                  <c:v>1.0637340831587494E-2</c:v>
                </c:pt>
                <c:pt idx="5">
                  <c:v>1.7231315392930199E-2</c:v>
                </c:pt>
                <c:pt idx="6">
                  <c:v>8.4822369505632919E-3</c:v>
                </c:pt>
                <c:pt idx="7">
                  <c:v>8.4372049291687578E-3</c:v>
                </c:pt>
                <c:pt idx="8">
                  <c:v>8.2120448221960785E-3</c:v>
                </c:pt>
                <c:pt idx="9">
                  <c:v>7.6973931491156732E-3</c:v>
                </c:pt>
                <c:pt idx="10">
                  <c:v>7.6909600032021679E-3</c:v>
                </c:pt>
                <c:pt idx="11">
                  <c:v>7.1055437250732052E-3</c:v>
                </c:pt>
                <c:pt idx="12">
                  <c:v>4.2041949180824153E-3</c:v>
                </c:pt>
                <c:pt idx="13">
                  <c:v>1.7531663250369804E-3</c:v>
                </c:pt>
                <c:pt idx="14">
                  <c:v>7.3672927070317709E-4</c:v>
                </c:pt>
                <c:pt idx="15">
                  <c:v>7.1742983296266272E-4</c:v>
                </c:pt>
                <c:pt idx="16">
                  <c:v>-1.3733425889264871E-3</c:v>
                </c:pt>
                <c:pt idx="17">
                  <c:v>-2.4348116646548262E-3</c:v>
                </c:pt>
                <c:pt idx="18">
                  <c:v>-2.4541111023953406E-3</c:v>
                </c:pt>
                <c:pt idx="19">
                  <c:v>-5.4004919307806681E-3</c:v>
                </c:pt>
                <c:pt idx="20">
                  <c:v>-0.18304538318630992</c:v>
                </c:pt>
                <c:pt idx="21">
                  <c:v>-0.18338633991972569</c:v>
                </c:pt>
                <c:pt idx="22">
                  <c:v>-0.18599176401469525</c:v>
                </c:pt>
                <c:pt idx="23">
                  <c:v>-0.19611753568255225</c:v>
                </c:pt>
                <c:pt idx="24">
                  <c:v>-0.2005564063628707</c:v>
                </c:pt>
                <c:pt idx="25">
                  <c:v>-0.20348348775351555</c:v>
                </c:pt>
                <c:pt idx="26">
                  <c:v>-0.20650063318694944</c:v>
                </c:pt>
                <c:pt idx="27">
                  <c:v>-0.2103026224218309</c:v>
                </c:pt>
                <c:pt idx="28">
                  <c:v>-0.21227759821727699</c:v>
                </c:pt>
                <c:pt idx="29">
                  <c:v>-0.21979794579016443</c:v>
                </c:pt>
                <c:pt idx="30">
                  <c:v>-0.22253846594931759</c:v>
                </c:pt>
                <c:pt idx="31">
                  <c:v>-0.22272502718080922</c:v>
                </c:pt>
                <c:pt idx="32">
                  <c:v>-0.22296948672552241</c:v>
                </c:pt>
                <c:pt idx="33">
                  <c:v>-0.22312388222744656</c:v>
                </c:pt>
                <c:pt idx="34">
                  <c:v>-0.22568427430102156</c:v>
                </c:pt>
                <c:pt idx="35">
                  <c:v>-0.2266106473125663</c:v>
                </c:pt>
                <c:pt idx="36">
                  <c:v>-0.23232328088375881</c:v>
                </c:pt>
                <c:pt idx="37">
                  <c:v>-0.24252625030257785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08-4DAF-94EB-6C8CADC8F34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08-4DAF-94EB-6C8CADC8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24528"/>
        <c:axId val="1"/>
      </c:scatterChart>
      <c:valAx>
        <c:axId val="870224528"/>
        <c:scaling>
          <c:orientation val="minMax"/>
          <c:max val="2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2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24249594002687"/>
          <c:y val="0.92073298764483702"/>
          <c:w val="0.7916000322253740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Gem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5.0000000002910383E-2</c:v>
                </c:pt>
                <c:pt idx="1">
                  <c:v>-1.4133799995761365E-2</c:v>
                </c:pt>
                <c:pt idx="2">
                  <c:v>-4.5492799999919953E-2</c:v>
                </c:pt>
                <c:pt idx="3">
                  <c:v>-4.5008999950368889E-3</c:v>
                </c:pt>
                <c:pt idx="4">
                  <c:v>-1.840749999973923E-2</c:v>
                </c:pt>
                <c:pt idx="5">
                  <c:v>0</c:v>
                </c:pt>
                <c:pt idx="6">
                  <c:v>6.6552000000228873E-2</c:v>
                </c:pt>
                <c:pt idx="7">
                  <c:v>5.7401900005061179E-2</c:v>
                </c:pt>
                <c:pt idx="8">
                  <c:v>1.1651400000118883E-2</c:v>
                </c:pt>
                <c:pt idx="9">
                  <c:v>-4.1492599997582147E-2</c:v>
                </c:pt>
                <c:pt idx="10">
                  <c:v>-1.5656899999157758E-2</c:v>
                </c:pt>
                <c:pt idx="11">
                  <c:v>2.5391800001671072E-2</c:v>
                </c:pt>
                <c:pt idx="12">
                  <c:v>7.2925000022223685E-3</c:v>
                </c:pt>
                <c:pt idx="13">
                  <c:v>7.0694200003345031E-2</c:v>
                </c:pt>
                <c:pt idx="14">
                  <c:v>2.2734800004400313E-2</c:v>
                </c:pt>
                <c:pt idx="15">
                  <c:v>3.0241899999964517E-2</c:v>
                </c:pt>
                <c:pt idx="16">
                  <c:v>-1.3155599997844547E-2</c:v>
                </c:pt>
                <c:pt idx="17">
                  <c:v>-4.0265100000397069E-2</c:v>
                </c:pt>
                <c:pt idx="18">
                  <c:v>-2.7579999987210613E-3</c:v>
                </c:pt>
                <c:pt idx="19">
                  <c:v>-1.0007399996538879E-2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6-4BFC-9530-9B660C649F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0">
                  <c:v>-0.2233252999940305</c:v>
                </c:pt>
                <c:pt idx="32">
                  <c:v>-0.22203340000123717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6-4BFC-9530-9B660C649F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0">
                  <c:v>-0.18258760000026086</c:v>
                </c:pt>
                <c:pt idx="21">
                  <c:v>-0.18649549999827286</c:v>
                </c:pt>
                <c:pt idx="22">
                  <c:v>-0.18793700000242097</c:v>
                </c:pt>
                <c:pt idx="28">
                  <c:v>-0.21206679999886546</c:v>
                </c:pt>
                <c:pt idx="29">
                  <c:v>-0.21953349999967031</c:v>
                </c:pt>
                <c:pt idx="31">
                  <c:v>-0.22168999999848893</c:v>
                </c:pt>
                <c:pt idx="37">
                  <c:v>-0.24360539999179309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F6-4BFC-9530-9B660C649F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-0.20384519999061013</c:v>
                </c:pt>
                <c:pt idx="24">
                  <c:v>-0.20241219999297755</c:v>
                </c:pt>
                <c:pt idx="25">
                  <c:v>-0.2021686999942176</c:v>
                </c:pt>
                <c:pt idx="26">
                  <c:v>-0.20592539999779547</c:v>
                </c:pt>
                <c:pt idx="27">
                  <c:v>-0.21032669999840437</c:v>
                </c:pt>
                <c:pt idx="33">
                  <c:v>-0.22077659999922616</c:v>
                </c:pt>
                <c:pt idx="34">
                  <c:v>-0.22446799999306677</c:v>
                </c:pt>
                <c:pt idx="35">
                  <c:v>-0.22502720000193221</c:v>
                </c:pt>
                <c:pt idx="36">
                  <c:v>-0.23082559999602381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F6-4BFC-9530-9B660C649F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F6-4BFC-9530-9B660C649F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F6-4BFC-9530-9B660C649F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1.2999999999999999E-3</c:v>
                  </c:pt>
                  <c:pt idx="21">
                    <c:v>1.2999999999999999E-3</c:v>
                  </c:pt>
                  <c:pt idx="22">
                    <c:v>1.2999999999999999E-3</c:v>
                  </c:pt>
                  <c:pt idx="23">
                    <c:v>9.1000000000000004E-3</c:v>
                  </c:pt>
                  <c:pt idx="24">
                    <c:v>1.8E-3</c:v>
                  </c:pt>
                  <c:pt idx="25">
                    <c:v>4.3E-3</c:v>
                  </c:pt>
                  <c:pt idx="26">
                    <c:v>2.8999999999999998E-3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6.9999999999999999E-4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F6-4BFC-9530-9B660C649F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</c:v>
                </c:pt>
                <c:pt idx="2">
                  <c:v>248</c:v>
                </c:pt>
                <c:pt idx="3">
                  <c:v>281.5</c:v>
                </c:pt>
                <c:pt idx="4">
                  <c:v>512.5</c:v>
                </c:pt>
                <c:pt idx="5">
                  <c:v>0</c:v>
                </c:pt>
                <c:pt idx="6">
                  <c:v>680</c:v>
                </c:pt>
                <c:pt idx="7">
                  <c:v>683.5</c:v>
                </c:pt>
                <c:pt idx="8">
                  <c:v>701</c:v>
                </c:pt>
                <c:pt idx="9">
                  <c:v>741</c:v>
                </c:pt>
                <c:pt idx="10">
                  <c:v>741.5</c:v>
                </c:pt>
                <c:pt idx="11">
                  <c:v>787</c:v>
                </c:pt>
                <c:pt idx="12">
                  <c:v>1012.5</c:v>
                </c:pt>
                <c:pt idx="13">
                  <c:v>1203</c:v>
                </c:pt>
                <c:pt idx="14">
                  <c:v>1282</c:v>
                </c:pt>
                <c:pt idx="15">
                  <c:v>1283.5</c:v>
                </c:pt>
                <c:pt idx="16">
                  <c:v>1446</c:v>
                </c:pt>
                <c:pt idx="17">
                  <c:v>1528.5</c:v>
                </c:pt>
                <c:pt idx="18">
                  <c:v>1530</c:v>
                </c:pt>
                <c:pt idx="19">
                  <c:v>1759</c:v>
                </c:pt>
                <c:pt idx="20">
                  <c:v>15566</c:v>
                </c:pt>
                <c:pt idx="21">
                  <c:v>15592.5</c:v>
                </c:pt>
                <c:pt idx="22">
                  <c:v>15795</c:v>
                </c:pt>
                <c:pt idx="23">
                  <c:v>16582</c:v>
                </c:pt>
                <c:pt idx="24">
                  <c:v>16927</c:v>
                </c:pt>
                <c:pt idx="25">
                  <c:v>17154.5</c:v>
                </c:pt>
                <c:pt idx="26">
                  <c:v>17389</c:v>
                </c:pt>
                <c:pt idx="27">
                  <c:v>17684.5</c:v>
                </c:pt>
                <c:pt idx="28">
                  <c:v>17838</c:v>
                </c:pt>
                <c:pt idx="29">
                  <c:v>18422.5</c:v>
                </c:pt>
                <c:pt idx="30">
                  <c:v>18635.5</c:v>
                </c:pt>
                <c:pt idx="31">
                  <c:v>18650</c:v>
                </c:pt>
                <c:pt idx="32">
                  <c:v>18669</c:v>
                </c:pt>
                <c:pt idx="33">
                  <c:v>18681</c:v>
                </c:pt>
                <c:pt idx="34">
                  <c:v>18880</c:v>
                </c:pt>
                <c:pt idx="35">
                  <c:v>18952</c:v>
                </c:pt>
                <c:pt idx="36">
                  <c:v>19396</c:v>
                </c:pt>
                <c:pt idx="37">
                  <c:v>20189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1.7231315392930199E-2</c:v>
                </c:pt>
                <c:pt idx="1">
                  <c:v>1.4876783988587342E-2</c:v>
                </c:pt>
                <c:pt idx="2">
                  <c:v>1.404047501983168E-2</c:v>
                </c:pt>
                <c:pt idx="3">
                  <c:v>1.3609454243626841E-2</c:v>
                </c:pt>
                <c:pt idx="4">
                  <c:v>1.0637340831587494E-2</c:v>
                </c:pt>
                <c:pt idx="5">
                  <c:v>1.7231315392930199E-2</c:v>
                </c:pt>
                <c:pt idx="6">
                  <c:v>8.4822369505632919E-3</c:v>
                </c:pt>
                <c:pt idx="7">
                  <c:v>8.4372049291687578E-3</c:v>
                </c:pt>
                <c:pt idx="8">
                  <c:v>8.2120448221960785E-3</c:v>
                </c:pt>
                <c:pt idx="9">
                  <c:v>7.6973931491156732E-3</c:v>
                </c:pt>
                <c:pt idx="10">
                  <c:v>7.6909600032021679E-3</c:v>
                </c:pt>
                <c:pt idx="11">
                  <c:v>7.1055437250732052E-3</c:v>
                </c:pt>
                <c:pt idx="12">
                  <c:v>4.2041949180824153E-3</c:v>
                </c:pt>
                <c:pt idx="13">
                  <c:v>1.7531663250369804E-3</c:v>
                </c:pt>
                <c:pt idx="14">
                  <c:v>7.3672927070317709E-4</c:v>
                </c:pt>
                <c:pt idx="15">
                  <c:v>7.1742983296266272E-4</c:v>
                </c:pt>
                <c:pt idx="16">
                  <c:v>-1.3733425889264871E-3</c:v>
                </c:pt>
                <c:pt idx="17">
                  <c:v>-2.4348116646548262E-3</c:v>
                </c:pt>
                <c:pt idx="18">
                  <c:v>-2.4541111023953406E-3</c:v>
                </c:pt>
                <c:pt idx="19">
                  <c:v>-5.4004919307806681E-3</c:v>
                </c:pt>
                <c:pt idx="20">
                  <c:v>-0.18304538318630992</c:v>
                </c:pt>
                <c:pt idx="21">
                  <c:v>-0.18338633991972569</c:v>
                </c:pt>
                <c:pt idx="22">
                  <c:v>-0.18599176401469525</c:v>
                </c:pt>
                <c:pt idx="23">
                  <c:v>-0.19611753568255225</c:v>
                </c:pt>
                <c:pt idx="24">
                  <c:v>-0.2005564063628707</c:v>
                </c:pt>
                <c:pt idx="25">
                  <c:v>-0.20348348775351555</c:v>
                </c:pt>
                <c:pt idx="26">
                  <c:v>-0.20650063318694944</c:v>
                </c:pt>
                <c:pt idx="27">
                  <c:v>-0.2103026224218309</c:v>
                </c:pt>
                <c:pt idx="28">
                  <c:v>-0.21227759821727699</c:v>
                </c:pt>
                <c:pt idx="29">
                  <c:v>-0.21979794579016443</c:v>
                </c:pt>
                <c:pt idx="30">
                  <c:v>-0.22253846594931759</c:v>
                </c:pt>
                <c:pt idx="31">
                  <c:v>-0.22272502718080922</c:v>
                </c:pt>
                <c:pt idx="32">
                  <c:v>-0.22296948672552241</c:v>
                </c:pt>
                <c:pt idx="33">
                  <c:v>-0.22312388222744656</c:v>
                </c:pt>
                <c:pt idx="34">
                  <c:v>-0.22568427430102156</c:v>
                </c:pt>
                <c:pt idx="35">
                  <c:v>-0.2266106473125663</c:v>
                </c:pt>
                <c:pt idx="36">
                  <c:v>-0.23232328088375881</c:v>
                </c:pt>
                <c:pt idx="37">
                  <c:v>-0.24252625030257785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F6-4BFC-9530-9B660C64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967792"/>
        <c:axId val="1"/>
      </c:scatterChart>
      <c:valAx>
        <c:axId val="70996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96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285750</xdr:colOff>
      <xdr:row>17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7A8A87E-40A3-39F4-886B-2D14E16DE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9526</xdr:rowOff>
    </xdr:from>
    <xdr:to>
      <xdr:col>27</xdr:col>
      <xdr:colOff>247650</xdr:colOff>
      <xdr:row>17</xdr:row>
      <xdr:rowOff>171451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8637250-3889-1127-7436-3E7F88EA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5974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6" t="s">
        <v>0</v>
      </c>
      <c r="C4" s="3">
        <v>28192.26</v>
      </c>
      <c r="D4" s="4">
        <v>1.4283285999999999</v>
      </c>
    </row>
    <row r="5" spans="1:6" ht="13.5" thickTop="1" x14ac:dyDescent="0.2">
      <c r="A5" s="18" t="s">
        <v>36</v>
      </c>
      <c r="B5" s="12"/>
      <c r="C5" s="19">
        <v>-9.5</v>
      </c>
      <c r="D5" s="12" t="s">
        <v>37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28192.26</v>
      </c>
    </row>
    <row r="8" spans="1:6" x14ac:dyDescent="0.2">
      <c r="A8" t="s">
        <v>3</v>
      </c>
      <c r="C8">
        <f>+D4</f>
        <v>1.4283285999999999</v>
      </c>
    </row>
    <row r="9" spans="1:6" x14ac:dyDescent="0.2">
      <c r="A9" s="35" t="s">
        <v>42</v>
      </c>
      <c r="B9" s="36">
        <v>21</v>
      </c>
      <c r="C9" s="33" t="str">
        <f>"F"&amp;B9</f>
        <v>F21</v>
      </c>
      <c r="D9" s="34" t="str">
        <f>"G"&amp;B9</f>
        <v>G21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32">
        <f ca="1">INTERCEPT(INDIRECT($D$9):G992,INDIRECT($C$9):F992)</f>
        <v>1.7231315392930199E-2</v>
      </c>
      <c r="D11" s="15"/>
      <c r="E11" s="12"/>
    </row>
    <row r="12" spans="1:6" x14ac:dyDescent="0.2">
      <c r="A12" s="12" t="s">
        <v>17</v>
      </c>
      <c r="B12" s="12"/>
      <c r="C12" s="32">
        <f ca="1">SLOPE(INDIRECT($D$9):G992,INDIRECT($C$9):F992)</f>
        <v>-1.2866291827010157E-5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20" t="s">
        <v>18</v>
      </c>
      <c r="B15" s="12"/>
      <c r="C15" s="21">
        <f ca="1">(C7+C11)+(C8+C12)*INT(MAX(F21:F3533))</f>
        <v>57028.543579149693</v>
      </c>
      <c r="E15" s="22" t="s">
        <v>46</v>
      </c>
      <c r="F15" s="19">
        <v>1</v>
      </c>
    </row>
    <row r="16" spans="1:6" x14ac:dyDescent="0.2">
      <c r="A16" s="24" t="s">
        <v>4</v>
      </c>
      <c r="B16" s="12"/>
      <c r="C16" s="25">
        <f ca="1">+C8+C12</f>
        <v>1.4283157337081729</v>
      </c>
      <c r="E16" s="22" t="s">
        <v>38</v>
      </c>
      <c r="F16" s="23">
        <f ca="1">NOW()+15018.5+$C$5/24</f>
        <v>60351.752728587962</v>
      </c>
    </row>
    <row r="17" spans="1:21" ht="13.5" thickBot="1" x14ac:dyDescent="0.25">
      <c r="A17" s="22" t="s">
        <v>33</v>
      </c>
      <c r="B17" s="12"/>
      <c r="C17" s="12">
        <f>COUNT(C21:C2191)</f>
        <v>38</v>
      </c>
      <c r="E17" s="22" t="s">
        <v>47</v>
      </c>
      <c r="F17" s="23">
        <f ca="1">ROUND(2*(F16-$C$7)/$C$8,0)/2+F15</f>
        <v>22516.5</v>
      </c>
    </row>
    <row r="18" spans="1:21" ht="14.25" thickTop="1" thickBot="1" x14ac:dyDescent="0.25">
      <c r="A18" s="24" t="s">
        <v>5</v>
      </c>
      <c r="B18" s="12"/>
      <c r="C18" s="27">
        <f ca="1">+C15</f>
        <v>57028.543579149693</v>
      </c>
      <c r="D18" s="28">
        <f ca="1">+C16</f>
        <v>1.4283157337081729</v>
      </c>
      <c r="E18" s="22" t="s">
        <v>39</v>
      </c>
      <c r="F18" s="34">
        <f ca="1">ROUND(2*(F16-$C$15)/$C$16,0)/2+F15</f>
        <v>2327.5</v>
      </c>
    </row>
    <row r="19" spans="1:21" ht="13.5" thickTop="1" x14ac:dyDescent="0.2">
      <c r="E19" s="22" t="s">
        <v>40</v>
      </c>
      <c r="F19" s="26">
        <f ca="1">+$C$15+$C$16*F18-15018.5-$C$5/24</f>
        <v>45334.844282688799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3" t="s">
        <v>203</v>
      </c>
    </row>
    <row r="21" spans="1:21" x14ac:dyDescent="0.2">
      <c r="A21" s="60" t="s">
        <v>68</v>
      </c>
      <c r="B21" s="62" t="s">
        <v>30</v>
      </c>
      <c r="C21" s="61">
        <v>28192.31</v>
      </c>
      <c r="D21" s="61" t="s">
        <v>62</v>
      </c>
      <c r="E21">
        <f t="shared" ref="E21:E58" si="0">+(C21-C$7)/C$8</f>
        <v>3.5005950313471555E-2</v>
      </c>
      <c r="F21">
        <f t="shared" ref="F21:F58" si="1">ROUND(2*E21,0)/2</f>
        <v>0</v>
      </c>
      <c r="G21">
        <f t="shared" ref="G21:G58" si="2">+C21-(C$7+F21*C$8)</f>
        <v>5.0000000002910383E-2</v>
      </c>
      <c r="H21">
        <f t="shared" ref="H21:H40" si="3">+G21</f>
        <v>5.0000000002910383E-2</v>
      </c>
      <c r="O21">
        <f t="shared" ref="O21:O58" ca="1" si="4">+C$11+C$12*$F21</f>
        <v>1.7231315392930199E-2</v>
      </c>
      <c r="Q21" s="2">
        <f t="shared" ref="Q21:Q58" si="5">+C21-15018.5</f>
        <v>13173.810000000001</v>
      </c>
    </row>
    <row r="22" spans="1:21" x14ac:dyDescent="0.2">
      <c r="A22" s="60" t="s">
        <v>68</v>
      </c>
      <c r="B22" s="62" t="s">
        <v>30</v>
      </c>
      <c r="C22" s="61">
        <v>28453.63</v>
      </c>
      <c r="D22" s="61" t="s">
        <v>62</v>
      </c>
      <c r="E22">
        <f t="shared" si="0"/>
        <v>182.99010465799159</v>
      </c>
      <c r="F22">
        <f t="shared" si="1"/>
        <v>183</v>
      </c>
      <c r="G22">
        <f t="shared" si="2"/>
        <v>-1.4133799995761365E-2</v>
      </c>
      <c r="H22">
        <f t="shared" si="3"/>
        <v>-1.4133799995761365E-2</v>
      </c>
      <c r="O22">
        <f t="shared" ca="1" si="4"/>
        <v>1.4876783988587342E-2</v>
      </c>
      <c r="Q22" s="2">
        <f t="shared" si="5"/>
        <v>13435.130000000001</v>
      </c>
    </row>
    <row r="23" spans="1:21" x14ac:dyDescent="0.2">
      <c r="A23" s="60" t="s">
        <v>68</v>
      </c>
      <c r="B23" s="62" t="s">
        <v>30</v>
      </c>
      <c r="C23" s="61">
        <v>28546.44</v>
      </c>
      <c r="D23" s="61" t="s">
        <v>62</v>
      </c>
      <c r="E23">
        <f t="shared" si="0"/>
        <v>247.96814962607365</v>
      </c>
      <c r="F23">
        <f t="shared" si="1"/>
        <v>248</v>
      </c>
      <c r="G23">
        <f t="shared" si="2"/>
        <v>-4.5492799999919953E-2</v>
      </c>
      <c r="H23">
        <f t="shared" si="3"/>
        <v>-4.5492799999919953E-2</v>
      </c>
      <c r="O23">
        <f t="shared" ca="1" si="4"/>
        <v>1.404047501983168E-2</v>
      </c>
      <c r="Q23" s="2">
        <f t="shared" si="5"/>
        <v>13527.939999999999</v>
      </c>
    </row>
    <row r="24" spans="1:21" x14ac:dyDescent="0.2">
      <c r="A24" s="60" t="s">
        <v>68</v>
      </c>
      <c r="B24" s="62" t="s">
        <v>32</v>
      </c>
      <c r="C24" s="61">
        <v>28594.33</v>
      </c>
      <c r="D24" s="61" t="s">
        <v>62</v>
      </c>
      <c r="E24">
        <f t="shared" si="0"/>
        <v>281.4968488343672</v>
      </c>
      <c r="F24">
        <f t="shared" si="1"/>
        <v>281.5</v>
      </c>
      <c r="G24">
        <f t="shared" si="2"/>
        <v>-4.5008999950368889E-3</v>
      </c>
      <c r="H24">
        <f t="shared" si="3"/>
        <v>-4.5008999950368889E-3</v>
      </c>
      <c r="O24">
        <f t="shared" ca="1" si="4"/>
        <v>1.3609454243626841E-2</v>
      </c>
      <c r="Q24" s="2">
        <f t="shared" si="5"/>
        <v>13575.830000000002</v>
      </c>
    </row>
    <row r="25" spans="1:21" x14ac:dyDescent="0.2">
      <c r="A25" s="60" t="s">
        <v>68</v>
      </c>
      <c r="B25" s="62" t="s">
        <v>32</v>
      </c>
      <c r="C25" s="61">
        <v>28924.26</v>
      </c>
      <c r="D25" s="61" t="s">
        <v>62</v>
      </c>
      <c r="E25">
        <f t="shared" si="0"/>
        <v>512.48711255939281</v>
      </c>
      <c r="F25">
        <f t="shared" si="1"/>
        <v>512.5</v>
      </c>
      <c r="G25">
        <f t="shared" si="2"/>
        <v>-1.840749999973923E-2</v>
      </c>
      <c r="H25">
        <f t="shared" si="3"/>
        <v>-1.840749999973923E-2</v>
      </c>
      <c r="O25">
        <f t="shared" ca="1" si="4"/>
        <v>1.0637340831587494E-2</v>
      </c>
      <c r="Q25" s="2">
        <f t="shared" si="5"/>
        <v>13905.759999999998</v>
      </c>
    </row>
    <row r="26" spans="1:21" x14ac:dyDescent="0.2">
      <c r="A26" t="s">
        <v>12</v>
      </c>
      <c r="C26" s="14">
        <v>28192.26</v>
      </c>
      <c r="D26" s="14" t="s">
        <v>14</v>
      </c>
      <c r="E26">
        <f t="shared" si="0"/>
        <v>0</v>
      </c>
      <c r="F26">
        <f t="shared" si="1"/>
        <v>0</v>
      </c>
      <c r="G26">
        <f t="shared" si="2"/>
        <v>0</v>
      </c>
      <c r="H26">
        <f t="shared" si="3"/>
        <v>0</v>
      </c>
      <c r="O26">
        <f t="shared" ca="1" si="4"/>
        <v>1.7231315392930199E-2</v>
      </c>
      <c r="Q26" s="2">
        <f t="shared" si="5"/>
        <v>13173.759999999998</v>
      </c>
    </row>
    <row r="27" spans="1:21" x14ac:dyDescent="0.2">
      <c r="A27" s="60" t="s">
        <v>68</v>
      </c>
      <c r="B27" s="62" t="s">
        <v>30</v>
      </c>
      <c r="C27" s="61">
        <v>29163.59</v>
      </c>
      <c r="D27" s="61" t="s">
        <v>62</v>
      </c>
      <c r="E27">
        <f t="shared" si="0"/>
        <v>680.04659432010374</v>
      </c>
      <c r="F27">
        <f t="shared" si="1"/>
        <v>680</v>
      </c>
      <c r="G27">
        <f t="shared" si="2"/>
        <v>6.6552000000228873E-2</v>
      </c>
      <c r="H27">
        <f t="shared" si="3"/>
        <v>6.6552000000228873E-2</v>
      </c>
      <c r="O27">
        <f t="shared" ca="1" si="4"/>
        <v>8.4822369505632919E-3</v>
      </c>
      <c r="Q27" s="2">
        <f t="shared" si="5"/>
        <v>14145.09</v>
      </c>
    </row>
    <row r="28" spans="1:21" x14ac:dyDescent="0.2">
      <c r="A28" s="60" t="s">
        <v>68</v>
      </c>
      <c r="B28" s="62" t="s">
        <v>32</v>
      </c>
      <c r="C28" s="61">
        <v>29168.58</v>
      </c>
      <c r="D28" s="61" t="s">
        <v>62</v>
      </c>
      <c r="E28">
        <f t="shared" si="0"/>
        <v>683.54018816118605</v>
      </c>
      <c r="F28">
        <f t="shared" si="1"/>
        <v>683.5</v>
      </c>
      <c r="G28">
        <f t="shared" si="2"/>
        <v>5.7401900005061179E-2</v>
      </c>
      <c r="H28">
        <f t="shared" si="3"/>
        <v>5.7401900005061179E-2</v>
      </c>
      <c r="O28">
        <f t="shared" ca="1" si="4"/>
        <v>8.4372049291687578E-3</v>
      </c>
      <c r="Q28" s="2">
        <f t="shared" si="5"/>
        <v>14150.080000000002</v>
      </c>
    </row>
    <row r="29" spans="1:21" x14ac:dyDescent="0.2">
      <c r="A29" s="60" t="s">
        <v>68</v>
      </c>
      <c r="B29" s="62" t="s">
        <v>30</v>
      </c>
      <c r="C29" s="61">
        <v>29193.53</v>
      </c>
      <c r="D29" s="61" t="s">
        <v>62</v>
      </c>
      <c r="E29">
        <f t="shared" si="0"/>
        <v>701.00815736658956</v>
      </c>
      <c r="F29">
        <f t="shared" si="1"/>
        <v>701</v>
      </c>
      <c r="G29">
        <f t="shared" si="2"/>
        <v>1.1651400000118883E-2</v>
      </c>
      <c r="H29">
        <f t="shared" si="3"/>
        <v>1.1651400000118883E-2</v>
      </c>
      <c r="O29">
        <f t="shared" ca="1" si="4"/>
        <v>8.2120448221960785E-3</v>
      </c>
      <c r="Q29" s="2">
        <f t="shared" si="5"/>
        <v>14175.029999999999</v>
      </c>
    </row>
    <row r="30" spans="1:21" x14ac:dyDescent="0.2">
      <c r="A30" s="60" t="s">
        <v>68</v>
      </c>
      <c r="B30" s="62" t="s">
        <v>30</v>
      </c>
      <c r="C30" s="61">
        <v>29250.61</v>
      </c>
      <c r="D30" s="61" t="s">
        <v>62</v>
      </c>
      <c r="E30">
        <f t="shared" si="0"/>
        <v>740.97095024212376</v>
      </c>
      <c r="F30">
        <f t="shared" si="1"/>
        <v>741</v>
      </c>
      <c r="G30">
        <f t="shared" si="2"/>
        <v>-4.1492599997582147E-2</v>
      </c>
      <c r="H30">
        <f t="shared" si="3"/>
        <v>-4.1492599997582147E-2</v>
      </c>
      <c r="O30">
        <f t="shared" ca="1" si="4"/>
        <v>7.6973931491156732E-3</v>
      </c>
      <c r="Q30" s="2">
        <f t="shared" si="5"/>
        <v>14232.11</v>
      </c>
    </row>
    <row r="31" spans="1:21" x14ac:dyDescent="0.2">
      <c r="A31" s="60" t="s">
        <v>68</v>
      </c>
      <c r="B31" s="62" t="s">
        <v>32</v>
      </c>
      <c r="C31" s="61">
        <v>29251.35</v>
      </c>
      <c r="D31" s="61" t="s">
        <v>62</v>
      </c>
      <c r="E31">
        <f t="shared" si="0"/>
        <v>741.48903830673146</v>
      </c>
      <c r="F31">
        <f t="shared" si="1"/>
        <v>741.5</v>
      </c>
      <c r="G31">
        <f t="shared" si="2"/>
        <v>-1.5656899999157758E-2</v>
      </c>
      <c r="H31">
        <f t="shared" si="3"/>
        <v>-1.5656899999157758E-2</v>
      </c>
      <c r="O31">
        <f t="shared" ca="1" si="4"/>
        <v>7.6909600032021679E-3</v>
      </c>
      <c r="Q31" s="2">
        <f t="shared" si="5"/>
        <v>14232.849999999999</v>
      </c>
    </row>
    <row r="32" spans="1:21" x14ac:dyDescent="0.2">
      <c r="A32" s="60" t="s">
        <v>68</v>
      </c>
      <c r="B32" s="62" t="s">
        <v>30</v>
      </c>
      <c r="C32" s="61">
        <v>29316.38</v>
      </c>
      <c r="D32" s="61" t="s">
        <v>62</v>
      </c>
      <c r="E32">
        <f t="shared" si="0"/>
        <v>787.01777728178422</v>
      </c>
      <c r="F32">
        <f t="shared" si="1"/>
        <v>787</v>
      </c>
      <c r="G32">
        <f t="shared" si="2"/>
        <v>2.5391800001671072E-2</v>
      </c>
      <c r="H32">
        <f t="shared" si="3"/>
        <v>2.5391800001671072E-2</v>
      </c>
      <c r="O32">
        <f t="shared" ca="1" si="4"/>
        <v>7.1055437250732052E-3</v>
      </c>
      <c r="Q32" s="2">
        <f t="shared" si="5"/>
        <v>14297.880000000001</v>
      </c>
    </row>
    <row r="33" spans="1:17" x14ac:dyDescent="0.2">
      <c r="A33" s="60" t="s">
        <v>68</v>
      </c>
      <c r="B33" s="62" t="s">
        <v>32</v>
      </c>
      <c r="C33" s="61">
        <v>29638.45</v>
      </c>
      <c r="D33" s="61" t="s">
        <v>62</v>
      </c>
      <c r="E33">
        <f t="shared" si="0"/>
        <v>1012.5051056178546</v>
      </c>
      <c r="F33">
        <f t="shared" si="1"/>
        <v>1012.5</v>
      </c>
      <c r="G33">
        <f t="shared" si="2"/>
        <v>7.2925000022223685E-3</v>
      </c>
      <c r="H33">
        <f t="shared" si="3"/>
        <v>7.2925000022223685E-3</v>
      </c>
      <c r="O33">
        <f t="shared" ca="1" si="4"/>
        <v>4.2041949180824153E-3</v>
      </c>
      <c r="Q33" s="2">
        <f t="shared" si="5"/>
        <v>14619.95</v>
      </c>
    </row>
    <row r="34" spans="1:17" x14ac:dyDescent="0.2">
      <c r="A34" s="60" t="s">
        <v>68</v>
      </c>
      <c r="B34" s="62" t="s">
        <v>30</v>
      </c>
      <c r="C34" s="61">
        <v>29910.61</v>
      </c>
      <c r="D34" s="61" t="s">
        <v>62</v>
      </c>
      <c r="E34">
        <f t="shared" si="0"/>
        <v>1203.0494943530516</v>
      </c>
      <c r="F34">
        <f t="shared" si="1"/>
        <v>1203</v>
      </c>
      <c r="G34">
        <f t="shared" si="2"/>
        <v>7.0694200003345031E-2</v>
      </c>
      <c r="H34">
        <f t="shared" si="3"/>
        <v>7.0694200003345031E-2</v>
      </c>
      <c r="O34">
        <f t="shared" ca="1" si="4"/>
        <v>1.7531663250369804E-3</v>
      </c>
      <c r="Q34" s="2">
        <f t="shared" si="5"/>
        <v>14892.11</v>
      </c>
    </row>
    <row r="35" spans="1:17" x14ac:dyDescent="0.2">
      <c r="A35" s="60" t="s">
        <v>68</v>
      </c>
      <c r="B35" s="62" t="s">
        <v>30</v>
      </c>
      <c r="C35" s="61">
        <v>30023.4</v>
      </c>
      <c r="D35" s="61" t="s">
        <v>62</v>
      </c>
      <c r="E35">
        <f t="shared" si="0"/>
        <v>1282.015917065585</v>
      </c>
      <c r="F35">
        <f t="shared" si="1"/>
        <v>1282</v>
      </c>
      <c r="G35">
        <f t="shared" si="2"/>
        <v>2.2734800004400313E-2</v>
      </c>
      <c r="H35">
        <f t="shared" si="3"/>
        <v>2.2734800004400313E-2</v>
      </c>
      <c r="O35">
        <f t="shared" ca="1" si="4"/>
        <v>7.3672927070317709E-4</v>
      </c>
      <c r="Q35" s="2">
        <f t="shared" si="5"/>
        <v>15004.900000000001</v>
      </c>
    </row>
    <row r="36" spans="1:17" x14ac:dyDescent="0.2">
      <c r="A36" s="60" t="s">
        <v>68</v>
      </c>
      <c r="B36" s="62" t="s">
        <v>32</v>
      </c>
      <c r="C36" s="61">
        <v>30025.55</v>
      </c>
      <c r="D36" s="61" t="s">
        <v>62</v>
      </c>
      <c r="E36">
        <f t="shared" si="0"/>
        <v>1283.5211729289751</v>
      </c>
      <c r="F36">
        <f t="shared" si="1"/>
        <v>1283.5</v>
      </c>
      <c r="G36">
        <f t="shared" si="2"/>
        <v>3.0241899999964517E-2</v>
      </c>
      <c r="H36">
        <f t="shared" si="3"/>
        <v>3.0241899999964517E-2</v>
      </c>
      <c r="O36">
        <f t="shared" ca="1" si="4"/>
        <v>7.1742983296266272E-4</v>
      </c>
      <c r="Q36" s="2">
        <f t="shared" si="5"/>
        <v>15007.05</v>
      </c>
    </row>
    <row r="37" spans="1:17" x14ac:dyDescent="0.2">
      <c r="A37" s="60" t="s">
        <v>68</v>
      </c>
      <c r="B37" s="62" t="s">
        <v>30</v>
      </c>
      <c r="C37" s="61">
        <v>30257.61</v>
      </c>
      <c r="D37" s="61" t="s">
        <v>62</v>
      </c>
      <c r="E37">
        <f t="shared" si="0"/>
        <v>1445.9907895144033</v>
      </c>
      <c r="F37">
        <f t="shared" si="1"/>
        <v>1446</v>
      </c>
      <c r="G37">
        <f t="shared" si="2"/>
        <v>-1.3155599997844547E-2</v>
      </c>
      <c r="H37">
        <f t="shared" si="3"/>
        <v>-1.3155599997844547E-2</v>
      </c>
      <c r="O37">
        <f t="shared" ca="1" si="4"/>
        <v>-1.3733425889264871E-3</v>
      </c>
      <c r="Q37" s="2">
        <f t="shared" si="5"/>
        <v>15239.11</v>
      </c>
    </row>
    <row r="38" spans="1:17" x14ac:dyDescent="0.2">
      <c r="A38" s="60" t="s">
        <v>68</v>
      </c>
      <c r="B38" s="62" t="s">
        <v>32</v>
      </c>
      <c r="C38" s="61">
        <v>30375.42</v>
      </c>
      <c r="D38" s="61" t="s">
        <v>62</v>
      </c>
      <c r="E38">
        <f t="shared" si="0"/>
        <v>1528.4718096382023</v>
      </c>
      <c r="F38">
        <f t="shared" si="1"/>
        <v>1528.5</v>
      </c>
      <c r="G38">
        <f t="shared" si="2"/>
        <v>-4.0265100000397069E-2</v>
      </c>
      <c r="H38">
        <f t="shared" si="3"/>
        <v>-4.0265100000397069E-2</v>
      </c>
      <c r="O38">
        <f t="shared" ca="1" si="4"/>
        <v>-2.4348116646548262E-3</v>
      </c>
      <c r="Q38" s="2">
        <f t="shared" si="5"/>
        <v>15356.919999999998</v>
      </c>
    </row>
    <row r="39" spans="1:17" x14ac:dyDescent="0.2">
      <c r="A39" s="60" t="s">
        <v>68</v>
      </c>
      <c r="B39" s="62" t="s">
        <v>30</v>
      </c>
      <c r="C39" s="61">
        <v>30377.599999999999</v>
      </c>
      <c r="D39" s="61" t="s">
        <v>62</v>
      </c>
      <c r="E39">
        <f t="shared" si="0"/>
        <v>1529.9980690717809</v>
      </c>
      <c r="F39">
        <f t="shared" si="1"/>
        <v>1530</v>
      </c>
      <c r="G39">
        <f t="shared" si="2"/>
        <v>-2.7579999987210613E-3</v>
      </c>
      <c r="H39">
        <f t="shared" si="3"/>
        <v>-2.7579999987210613E-3</v>
      </c>
      <c r="O39">
        <f t="shared" ca="1" si="4"/>
        <v>-2.4541111023953406E-3</v>
      </c>
      <c r="Q39" s="2">
        <f t="shared" si="5"/>
        <v>15359.099999999999</v>
      </c>
    </row>
    <row r="40" spans="1:17" x14ac:dyDescent="0.2">
      <c r="A40" s="60" t="s">
        <v>68</v>
      </c>
      <c r="B40" s="62" t="s">
        <v>30</v>
      </c>
      <c r="C40" s="61">
        <v>30704.68</v>
      </c>
      <c r="D40" s="61" t="s">
        <v>62</v>
      </c>
      <c r="E40">
        <f t="shared" si="0"/>
        <v>1758.9929936290584</v>
      </c>
      <c r="F40">
        <f t="shared" si="1"/>
        <v>1759</v>
      </c>
      <c r="G40">
        <f t="shared" si="2"/>
        <v>-1.0007399996538879E-2</v>
      </c>
      <c r="H40">
        <f t="shared" si="3"/>
        <v>-1.0007399996538879E-2</v>
      </c>
      <c r="O40">
        <f t="shared" ca="1" si="4"/>
        <v>-5.4004919307806681E-3</v>
      </c>
      <c r="Q40" s="2">
        <f t="shared" si="5"/>
        <v>15686.18</v>
      </c>
    </row>
    <row r="41" spans="1:17" x14ac:dyDescent="0.2">
      <c r="A41" s="12" t="s">
        <v>35</v>
      </c>
      <c r="B41" s="13"/>
      <c r="C41" s="14">
        <v>50425.440399999999</v>
      </c>
      <c r="D41" s="14">
        <v>1.2999999999999999E-3</v>
      </c>
      <c r="E41">
        <f t="shared" si="0"/>
        <v>15565.87216695094</v>
      </c>
      <c r="F41">
        <f t="shared" si="1"/>
        <v>15566</v>
      </c>
      <c r="G41">
        <f t="shared" si="2"/>
        <v>-0.18258760000026086</v>
      </c>
      <c r="J41">
        <f>+G41</f>
        <v>-0.18258760000026086</v>
      </c>
      <c r="O41">
        <f t="shared" ca="1" si="4"/>
        <v>-0.18304538318630992</v>
      </c>
      <c r="Q41" s="2">
        <f t="shared" si="5"/>
        <v>35406.940399999999</v>
      </c>
    </row>
    <row r="42" spans="1:17" x14ac:dyDescent="0.2">
      <c r="A42" s="12" t="s">
        <v>35</v>
      </c>
      <c r="B42" s="15" t="s">
        <v>32</v>
      </c>
      <c r="C42" s="14">
        <v>50463.287199999999</v>
      </c>
      <c r="D42" s="14">
        <v>1.2999999999999999E-3</v>
      </c>
      <c r="E42">
        <f t="shared" si="0"/>
        <v>15592.369430955874</v>
      </c>
      <c r="F42">
        <f t="shared" si="1"/>
        <v>15592.5</v>
      </c>
      <c r="G42">
        <f t="shared" si="2"/>
        <v>-0.18649549999827286</v>
      </c>
      <c r="J42">
        <f>+G42</f>
        <v>-0.18649549999827286</v>
      </c>
      <c r="O42">
        <f t="shared" ca="1" si="4"/>
        <v>-0.18338633991972569</v>
      </c>
      <c r="Q42" s="2">
        <f t="shared" si="5"/>
        <v>35444.787199999999</v>
      </c>
    </row>
    <row r="43" spans="1:17" x14ac:dyDescent="0.2">
      <c r="A43" s="12" t="s">
        <v>35</v>
      </c>
      <c r="B43" s="13"/>
      <c r="C43" s="14">
        <v>50752.522299999997</v>
      </c>
      <c r="D43" s="14">
        <v>1.2999999999999999E-3</v>
      </c>
      <c r="E43">
        <f t="shared" si="0"/>
        <v>15794.868421734325</v>
      </c>
      <c r="F43">
        <f t="shared" si="1"/>
        <v>15795</v>
      </c>
      <c r="G43">
        <f t="shared" si="2"/>
        <v>-0.18793700000242097</v>
      </c>
      <c r="J43">
        <f>+G43</f>
        <v>-0.18793700000242097</v>
      </c>
      <c r="O43">
        <f t="shared" ca="1" si="4"/>
        <v>-0.18599176401469525</v>
      </c>
      <c r="Q43" s="2">
        <f t="shared" si="5"/>
        <v>35734.022299999997</v>
      </c>
    </row>
    <row r="44" spans="1:17" x14ac:dyDescent="0.2">
      <c r="A44" s="9" t="s">
        <v>29</v>
      </c>
      <c r="B44" s="10" t="s">
        <v>30</v>
      </c>
      <c r="C44" s="16">
        <v>51876.601000000002</v>
      </c>
      <c r="D44" s="16">
        <v>9.1000000000000004E-3</v>
      </c>
      <c r="E44">
        <f t="shared" si="0"/>
        <v>16581.857284101156</v>
      </c>
      <c r="F44">
        <f t="shared" si="1"/>
        <v>16582</v>
      </c>
      <c r="G44">
        <f t="shared" si="2"/>
        <v>-0.20384519999061013</v>
      </c>
      <c r="K44">
        <f>+G44</f>
        <v>-0.20384519999061013</v>
      </c>
      <c r="O44">
        <f t="shared" ca="1" si="4"/>
        <v>-0.19611753568255225</v>
      </c>
      <c r="Q44" s="2">
        <f t="shared" si="5"/>
        <v>36858.101000000002</v>
      </c>
    </row>
    <row r="45" spans="1:17" x14ac:dyDescent="0.2">
      <c r="A45" s="11" t="s">
        <v>31</v>
      </c>
      <c r="B45" s="10" t="s">
        <v>30</v>
      </c>
      <c r="C45" s="16">
        <v>52369.375800000002</v>
      </c>
      <c r="D45" s="17">
        <v>1.8E-3</v>
      </c>
      <c r="E45">
        <f t="shared" si="0"/>
        <v>16926.858287371691</v>
      </c>
      <c r="F45">
        <f t="shared" si="1"/>
        <v>16927</v>
      </c>
      <c r="G45">
        <f t="shared" si="2"/>
        <v>-0.20241219999297755</v>
      </c>
      <c r="K45">
        <f>+G45</f>
        <v>-0.20241219999297755</v>
      </c>
      <c r="O45">
        <f t="shared" ca="1" si="4"/>
        <v>-0.2005564063628707</v>
      </c>
      <c r="Q45" s="2">
        <f t="shared" si="5"/>
        <v>37350.875800000002</v>
      </c>
    </row>
    <row r="46" spans="1:17" x14ac:dyDescent="0.2">
      <c r="A46" s="11" t="s">
        <v>31</v>
      </c>
      <c r="B46" s="10" t="s">
        <v>32</v>
      </c>
      <c r="C46" s="16">
        <v>52694.320800000001</v>
      </c>
      <c r="D46" s="16">
        <v>4.3E-3</v>
      </c>
      <c r="E46">
        <f t="shared" si="0"/>
        <v>17154.358457850667</v>
      </c>
      <c r="F46">
        <f t="shared" si="1"/>
        <v>17154.5</v>
      </c>
      <c r="G46">
        <f t="shared" si="2"/>
        <v>-0.2021686999942176</v>
      </c>
      <c r="K46">
        <f>+G46</f>
        <v>-0.2021686999942176</v>
      </c>
      <c r="O46">
        <f t="shared" ca="1" si="4"/>
        <v>-0.20348348775351555</v>
      </c>
      <c r="Q46" s="2">
        <f t="shared" si="5"/>
        <v>37675.820800000001</v>
      </c>
    </row>
    <row r="47" spans="1:17" x14ac:dyDescent="0.2">
      <c r="A47" s="11" t="s">
        <v>31</v>
      </c>
      <c r="B47" s="10" t="s">
        <v>30</v>
      </c>
      <c r="C47" s="16">
        <v>53029.2601</v>
      </c>
      <c r="D47" s="17">
        <v>2.8999999999999998E-3</v>
      </c>
      <c r="E47">
        <f t="shared" si="0"/>
        <v>17388.855827713596</v>
      </c>
      <c r="F47">
        <f t="shared" si="1"/>
        <v>17389</v>
      </c>
      <c r="G47">
        <f t="shared" si="2"/>
        <v>-0.20592539999779547</v>
      </c>
      <c r="K47">
        <f>+G47</f>
        <v>-0.20592539999779547</v>
      </c>
      <c r="O47">
        <f t="shared" ca="1" si="4"/>
        <v>-0.20650063318694944</v>
      </c>
      <c r="Q47" s="2">
        <f t="shared" si="5"/>
        <v>38010.7601</v>
      </c>
    </row>
    <row r="48" spans="1:17" x14ac:dyDescent="0.2">
      <c r="A48" s="29" t="s">
        <v>41</v>
      </c>
      <c r="B48" s="30" t="s">
        <v>32</v>
      </c>
      <c r="C48" s="31">
        <v>53451.326800000003</v>
      </c>
      <c r="D48" s="31">
        <v>2.9999999999999997E-4</v>
      </c>
      <c r="E48">
        <f t="shared" si="0"/>
        <v>17684.352746279816</v>
      </c>
      <c r="F48">
        <f t="shared" si="1"/>
        <v>17684.5</v>
      </c>
      <c r="G48">
        <f t="shared" si="2"/>
        <v>-0.21032669999840437</v>
      </c>
      <c r="K48">
        <f>+G48</f>
        <v>-0.21032669999840437</v>
      </c>
      <c r="O48">
        <f t="shared" ca="1" si="4"/>
        <v>-0.2103026224218309</v>
      </c>
      <c r="Q48" s="2">
        <f t="shared" si="5"/>
        <v>38432.826800000003</v>
      </c>
    </row>
    <row r="49" spans="1:19" x14ac:dyDescent="0.2">
      <c r="A49" s="37" t="s">
        <v>35</v>
      </c>
      <c r="B49" s="38"/>
      <c r="C49" s="39">
        <v>53670.573499999999</v>
      </c>
      <c r="D49" s="39">
        <v>8.0000000000000004E-4</v>
      </c>
      <c r="E49">
        <f t="shared" si="0"/>
        <v>17837.851528002731</v>
      </c>
      <c r="F49">
        <f t="shared" si="1"/>
        <v>17838</v>
      </c>
      <c r="G49">
        <f t="shared" si="2"/>
        <v>-0.21206679999886546</v>
      </c>
      <c r="J49">
        <f>+G49</f>
        <v>-0.21206679999886546</v>
      </c>
      <c r="O49">
        <f t="shared" ca="1" si="4"/>
        <v>-0.21227759821727699</v>
      </c>
      <c r="Q49" s="2">
        <f t="shared" si="5"/>
        <v>38652.073499999999</v>
      </c>
    </row>
    <row r="50" spans="1:19" x14ac:dyDescent="0.2">
      <c r="A50" s="39" t="s">
        <v>43</v>
      </c>
      <c r="B50" s="40" t="s">
        <v>32</v>
      </c>
      <c r="C50" s="39">
        <v>54505.424099999997</v>
      </c>
      <c r="D50" s="39">
        <v>4.0000000000000002E-4</v>
      </c>
      <c r="E50">
        <f t="shared" si="0"/>
        <v>18422.346300424146</v>
      </c>
      <c r="F50">
        <f t="shared" si="1"/>
        <v>18422.5</v>
      </c>
      <c r="G50">
        <f t="shared" si="2"/>
        <v>-0.21953349999967031</v>
      </c>
      <c r="J50">
        <f>+G50</f>
        <v>-0.21953349999967031</v>
      </c>
      <c r="O50">
        <f t="shared" ca="1" si="4"/>
        <v>-0.21979794579016443</v>
      </c>
      <c r="Q50" s="2">
        <f t="shared" si="5"/>
        <v>39486.924099999997</v>
      </c>
    </row>
    <row r="51" spans="1:19" x14ac:dyDescent="0.2">
      <c r="A51" s="60" t="s">
        <v>165</v>
      </c>
      <c r="B51" s="62" t="s">
        <v>32</v>
      </c>
      <c r="C51" s="61">
        <v>54809.654300000002</v>
      </c>
      <c r="D51" s="61" t="s">
        <v>62</v>
      </c>
      <c r="E51">
        <f t="shared" si="0"/>
        <v>18635.343645712903</v>
      </c>
      <c r="F51">
        <f t="shared" si="1"/>
        <v>18635.5</v>
      </c>
      <c r="G51">
        <f t="shared" si="2"/>
        <v>-0.2233252999940305</v>
      </c>
      <c r="I51">
        <f>+G51</f>
        <v>-0.2233252999940305</v>
      </c>
      <c r="O51">
        <f t="shared" ca="1" si="4"/>
        <v>-0.22253846594931759</v>
      </c>
      <c r="Q51" s="2">
        <f t="shared" si="5"/>
        <v>39791.154300000002</v>
      </c>
    </row>
    <row r="52" spans="1:19" x14ac:dyDescent="0.2">
      <c r="A52" s="41" t="s">
        <v>49</v>
      </c>
      <c r="B52" s="42" t="s">
        <v>30</v>
      </c>
      <c r="C52" s="41">
        <v>54830.366699999999</v>
      </c>
      <c r="D52" s="41">
        <v>6.9999999999999999E-4</v>
      </c>
      <c r="E52">
        <f t="shared" si="0"/>
        <v>18649.84479061751</v>
      </c>
      <c r="F52">
        <f t="shared" si="1"/>
        <v>18650</v>
      </c>
      <c r="G52">
        <f t="shared" si="2"/>
        <v>-0.22168999999848893</v>
      </c>
      <c r="J52">
        <f>+G52</f>
        <v>-0.22168999999848893</v>
      </c>
      <c r="O52">
        <f t="shared" ca="1" si="4"/>
        <v>-0.22272502718080922</v>
      </c>
      <c r="Q52" s="2">
        <f t="shared" si="5"/>
        <v>39811.866699999999</v>
      </c>
    </row>
    <row r="53" spans="1:19" x14ac:dyDescent="0.2">
      <c r="A53" s="60" t="s">
        <v>165</v>
      </c>
      <c r="B53" s="62" t="s">
        <v>30</v>
      </c>
      <c r="C53" s="61">
        <v>54857.5046</v>
      </c>
      <c r="D53" s="61" t="s">
        <v>62</v>
      </c>
      <c r="E53">
        <f t="shared" si="0"/>
        <v>18668.844550196645</v>
      </c>
      <c r="F53">
        <f t="shared" si="1"/>
        <v>18669</v>
      </c>
      <c r="G53">
        <f t="shared" si="2"/>
        <v>-0.22203340000123717</v>
      </c>
      <c r="I53">
        <f>+G53</f>
        <v>-0.22203340000123717</v>
      </c>
      <c r="O53">
        <f t="shared" ca="1" si="4"/>
        <v>-0.22296948672552241</v>
      </c>
      <c r="Q53" s="2">
        <f t="shared" si="5"/>
        <v>39839.0046</v>
      </c>
    </row>
    <row r="54" spans="1:19" x14ac:dyDescent="0.2">
      <c r="A54" s="39" t="s">
        <v>44</v>
      </c>
      <c r="B54" s="40" t="s">
        <v>30</v>
      </c>
      <c r="C54" s="39">
        <v>54874.645799999998</v>
      </c>
      <c r="D54" s="39">
        <v>2.9999999999999997E-4</v>
      </c>
      <c r="E54">
        <f t="shared" si="0"/>
        <v>18680.845430106208</v>
      </c>
      <c r="F54">
        <f t="shared" si="1"/>
        <v>18681</v>
      </c>
      <c r="G54">
        <f t="shared" si="2"/>
        <v>-0.22077659999922616</v>
      </c>
      <c r="K54">
        <f>+G54</f>
        <v>-0.22077659999922616</v>
      </c>
      <c r="O54">
        <f t="shared" ca="1" si="4"/>
        <v>-0.22312388222744656</v>
      </c>
      <c r="Q54" s="2">
        <f t="shared" si="5"/>
        <v>39856.145799999998</v>
      </c>
    </row>
    <row r="55" spans="1:19" x14ac:dyDescent="0.2">
      <c r="A55" s="41" t="s">
        <v>45</v>
      </c>
      <c r="B55" s="42" t="s">
        <v>30</v>
      </c>
      <c r="C55" s="41">
        <v>55158.879500000003</v>
      </c>
      <c r="D55" s="41">
        <v>2.0000000000000001E-4</v>
      </c>
      <c r="E55">
        <f t="shared" si="0"/>
        <v>18879.842845686915</v>
      </c>
      <c r="F55">
        <f t="shared" si="1"/>
        <v>18880</v>
      </c>
      <c r="G55">
        <f t="shared" si="2"/>
        <v>-0.22446799999306677</v>
      </c>
      <c r="K55">
        <f>+G55</f>
        <v>-0.22446799999306677</v>
      </c>
      <c r="O55">
        <f t="shared" ca="1" si="4"/>
        <v>-0.22568427430102156</v>
      </c>
      <c r="Q55" s="2">
        <f t="shared" si="5"/>
        <v>40140.379500000003</v>
      </c>
    </row>
    <row r="56" spans="1:19" x14ac:dyDescent="0.2">
      <c r="A56" s="38" t="s">
        <v>48</v>
      </c>
      <c r="B56" s="43" t="s">
        <v>30</v>
      </c>
      <c r="C56" s="44">
        <v>55261.7186</v>
      </c>
      <c r="D56" s="44">
        <v>1E-4</v>
      </c>
      <c r="E56">
        <f t="shared" si="0"/>
        <v>18951.842454180365</v>
      </c>
      <c r="F56">
        <f t="shared" si="1"/>
        <v>18952</v>
      </c>
      <c r="G56">
        <f t="shared" si="2"/>
        <v>-0.22502720000193221</v>
      </c>
      <c r="K56">
        <f>+G56</f>
        <v>-0.22502720000193221</v>
      </c>
      <c r="O56">
        <f t="shared" ca="1" si="4"/>
        <v>-0.2266106473125663</v>
      </c>
      <c r="Q56" s="2">
        <f t="shared" si="5"/>
        <v>40243.2186</v>
      </c>
    </row>
    <row r="57" spans="1:19" x14ac:dyDescent="0.2">
      <c r="A57" s="41" t="s">
        <v>50</v>
      </c>
      <c r="B57" s="42" t="s">
        <v>30</v>
      </c>
      <c r="C57" s="41">
        <v>55895.890700000004</v>
      </c>
      <c r="D57" s="41">
        <v>2.9999999999999997E-4</v>
      </c>
      <c r="E57">
        <f t="shared" si="0"/>
        <v>19395.83839461032</v>
      </c>
      <c r="F57">
        <f t="shared" si="1"/>
        <v>19396</v>
      </c>
      <c r="G57">
        <f t="shared" si="2"/>
        <v>-0.23082559999602381</v>
      </c>
      <c r="K57">
        <f>+G57</f>
        <v>-0.23082559999602381</v>
      </c>
      <c r="O57">
        <f t="shared" ca="1" si="4"/>
        <v>-0.23232328088375881</v>
      </c>
      <c r="Q57" s="2">
        <f t="shared" si="5"/>
        <v>40877.390700000004</v>
      </c>
    </row>
    <row r="58" spans="1:19" x14ac:dyDescent="0.2">
      <c r="A58" s="45" t="s">
        <v>51</v>
      </c>
      <c r="B58" s="46"/>
      <c r="C58" s="45">
        <v>57028.542500000003</v>
      </c>
      <c r="D58" s="45">
        <v>2.9999999999999997E-4</v>
      </c>
      <c r="E58">
        <f t="shared" si="0"/>
        <v>20188.829447229444</v>
      </c>
      <c r="F58">
        <f t="shared" si="1"/>
        <v>20189</v>
      </c>
      <c r="G58">
        <f t="shared" si="2"/>
        <v>-0.24360539999179309</v>
      </c>
      <c r="J58">
        <f>+G58</f>
        <v>-0.24360539999179309</v>
      </c>
      <c r="O58">
        <f t="shared" ca="1" si="4"/>
        <v>-0.24252625030257785</v>
      </c>
      <c r="Q58" s="2">
        <f t="shared" si="5"/>
        <v>42010.042500000003</v>
      </c>
      <c r="S58" t="s">
        <v>204</v>
      </c>
    </row>
    <row r="59" spans="1:19" x14ac:dyDescent="0.2">
      <c r="C59" s="14"/>
      <c r="D59" s="14"/>
    </row>
    <row r="60" spans="1:19" x14ac:dyDescent="0.2">
      <c r="C60" s="14"/>
      <c r="D60" s="14"/>
    </row>
    <row r="61" spans="1:19" x14ac:dyDescent="0.2">
      <c r="C61" s="14"/>
      <c r="D61" s="14"/>
    </row>
    <row r="62" spans="1:19" x14ac:dyDescent="0.2">
      <c r="C62" s="14"/>
      <c r="D62" s="14"/>
    </row>
    <row r="63" spans="1:19" x14ac:dyDescent="0.2">
      <c r="C63" s="14"/>
      <c r="D63" s="14"/>
    </row>
    <row r="64" spans="1:19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7"/>
  <sheetViews>
    <sheetView workbookViewId="0">
      <selection activeCell="A27" sqref="A27:D47"/>
    </sheetView>
  </sheetViews>
  <sheetFormatPr defaultRowHeight="12.75" x14ac:dyDescent="0.2"/>
  <cols>
    <col min="1" max="1" width="19.7109375" style="14" customWidth="1"/>
    <col min="2" max="2" width="4.42578125" style="12" customWidth="1"/>
    <col min="3" max="3" width="12.7109375" style="1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7" t="s">
        <v>52</v>
      </c>
      <c r="I1" s="48" t="s">
        <v>53</v>
      </c>
      <c r="J1" s="49" t="s">
        <v>54</v>
      </c>
    </row>
    <row r="2" spans="1:16" x14ac:dyDescent="0.2">
      <c r="I2" s="50" t="s">
        <v>55</v>
      </c>
      <c r="J2" s="51" t="s">
        <v>56</v>
      </c>
    </row>
    <row r="3" spans="1:16" x14ac:dyDescent="0.2">
      <c r="A3" s="52" t="s">
        <v>57</v>
      </c>
      <c r="I3" s="50" t="s">
        <v>58</v>
      </c>
      <c r="J3" s="51" t="s">
        <v>59</v>
      </c>
    </row>
    <row r="4" spans="1:16" x14ac:dyDescent="0.2">
      <c r="I4" s="50" t="s">
        <v>60</v>
      </c>
      <c r="J4" s="51" t="s">
        <v>59</v>
      </c>
    </row>
    <row r="5" spans="1:16" ht="13.5" thickBot="1" x14ac:dyDescent="0.25">
      <c r="I5" s="53" t="s">
        <v>61</v>
      </c>
      <c r="J5" s="54" t="s">
        <v>62</v>
      </c>
    </row>
    <row r="10" spans="1:16" ht="13.5" thickBot="1" x14ac:dyDescent="0.25"/>
    <row r="11" spans="1:16" ht="12.75" customHeight="1" thickBot="1" x14ac:dyDescent="0.25">
      <c r="A11" s="14" t="str">
        <f t="shared" ref="A11:A47" si="0">P11</f>
        <v>BAVM 178 </v>
      </c>
      <c r="B11" s="15" t="str">
        <f t="shared" ref="B11:B47" si="1">IF(H11=INT(H11),"I","II")</f>
        <v>I</v>
      </c>
      <c r="C11" s="14">
        <f t="shared" ref="C11:C47" si="2">1*G11</f>
        <v>50425.440399999999</v>
      </c>
      <c r="D11" s="12" t="str">
        <f t="shared" ref="D11:D47" si="3">VLOOKUP(F11,I$1:J$5,2,FALSE)</f>
        <v>vis</v>
      </c>
      <c r="E11" s="55">
        <f>VLOOKUP(C11,Active!C$21:E$973,3,FALSE)</f>
        <v>15565.87216695094</v>
      </c>
      <c r="F11" s="15" t="s">
        <v>61</v>
      </c>
      <c r="G11" s="12" t="str">
        <f t="shared" ref="G11:G47" si="4">MID(I11,3,LEN(I11)-3)</f>
        <v>50425.4404</v>
      </c>
      <c r="H11" s="14">
        <f t="shared" ref="H11:H47" si="5">1*K11</f>
        <v>15566</v>
      </c>
      <c r="I11" s="56" t="s">
        <v>115</v>
      </c>
      <c r="J11" s="57" t="s">
        <v>116</v>
      </c>
      <c r="K11" s="56">
        <v>15566</v>
      </c>
      <c r="L11" s="56" t="s">
        <v>117</v>
      </c>
      <c r="M11" s="57" t="s">
        <v>118</v>
      </c>
      <c r="N11" s="57" t="s">
        <v>119</v>
      </c>
      <c r="O11" s="58" t="s">
        <v>120</v>
      </c>
      <c r="P11" s="59" t="s">
        <v>121</v>
      </c>
    </row>
    <row r="12" spans="1:16" ht="12.75" customHeight="1" thickBot="1" x14ac:dyDescent="0.25">
      <c r="A12" s="14" t="str">
        <f t="shared" si="0"/>
        <v>BAVM 178 </v>
      </c>
      <c r="B12" s="15" t="str">
        <f t="shared" si="1"/>
        <v>I</v>
      </c>
      <c r="C12" s="14">
        <f t="shared" si="2"/>
        <v>50463.287199999999</v>
      </c>
      <c r="D12" s="12" t="str">
        <f t="shared" si="3"/>
        <v>vis</v>
      </c>
      <c r="E12" s="55">
        <f>VLOOKUP(C12,Active!C$21:E$973,3,FALSE)</f>
        <v>15592.369430955874</v>
      </c>
      <c r="F12" s="15" t="s">
        <v>61</v>
      </c>
      <c r="G12" s="12" t="str">
        <f t="shared" si="4"/>
        <v>50463.2872</v>
      </c>
      <c r="H12" s="14">
        <f t="shared" si="5"/>
        <v>15593</v>
      </c>
      <c r="I12" s="56" t="s">
        <v>122</v>
      </c>
      <c r="J12" s="57" t="s">
        <v>123</v>
      </c>
      <c r="K12" s="56">
        <v>15593</v>
      </c>
      <c r="L12" s="56" t="s">
        <v>124</v>
      </c>
      <c r="M12" s="57" t="s">
        <v>118</v>
      </c>
      <c r="N12" s="57" t="s">
        <v>119</v>
      </c>
      <c r="O12" s="58" t="s">
        <v>120</v>
      </c>
      <c r="P12" s="59" t="s">
        <v>121</v>
      </c>
    </row>
    <row r="13" spans="1:16" ht="12.75" customHeight="1" thickBot="1" x14ac:dyDescent="0.25">
      <c r="A13" s="14" t="str">
        <f t="shared" si="0"/>
        <v>BAVM 178 </v>
      </c>
      <c r="B13" s="15" t="str">
        <f t="shared" si="1"/>
        <v>I</v>
      </c>
      <c r="C13" s="14">
        <f t="shared" si="2"/>
        <v>50752.522299999997</v>
      </c>
      <c r="D13" s="12" t="str">
        <f t="shared" si="3"/>
        <v>vis</v>
      </c>
      <c r="E13" s="55">
        <f>VLOOKUP(C13,Active!C$21:E$973,3,FALSE)</f>
        <v>15794.868421734325</v>
      </c>
      <c r="F13" s="15" t="s">
        <v>61</v>
      </c>
      <c r="G13" s="12" t="str">
        <f t="shared" si="4"/>
        <v>50752.5223</v>
      </c>
      <c r="H13" s="14">
        <f t="shared" si="5"/>
        <v>15795</v>
      </c>
      <c r="I13" s="56" t="s">
        <v>125</v>
      </c>
      <c r="J13" s="57" t="s">
        <v>126</v>
      </c>
      <c r="K13" s="56">
        <v>15795</v>
      </c>
      <c r="L13" s="56" t="s">
        <v>127</v>
      </c>
      <c r="M13" s="57" t="s">
        <v>118</v>
      </c>
      <c r="N13" s="57" t="s">
        <v>119</v>
      </c>
      <c r="O13" s="58" t="s">
        <v>120</v>
      </c>
      <c r="P13" s="59" t="s">
        <v>121</v>
      </c>
    </row>
    <row r="14" spans="1:16" ht="12.75" customHeight="1" thickBot="1" x14ac:dyDescent="0.25">
      <c r="A14" s="14" t="str">
        <f t="shared" si="0"/>
        <v>IBVS 5287 </v>
      </c>
      <c r="B14" s="15" t="str">
        <f t="shared" si="1"/>
        <v>I</v>
      </c>
      <c r="C14" s="14">
        <f t="shared" si="2"/>
        <v>51876.601000000002</v>
      </c>
      <c r="D14" s="12" t="str">
        <f t="shared" si="3"/>
        <v>vis</v>
      </c>
      <c r="E14" s="55">
        <f>VLOOKUP(C14,Active!C$21:E$973,3,FALSE)</f>
        <v>16581.857284101156</v>
      </c>
      <c r="F14" s="15" t="s">
        <v>61</v>
      </c>
      <c r="G14" s="12" t="str">
        <f t="shared" si="4"/>
        <v>51876.6010</v>
      </c>
      <c r="H14" s="14">
        <f t="shared" si="5"/>
        <v>16582</v>
      </c>
      <c r="I14" s="56" t="s">
        <v>128</v>
      </c>
      <c r="J14" s="57" t="s">
        <v>129</v>
      </c>
      <c r="K14" s="56">
        <v>16582</v>
      </c>
      <c r="L14" s="56" t="s">
        <v>130</v>
      </c>
      <c r="M14" s="57" t="s">
        <v>131</v>
      </c>
      <c r="N14" s="57" t="s">
        <v>132</v>
      </c>
      <c r="O14" s="58" t="s">
        <v>133</v>
      </c>
      <c r="P14" s="59" t="s">
        <v>134</v>
      </c>
    </row>
    <row r="15" spans="1:16" ht="12.75" customHeight="1" thickBot="1" x14ac:dyDescent="0.25">
      <c r="A15" s="14" t="str">
        <f t="shared" si="0"/>
        <v>IBVS 5583 </v>
      </c>
      <c r="B15" s="15" t="str">
        <f t="shared" si="1"/>
        <v>I</v>
      </c>
      <c r="C15" s="14">
        <f t="shared" si="2"/>
        <v>52369.375800000002</v>
      </c>
      <c r="D15" s="12" t="str">
        <f t="shared" si="3"/>
        <v>vis</v>
      </c>
      <c r="E15" s="55">
        <f>VLOOKUP(C15,Active!C$21:E$973,3,FALSE)</f>
        <v>16926.858287371691</v>
      </c>
      <c r="F15" s="15" t="s">
        <v>61</v>
      </c>
      <c r="G15" s="12" t="str">
        <f t="shared" si="4"/>
        <v>52369.3758</v>
      </c>
      <c r="H15" s="14">
        <f t="shared" si="5"/>
        <v>16927</v>
      </c>
      <c r="I15" s="56" t="s">
        <v>135</v>
      </c>
      <c r="J15" s="57" t="s">
        <v>136</v>
      </c>
      <c r="K15" s="56">
        <v>16927</v>
      </c>
      <c r="L15" s="56" t="s">
        <v>137</v>
      </c>
      <c r="M15" s="57" t="s">
        <v>131</v>
      </c>
      <c r="N15" s="57" t="s">
        <v>132</v>
      </c>
      <c r="O15" s="58" t="s">
        <v>133</v>
      </c>
      <c r="P15" s="59" t="s">
        <v>138</v>
      </c>
    </row>
    <row r="16" spans="1:16" ht="12.75" customHeight="1" thickBot="1" x14ac:dyDescent="0.25">
      <c r="A16" s="14" t="str">
        <f t="shared" si="0"/>
        <v>IBVS 5583 </v>
      </c>
      <c r="B16" s="15" t="str">
        <f t="shared" si="1"/>
        <v>II</v>
      </c>
      <c r="C16" s="14">
        <f t="shared" si="2"/>
        <v>52694.320800000001</v>
      </c>
      <c r="D16" s="12" t="str">
        <f t="shared" si="3"/>
        <v>vis</v>
      </c>
      <c r="E16" s="55">
        <f>VLOOKUP(C16,Active!C$21:E$973,3,FALSE)</f>
        <v>17154.358457850667</v>
      </c>
      <c r="F16" s="15" t="s">
        <v>61</v>
      </c>
      <c r="G16" s="12" t="str">
        <f t="shared" si="4"/>
        <v>52694.3208</v>
      </c>
      <c r="H16" s="14">
        <f t="shared" si="5"/>
        <v>17154.5</v>
      </c>
      <c r="I16" s="56" t="s">
        <v>139</v>
      </c>
      <c r="J16" s="57" t="s">
        <v>140</v>
      </c>
      <c r="K16" s="56">
        <v>17154.5</v>
      </c>
      <c r="L16" s="56" t="s">
        <v>141</v>
      </c>
      <c r="M16" s="57" t="s">
        <v>131</v>
      </c>
      <c r="N16" s="57" t="s">
        <v>132</v>
      </c>
      <c r="O16" s="58" t="s">
        <v>133</v>
      </c>
      <c r="P16" s="59" t="s">
        <v>138</v>
      </c>
    </row>
    <row r="17" spans="1:16" ht="12.75" customHeight="1" thickBot="1" x14ac:dyDescent="0.25">
      <c r="A17" s="14" t="str">
        <f t="shared" si="0"/>
        <v>IBVS 5583 </v>
      </c>
      <c r="B17" s="15" t="str">
        <f t="shared" si="1"/>
        <v>I</v>
      </c>
      <c r="C17" s="14">
        <f t="shared" si="2"/>
        <v>53029.2601</v>
      </c>
      <c r="D17" s="12" t="str">
        <f t="shared" si="3"/>
        <v>vis</v>
      </c>
      <c r="E17" s="55">
        <f>VLOOKUP(C17,Active!C$21:E$973,3,FALSE)</f>
        <v>17388.855827713596</v>
      </c>
      <c r="F17" s="15" t="s">
        <v>61</v>
      </c>
      <c r="G17" s="12" t="str">
        <f t="shared" si="4"/>
        <v>53029.2601</v>
      </c>
      <c r="H17" s="14">
        <f t="shared" si="5"/>
        <v>17389</v>
      </c>
      <c r="I17" s="56" t="s">
        <v>142</v>
      </c>
      <c r="J17" s="57" t="s">
        <v>143</v>
      </c>
      <c r="K17" s="56">
        <v>17389</v>
      </c>
      <c r="L17" s="56" t="s">
        <v>144</v>
      </c>
      <c r="M17" s="57" t="s">
        <v>131</v>
      </c>
      <c r="N17" s="57" t="s">
        <v>132</v>
      </c>
      <c r="O17" s="58" t="s">
        <v>133</v>
      </c>
      <c r="P17" s="59" t="s">
        <v>138</v>
      </c>
    </row>
    <row r="18" spans="1:16" ht="12.75" customHeight="1" thickBot="1" x14ac:dyDescent="0.25">
      <c r="A18" s="14" t="str">
        <f t="shared" si="0"/>
        <v>IBVS 5741 </v>
      </c>
      <c r="B18" s="15" t="str">
        <f t="shared" si="1"/>
        <v>II</v>
      </c>
      <c r="C18" s="14">
        <f t="shared" si="2"/>
        <v>53451.326800000003</v>
      </c>
      <c r="D18" s="12" t="str">
        <f t="shared" si="3"/>
        <v>vis</v>
      </c>
      <c r="E18" s="55">
        <f>VLOOKUP(C18,Active!C$21:E$973,3,FALSE)</f>
        <v>17684.352746279816</v>
      </c>
      <c r="F18" s="15" t="s">
        <v>61</v>
      </c>
      <c r="G18" s="12" t="str">
        <f t="shared" si="4"/>
        <v>53451.3268</v>
      </c>
      <c r="H18" s="14">
        <f t="shared" si="5"/>
        <v>17684.5</v>
      </c>
      <c r="I18" s="56" t="s">
        <v>145</v>
      </c>
      <c r="J18" s="57" t="s">
        <v>146</v>
      </c>
      <c r="K18" s="56">
        <v>17684.5</v>
      </c>
      <c r="L18" s="56" t="s">
        <v>147</v>
      </c>
      <c r="M18" s="57" t="s">
        <v>131</v>
      </c>
      <c r="N18" s="57" t="s">
        <v>132</v>
      </c>
      <c r="O18" s="58" t="s">
        <v>148</v>
      </c>
      <c r="P18" s="59" t="s">
        <v>149</v>
      </c>
    </row>
    <row r="19" spans="1:16" ht="12.75" customHeight="1" thickBot="1" x14ac:dyDescent="0.25">
      <c r="A19" s="14" t="str">
        <f t="shared" si="0"/>
        <v>BAVM 178 </v>
      </c>
      <c r="B19" s="15" t="str">
        <f t="shared" si="1"/>
        <v>I</v>
      </c>
      <c r="C19" s="14">
        <f t="shared" si="2"/>
        <v>53670.573499999999</v>
      </c>
      <c r="D19" s="12" t="str">
        <f t="shared" si="3"/>
        <v>vis</v>
      </c>
      <c r="E19" s="55">
        <f>VLOOKUP(C19,Active!C$21:E$973,3,FALSE)</f>
        <v>17837.851528002731</v>
      </c>
      <c r="F19" s="15" t="s">
        <v>61</v>
      </c>
      <c r="G19" s="12" t="str">
        <f t="shared" si="4"/>
        <v>53670.5735</v>
      </c>
      <c r="H19" s="14">
        <f t="shared" si="5"/>
        <v>17838</v>
      </c>
      <c r="I19" s="56" t="s">
        <v>150</v>
      </c>
      <c r="J19" s="57" t="s">
        <v>151</v>
      </c>
      <c r="K19" s="56">
        <v>17838</v>
      </c>
      <c r="L19" s="56" t="s">
        <v>152</v>
      </c>
      <c r="M19" s="57" t="s">
        <v>118</v>
      </c>
      <c r="N19" s="57" t="s">
        <v>153</v>
      </c>
      <c r="O19" s="58" t="s">
        <v>154</v>
      </c>
      <c r="P19" s="59" t="s">
        <v>121</v>
      </c>
    </row>
    <row r="20" spans="1:16" ht="12.75" customHeight="1" thickBot="1" x14ac:dyDescent="0.25">
      <c r="A20" s="14" t="str">
        <f t="shared" si="0"/>
        <v>BAVM 201 </v>
      </c>
      <c r="B20" s="15" t="str">
        <f t="shared" si="1"/>
        <v>II</v>
      </c>
      <c r="C20" s="14">
        <f t="shared" si="2"/>
        <v>54505.424099999997</v>
      </c>
      <c r="D20" s="12" t="str">
        <f t="shared" si="3"/>
        <v>vis</v>
      </c>
      <c r="E20" s="55">
        <f>VLOOKUP(C20,Active!C$21:E$973,3,FALSE)</f>
        <v>18422.346300424146</v>
      </c>
      <c r="F20" s="15" t="s">
        <v>61</v>
      </c>
      <c r="G20" s="12" t="str">
        <f t="shared" si="4"/>
        <v>54505.4241</v>
      </c>
      <c r="H20" s="14">
        <f t="shared" si="5"/>
        <v>18422.5</v>
      </c>
      <c r="I20" s="56" t="s">
        <v>155</v>
      </c>
      <c r="J20" s="57" t="s">
        <v>156</v>
      </c>
      <c r="K20" s="56" t="s">
        <v>157</v>
      </c>
      <c r="L20" s="56" t="s">
        <v>158</v>
      </c>
      <c r="M20" s="57" t="s">
        <v>118</v>
      </c>
      <c r="N20" s="57" t="s">
        <v>153</v>
      </c>
      <c r="O20" s="58" t="s">
        <v>159</v>
      </c>
      <c r="P20" s="59" t="s">
        <v>160</v>
      </c>
    </row>
    <row r="21" spans="1:16" ht="12.75" customHeight="1" thickBot="1" x14ac:dyDescent="0.25">
      <c r="A21" s="14" t="str">
        <f t="shared" si="0"/>
        <v>BAVM 209 </v>
      </c>
      <c r="B21" s="15" t="str">
        <f t="shared" si="1"/>
        <v>I</v>
      </c>
      <c r="C21" s="14">
        <f t="shared" si="2"/>
        <v>54830.366699999999</v>
      </c>
      <c r="D21" s="12" t="str">
        <f t="shared" si="3"/>
        <v>vis</v>
      </c>
      <c r="E21" s="55">
        <f>VLOOKUP(C21,Active!C$21:E$973,3,FALSE)</f>
        <v>18649.84479061751</v>
      </c>
      <c r="F21" s="15" t="s">
        <v>61</v>
      </c>
      <c r="G21" s="12" t="str">
        <f t="shared" si="4"/>
        <v>54830.3667</v>
      </c>
      <c r="H21" s="14">
        <f t="shared" si="5"/>
        <v>18650</v>
      </c>
      <c r="I21" s="56" t="s">
        <v>166</v>
      </c>
      <c r="J21" s="57" t="s">
        <v>167</v>
      </c>
      <c r="K21" s="56" t="s">
        <v>168</v>
      </c>
      <c r="L21" s="56" t="s">
        <v>169</v>
      </c>
      <c r="M21" s="57" t="s">
        <v>118</v>
      </c>
      <c r="N21" s="57" t="s">
        <v>153</v>
      </c>
      <c r="O21" s="58" t="s">
        <v>159</v>
      </c>
      <c r="P21" s="59" t="s">
        <v>170</v>
      </c>
    </row>
    <row r="22" spans="1:16" ht="12.75" customHeight="1" thickBot="1" x14ac:dyDescent="0.25">
      <c r="A22" s="14" t="str">
        <f t="shared" si="0"/>
        <v>IBVS 5894 </v>
      </c>
      <c r="B22" s="15" t="str">
        <f t="shared" si="1"/>
        <v>I</v>
      </c>
      <c r="C22" s="14">
        <f t="shared" si="2"/>
        <v>54874.645799999998</v>
      </c>
      <c r="D22" s="12" t="str">
        <f t="shared" si="3"/>
        <v>vis</v>
      </c>
      <c r="E22" s="55">
        <f>VLOOKUP(C22,Active!C$21:E$973,3,FALSE)</f>
        <v>18680.845430106208</v>
      </c>
      <c r="F22" s="15" t="s">
        <v>61</v>
      </c>
      <c r="G22" s="12" t="str">
        <f t="shared" si="4"/>
        <v>54874.6458</v>
      </c>
      <c r="H22" s="14">
        <f t="shared" si="5"/>
        <v>18681</v>
      </c>
      <c r="I22" s="56" t="s">
        <v>176</v>
      </c>
      <c r="J22" s="57" t="s">
        <v>177</v>
      </c>
      <c r="K22" s="56" t="s">
        <v>178</v>
      </c>
      <c r="L22" s="56" t="s">
        <v>179</v>
      </c>
      <c r="M22" s="57" t="s">
        <v>118</v>
      </c>
      <c r="N22" s="57" t="s">
        <v>61</v>
      </c>
      <c r="O22" s="58" t="s">
        <v>180</v>
      </c>
      <c r="P22" s="59" t="s">
        <v>181</v>
      </c>
    </row>
    <row r="23" spans="1:16" ht="12.75" customHeight="1" thickBot="1" x14ac:dyDescent="0.25">
      <c r="A23" s="14" t="str">
        <f t="shared" si="0"/>
        <v>IBVS 5920 </v>
      </c>
      <c r="B23" s="15" t="str">
        <f t="shared" si="1"/>
        <v>I</v>
      </c>
      <c r="C23" s="14">
        <f t="shared" si="2"/>
        <v>55158.879500000003</v>
      </c>
      <c r="D23" s="12" t="str">
        <f t="shared" si="3"/>
        <v>vis</v>
      </c>
      <c r="E23" s="55">
        <f>VLOOKUP(C23,Active!C$21:E$973,3,FALSE)</f>
        <v>18879.842845686915</v>
      </c>
      <c r="F23" s="15" t="s">
        <v>61</v>
      </c>
      <c r="G23" s="12" t="str">
        <f t="shared" si="4"/>
        <v>55158.8795</v>
      </c>
      <c r="H23" s="14">
        <f t="shared" si="5"/>
        <v>18880</v>
      </c>
      <c r="I23" s="56" t="s">
        <v>182</v>
      </c>
      <c r="J23" s="57" t="s">
        <v>183</v>
      </c>
      <c r="K23" s="56" t="s">
        <v>184</v>
      </c>
      <c r="L23" s="56" t="s">
        <v>185</v>
      </c>
      <c r="M23" s="57" t="s">
        <v>118</v>
      </c>
      <c r="N23" s="57" t="s">
        <v>61</v>
      </c>
      <c r="O23" s="58" t="s">
        <v>180</v>
      </c>
      <c r="P23" s="59" t="s">
        <v>186</v>
      </c>
    </row>
    <row r="24" spans="1:16" ht="12.75" customHeight="1" thickBot="1" x14ac:dyDescent="0.25">
      <c r="A24" s="14" t="str">
        <f t="shared" si="0"/>
        <v>IBVS 5974 </v>
      </c>
      <c r="B24" s="15" t="str">
        <f t="shared" si="1"/>
        <v>I</v>
      </c>
      <c r="C24" s="14">
        <f t="shared" si="2"/>
        <v>55261.7186</v>
      </c>
      <c r="D24" s="12" t="str">
        <f t="shared" si="3"/>
        <v>vis</v>
      </c>
      <c r="E24" s="55">
        <f>VLOOKUP(C24,Active!C$21:E$973,3,FALSE)</f>
        <v>18951.842454180365</v>
      </c>
      <c r="F24" s="15" t="s">
        <v>61</v>
      </c>
      <c r="G24" s="12" t="str">
        <f t="shared" si="4"/>
        <v>55261.7186</v>
      </c>
      <c r="H24" s="14">
        <f t="shared" si="5"/>
        <v>18952</v>
      </c>
      <c r="I24" s="56" t="s">
        <v>187</v>
      </c>
      <c r="J24" s="57" t="s">
        <v>188</v>
      </c>
      <c r="K24" s="56" t="s">
        <v>189</v>
      </c>
      <c r="L24" s="56" t="s">
        <v>190</v>
      </c>
      <c r="M24" s="57" t="s">
        <v>118</v>
      </c>
      <c r="N24" s="57" t="s">
        <v>61</v>
      </c>
      <c r="O24" s="58" t="s">
        <v>191</v>
      </c>
      <c r="P24" s="59" t="s">
        <v>192</v>
      </c>
    </row>
    <row r="25" spans="1:16" ht="12.75" customHeight="1" thickBot="1" x14ac:dyDescent="0.25">
      <c r="A25" s="14" t="str">
        <f t="shared" si="0"/>
        <v>IBVS 6011 </v>
      </c>
      <c r="B25" s="15" t="str">
        <f t="shared" si="1"/>
        <v>I</v>
      </c>
      <c r="C25" s="14">
        <f t="shared" si="2"/>
        <v>55895.890700000004</v>
      </c>
      <c r="D25" s="12" t="str">
        <f t="shared" si="3"/>
        <v>vis</v>
      </c>
      <c r="E25" s="55">
        <f>VLOOKUP(C25,Active!C$21:E$973,3,FALSE)</f>
        <v>19395.83839461032</v>
      </c>
      <c r="F25" s="15" t="s">
        <v>61</v>
      </c>
      <c r="G25" s="12" t="str">
        <f t="shared" si="4"/>
        <v>55895.8907</v>
      </c>
      <c r="H25" s="14">
        <f t="shared" si="5"/>
        <v>19396</v>
      </c>
      <c r="I25" s="56" t="s">
        <v>193</v>
      </c>
      <c r="J25" s="57" t="s">
        <v>194</v>
      </c>
      <c r="K25" s="56" t="s">
        <v>195</v>
      </c>
      <c r="L25" s="56" t="s">
        <v>196</v>
      </c>
      <c r="M25" s="57" t="s">
        <v>118</v>
      </c>
      <c r="N25" s="57" t="s">
        <v>61</v>
      </c>
      <c r="O25" s="58" t="s">
        <v>180</v>
      </c>
      <c r="P25" s="59" t="s">
        <v>197</v>
      </c>
    </row>
    <row r="26" spans="1:16" ht="12.75" customHeight="1" thickBot="1" x14ac:dyDescent="0.25">
      <c r="A26" s="14" t="str">
        <f t="shared" si="0"/>
        <v>BAVM 239 </v>
      </c>
      <c r="B26" s="15" t="str">
        <f t="shared" si="1"/>
        <v>I</v>
      </c>
      <c r="C26" s="14">
        <f t="shared" si="2"/>
        <v>57028.542500000003</v>
      </c>
      <c r="D26" s="12" t="str">
        <f t="shared" si="3"/>
        <v>vis</v>
      </c>
      <c r="E26" s="55">
        <f>VLOOKUP(C26,Active!C$21:E$973,3,FALSE)</f>
        <v>20188.829447229444</v>
      </c>
      <c r="F26" s="15" t="s">
        <v>61</v>
      </c>
      <c r="G26" s="12" t="str">
        <f t="shared" si="4"/>
        <v>57028.5425</v>
      </c>
      <c r="H26" s="14">
        <f t="shared" si="5"/>
        <v>20189</v>
      </c>
      <c r="I26" s="56" t="s">
        <v>198</v>
      </c>
      <c r="J26" s="57" t="s">
        <v>199</v>
      </c>
      <c r="K26" s="56" t="s">
        <v>200</v>
      </c>
      <c r="L26" s="56" t="s">
        <v>201</v>
      </c>
      <c r="M26" s="57" t="s">
        <v>118</v>
      </c>
      <c r="N26" s="57" t="s">
        <v>119</v>
      </c>
      <c r="O26" s="58" t="s">
        <v>175</v>
      </c>
      <c r="P26" s="59" t="s">
        <v>202</v>
      </c>
    </row>
    <row r="27" spans="1:16" ht="12.75" customHeight="1" thickBot="1" x14ac:dyDescent="0.25">
      <c r="A27" s="14" t="str">
        <f t="shared" si="0"/>
        <v> VSS 2.59 </v>
      </c>
      <c r="B27" s="15" t="str">
        <f t="shared" si="1"/>
        <v>I</v>
      </c>
      <c r="C27" s="14">
        <f t="shared" si="2"/>
        <v>28192.31</v>
      </c>
      <c r="D27" s="12" t="str">
        <f t="shared" si="3"/>
        <v>vis</v>
      </c>
      <c r="E27" s="55">
        <f>VLOOKUP(C27,Active!C$21:E$973,3,FALSE)</f>
        <v>3.5005950313471555E-2</v>
      </c>
      <c r="F27" s="15" t="s">
        <v>61</v>
      </c>
      <c r="G27" s="12" t="str">
        <f t="shared" si="4"/>
        <v>28192.31</v>
      </c>
      <c r="H27" s="14">
        <f t="shared" si="5"/>
        <v>0</v>
      </c>
      <c r="I27" s="56" t="s">
        <v>63</v>
      </c>
      <c r="J27" s="57" t="s">
        <v>64</v>
      </c>
      <c r="K27" s="56">
        <v>0</v>
      </c>
      <c r="L27" s="56" t="s">
        <v>65</v>
      </c>
      <c r="M27" s="57" t="s">
        <v>66</v>
      </c>
      <c r="N27" s="57"/>
      <c r="O27" s="58" t="s">
        <v>67</v>
      </c>
      <c r="P27" s="58" t="s">
        <v>68</v>
      </c>
    </row>
    <row r="28" spans="1:16" ht="12.75" customHeight="1" thickBot="1" x14ac:dyDescent="0.25">
      <c r="A28" s="14" t="str">
        <f t="shared" si="0"/>
        <v> VSS 2.59 </v>
      </c>
      <c r="B28" s="15" t="str">
        <f t="shared" si="1"/>
        <v>I</v>
      </c>
      <c r="C28" s="14">
        <f t="shared" si="2"/>
        <v>28453.63</v>
      </c>
      <c r="D28" s="12" t="str">
        <f t="shared" si="3"/>
        <v>vis</v>
      </c>
      <c r="E28" s="55">
        <f>VLOOKUP(C28,Active!C$21:E$973,3,FALSE)</f>
        <v>182.99010465799159</v>
      </c>
      <c r="F28" s="15" t="s">
        <v>61</v>
      </c>
      <c r="G28" s="12" t="str">
        <f t="shared" si="4"/>
        <v>28453.63</v>
      </c>
      <c r="H28" s="14">
        <f t="shared" si="5"/>
        <v>183</v>
      </c>
      <c r="I28" s="56" t="s">
        <v>69</v>
      </c>
      <c r="J28" s="57" t="s">
        <v>70</v>
      </c>
      <c r="K28" s="56">
        <v>183</v>
      </c>
      <c r="L28" s="56" t="s">
        <v>71</v>
      </c>
      <c r="M28" s="57" t="s">
        <v>66</v>
      </c>
      <c r="N28" s="57"/>
      <c r="O28" s="58" t="s">
        <v>67</v>
      </c>
      <c r="P28" s="58" t="s">
        <v>68</v>
      </c>
    </row>
    <row r="29" spans="1:16" ht="12.75" customHeight="1" thickBot="1" x14ac:dyDescent="0.25">
      <c r="A29" s="14" t="str">
        <f t="shared" si="0"/>
        <v> VSS 2.59 </v>
      </c>
      <c r="B29" s="15" t="str">
        <f t="shared" si="1"/>
        <v>I</v>
      </c>
      <c r="C29" s="14">
        <f t="shared" si="2"/>
        <v>28546.44</v>
      </c>
      <c r="D29" s="12" t="str">
        <f t="shared" si="3"/>
        <v>vis</v>
      </c>
      <c r="E29" s="55">
        <f>VLOOKUP(C29,Active!C$21:E$973,3,FALSE)</f>
        <v>247.96814962607365</v>
      </c>
      <c r="F29" s="15" t="s">
        <v>61</v>
      </c>
      <c r="G29" s="12" t="str">
        <f t="shared" si="4"/>
        <v>28546.44</v>
      </c>
      <c r="H29" s="14">
        <f t="shared" si="5"/>
        <v>248</v>
      </c>
      <c r="I29" s="56" t="s">
        <v>72</v>
      </c>
      <c r="J29" s="57" t="s">
        <v>73</v>
      </c>
      <c r="K29" s="56">
        <v>248</v>
      </c>
      <c r="L29" s="56" t="s">
        <v>74</v>
      </c>
      <c r="M29" s="57" t="s">
        <v>66</v>
      </c>
      <c r="N29" s="57"/>
      <c r="O29" s="58" t="s">
        <v>67</v>
      </c>
      <c r="P29" s="58" t="s">
        <v>68</v>
      </c>
    </row>
    <row r="30" spans="1:16" ht="12.75" customHeight="1" thickBot="1" x14ac:dyDescent="0.25">
      <c r="A30" s="14" t="str">
        <f t="shared" si="0"/>
        <v> VSS 2.59 </v>
      </c>
      <c r="B30" s="15" t="str">
        <f t="shared" si="1"/>
        <v>II</v>
      </c>
      <c r="C30" s="14">
        <f t="shared" si="2"/>
        <v>28594.33</v>
      </c>
      <c r="D30" s="12" t="str">
        <f t="shared" si="3"/>
        <v>vis</v>
      </c>
      <c r="E30" s="55">
        <f>VLOOKUP(C30,Active!C$21:E$973,3,FALSE)</f>
        <v>281.4968488343672</v>
      </c>
      <c r="F30" s="15" t="s">
        <v>61</v>
      </c>
      <c r="G30" s="12" t="str">
        <f t="shared" si="4"/>
        <v>28594.33</v>
      </c>
      <c r="H30" s="14">
        <f t="shared" si="5"/>
        <v>281.5</v>
      </c>
      <c r="I30" s="56" t="s">
        <v>75</v>
      </c>
      <c r="J30" s="57" t="s">
        <v>76</v>
      </c>
      <c r="K30" s="56">
        <v>281.5</v>
      </c>
      <c r="L30" s="56" t="s">
        <v>77</v>
      </c>
      <c r="M30" s="57" t="s">
        <v>66</v>
      </c>
      <c r="N30" s="57"/>
      <c r="O30" s="58" t="s">
        <v>67</v>
      </c>
      <c r="P30" s="58" t="s">
        <v>68</v>
      </c>
    </row>
    <row r="31" spans="1:16" ht="12.75" customHeight="1" thickBot="1" x14ac:dyDescent="0.25">
      <c r="A31" s="14" t="str">
        <f t="shared" si="0"/>
        <v> VSS 2.59 </v>
      </c>
      <c r="B31" s="15" t="str">
        <f t="shared" si="1"/>
        <v>II</v>
      </c>
      <c r="C31" s="14">
        <f t="shared" si="2"/>
        <v>28924.26</v>
      </c>
      <c r="D31" s="12" t="str">
        <f t="shared" si="3"/>
        <v>vis</v>
      </c>
      <c r="E31" s="55">
        <f>VLOOKUP(C31,Active!C$21:E$973,3,FALSE)</f>
        <v>512.48711255939281</v>
      </c>
      <c r="F31" s="15" t="s">
        <v>61</v>
      </c>
      <c r="G31" s="12" t="str">
        <f t="shared" si="4"/>
        <v>28924.26</v>
      </c>
      <c r="H31" s="14">
        <f t="shared" si="5"/>
        <v>512.5</v>
      </c>
      <c r="I31" s="56" t="s">
        <v>78</v>
      </c>
      <c r="J31" s="57" t="s">
        <v>79</v>
      </c>
      <c r="K31" s="56">
        <v>512.5</v>
      </c>
      <c r="L31" s="56" t="s">
        <v>80</v>
      </c>
      <c r="M31" s="57" t="s">
        <v>66</v>
      </c>
      <c r="N31" s="57"/>
      <c r="O31" s="58" t="s">
        <v>67</v>
      </c>
      <c r="P31" s="58" t="s">
        <v>68</v>
      </c>
    </row>
    <row r="32" spans="1:16" ht="12.75" customHeight="1" thickBot="1" x14ac:dyDescent="0.25">
      <c r="A32" s="14" t="str">
        <f t="shared" si="0"/>
        <v> VSS 2.59 </v>
      </c>
      <c r="B32" s="15" t="str">
        <f t="shared" si="1"/>
        <v>I</v>
      </c>
      <c r="C32" s="14">
        <f t="shared" si="2"/>
        <v>29163.59</v>
      </c>
      <c r="D32" s="12" t="str">
        <f t="shared" si="3"/>
        <v>vis</v>
      </c>
      <c r="E32" s="55">
        <f>VLOOKUP(C32,Active!C$21:E$973,3,FALSE)</f>
        <v>680.04659432010374</v>
      </c>
      <c r="F32" s="15" t="s">
        <v>61</v>
      </c>
      <c r="G32" s="12" t="str">
        <f t="shared" si="4"/>
        <v>29163.59</v>
      </c>
      <c r="H32" s="14">
        <f t="shared" si="5"/>
        <v>680</v>
      </c>
      <c r="I32" s="56" t="s">
        <v>81</v>
      </c>
      <c r="J32" s="57" t="s">
        <v>82</v>
      </c>
      <c r="K32" s="56">
        <v>680</v>
      </c>
      <c r="L32" s="56" t="s">
        <v>83</v>
      </c>
      <c r="M32" s="57" t="s">
        <v>66</v>
      </c>
      <c r="N32" s="57"/>
      <c r="O32" s="58" t="s">
        <v>67</v>
      </c>
      <c r="P32" s="58" t="s">
        <v>68</v>
      </c>
    </row>
    <row r="33" spans="1:16" ht="12.75" customHeight="1" thickBot="1" x14ac:dyDescent="0.25">
      <c r="A33" s="14" t="str">
        <f t="shared" si="0"/>
        <v> VSS 2.59 </v>
      </c>
      <c r="B33" s="15" t="str">
        <f t="shared" si="1"/>
        <v>II</v>
      </c>
      <c r="C33" s="14">
        <f t="shared" si="2"/>
        <v>29168.58</v>
      </c>
      <c r="D33" s="12" t="str">
        <f t="shared" si="3"/>
        <v>vis</v>
      </c>
      <c r="E33" s="55">
        <f>VLOOKUP(C33,Active!C$21:E$973,3,FALSE)</f>
        <v>683.54018816118605</v>
      </c>
      <c r="F33" s="15" t="s">
        <v>61</v>
      </c>
      <c r="G33" s="12" t="str">
        <f t="shared" si="4"/>
        <v>29168.58</v>
      </c>
      <c r="H33" s="14">
        <f t="shared" si="5"/>
        <v>683.5</v>
      </c>
      <c r="I33" s="56" t="s">
        <v>84</v>
      </c>
      <c r="J33" s="57" t="s">
        <v>85</v>
      </c>
      <c r="K33" s="56">
        <v>683.5</v>
      </c>
      <c r="L33" s="56" t="s">
        <v>86</v>
      </c>
      <c r="M33" s="57" t="s">
        <v>66</v>
      </c>
      <c r="N33" s="57"/>
      <c r="O33" s="58" t="s">
        <v>67</v>
      </c>
      <c r="P33" s="58" t="s">
        <v>68</v>
      </c>
    </row>
    <row r="34" spans="1:16" ht="12.75" customHeight="1" thickBot="1" x14ac:dyDescent="0.25">
      <c r="A34" s="14" t="str">
        <f t="shared" si="0"/>
        <v> VSS 2.59 </v>
      </c>
      <c r="B34" s="15" t="str">
        <f t="shared" si="1"/>
        <v>I</v>
      </c>
      <c r="C34" s="14">
        <f t="shared" si="2"/>
        <v>29193.53</v>
      </c>
      <c r="D34" s="12" t="str">
        <f t="shared" si="3"/>
        <v>vis</v>
      </c>
      <c r="E34" s="55">
        <f>VLOOKUP(C34,Active!C$21:E$973,3,FALSE)</f>
        <v>701.00815736658956</v>
      </c>
      <c r="F34" s="15" t="s">
        <v>61</v>
      </c>
      <c r="G34" s="12" t="str">
        <f t="shared" si="4"/>
        <v>29193.53</v>
      </c>
      <c r="H34" s="14">
        <f t="shared" si="5"/>
        <v>701</v>
      </c>
      <c r="I34" s="56" t="s">
        <v>87</v>
      </c>
      <c r="J34" s="57" t="s">
        <v>88</v>
      </c>
      <c r="K34" s="56">
        <v>701</v>
      </c>
      <c r="L34" s="56" t="s">
        <v>89</v>
      </c>
      <c r="M34" s="57" t="s">
        <v>66</v>
      </c>
      <c r="N34" s="57"/>
      <c r="O34" s="58" t="s">
        <v>67</v>
      </c>
      <c r="P34" s="58" t="s">
        <v>68</v>
      </c>
    </row>
    <row r="35" spans="1:16" ht="12.75" customHeight="1" thickBot="1" x14ac:dyDescent="0.25">
      <c r="A35" s="14" t="str">
        <f t="shared" si="0"/>
        <v> VSS 2.59 </v>
      </c>
      <c r="B35" s="15" t="str">
        <f t="shared" si="1"/>
        <v>I</v>
      </c>
      <c r="C35" s="14">
        <f t="shared" si="2"/>
        <v>29250.61</v>
      </c>
      <c r="D35" s="12" t="str">
        <f t="shared" si="3"/>
        <v>vis</v>
      </c>
      <c r="E35" s="55">
        <f>VLOOKUP(C35,Active!C$21:E$973,3,FALSE)</f>
        <v>740.97095024212376</v>
      </c>
      <c r="F35" s="15" t="s">
        <v>61</v>
      </c>
      <c r="G35" s="12" t="str">
        <f t="shared" si="4"/>
        <v>29250.61</v>
      </c>
      <c r="H35" s="14">
        <f t="shared" si="5"/>
        <v>741</v>
      </c>
      <c r="I35" s="56" t="s">
        <v>90</v>
      </c>
      <c r="J35" s="57" t="s">
        <v>91</v>
      </c>
      <c r="K35" s="56">
        <v>741</v>
      </c>
      <c r="L35" s="56" t="s">
        <v>92</v>
      </c>
      <c r="M35" s="57" t="s">
        <v>66</v>
      </c>
      <c r="N35" s="57"/>
      <c r="O35" s="58" t="s">
        <v>67</v>
      </c>
      <c r="P35" s="58" t="s">
        <v>68</v>
      </c>
    </row>
    <row r="36" spans="1:16" ht="12.75" customHeight="1" thickBot="1" x14ac:dyDescent="0.25">
      <c r="A36" s="14" t="str">
        <f t="shared" si="0"/>
        <v> VSS 2.59 </v>
      </c>
      <c r="B36" s="15" t="str">
        <f t="shared" si="1"/>
        <v>II</v>
      </c>
      <c r="C36" s="14">
        <f t="shared" si="2"/>
        <v>29251.35</v>
      </c>
      <c r="D36" s="12" t="str">
        <f t="shared" si="3"/>
        <v>vis</v>
      </c>
      <c r="E36" s="55">
        <f>VLOOKUP(C36,Active!C$21:E$973,3,FALSE)</f>
        <v>741.48903830673146</v>
      </c>
      <c r="F36" s="15" t="s">
        <v>61</v>
      </c>
      <c r="G36" s="12" t="str">
        <f t="shared" si="4"/>
        <v>29251.35</v>
      </c>
      <c r="H36" s="14">
        <f t="shared" si="5"/>
        <v>741.5</v>
      </c>
      <c r="I36" s="56" t="s">
        <v>93</v>
      </c>
      <c r="J36" s="57" t="s">
        <v>94</v>
      </c>
      <c r="K36" s="56">
        <v>741.5</v>
      </c>
      <c r="L36" s="56" t="s">
        <v>80</v>
      </c>
      <c r="M36" s="57" t="s">
        <v>66</v>
      </c>
      <c r="N36" s="57"/>
      <c r="O36" s="58" t="s">
        <v>67</v>
      </c>
      <c r="P36" s="58" t="s">
        <v>68</v>
      </c>
    </row>
    <row r="37" spans="1:16" ht="12.75" customHeight="1" thickBot="1" x14ac:dyDescent="0.25">
      <c r="A37" s="14" t="str">
        <f t="shared" si="0"/>
        <v> VSS 2.59 </v>
      </c>
      <c r="B37" s="15" t="str">
        <f t="shared" si="1"/>
        <v>I</v>
      </c>
      <c r="C37" s="14">
        <f t="shared" si="2"/>
        <v>29316.38</v>
      </c>
      <c r="D37" s="12" t="str">
        <f t="shared" si="3"/>
        <v>vis</v>
      </c>
      <c r="E37" s="55">
        <f>VLOOKUP(C37,Active!C$21:E$973,3,FALSE)</f>
        <v>787.01777728178422</v>
      </c>
      <c r="F37" s="15" t="s">
        <v>61</v>
      </c>
      <c r="G37" s="12" t="str">
        <f t="shared" si="4"/>
        <v>29316.38</v>
      </c>
      <c r="H37" s="14">
        <f t="shared" si="5"/>
        <v>787</v>
      </c>
      <c r="I37" s="56" t="s">
        <v>95</v>
      </c>
      <c r="J37" s="57" t="s">
        <v>96</v>
      </c>
      <c r="K37" s="56">
        <v>787</v>
      </c>
      <c r="L37" s="56" t="s">
        <v>97</v>
      </c>
      <c r="M37" s="57" t="s">
        <v>66</v>
      </c>
      <c r="N37" s="57"/>
      <c r="O37" s="58" t="s">
        <v>67</v>
      </c>
      <c r="P37" s="58" t="s">
        <v>68</v>
      </c>
    </row>
    <row r="38" spans="1:16" ht="12.75" customHeight="1" thickBot="1" x14ac:dyDescent="0.25">
      <c r="A38" s="14" t="str">
        <f t="shared" si="0"/>
        <v> VSS 2.59 </v>
      </c>
      <c r="B38" s="15" t="str">
        <f t="shared" si="1"/>
        <v>II</v>
      </c>
      <c r="C38" s="14">
        <f t="shared" si="2"/>
        <v>29638.45</v>
      </c>
      <c r="D38" s="12" t="str">
        <f t="shared" si="3"/>
        <v>vis</v>
      </c>
      <c r="E38" s="55">
        <f>VLOOKUP(C38,Active!C$21:E$973,3,FALSE)</f>
        <v>1012.5051056178546</v>
      </c>
      <c r="F38" s="15" t="s">
        <v>61</v>
      </c>
      <c r="G38" s="12" t="str">
        <f t="shared" si="4"/>
        <v>29638.45</v>
      </c>
      <c r="H38" s="14">
        <f t="shared" si="5"/>
        <v>1012.5</v>
      </c>
      <c r="I38" s="56" t="s">
        <v>98</v>
      </c>
      <c r="J38" s="57" t="s">
        <v>99</v>
      </c>
      <c r="K38" s="56">
        <v>1012.5</v>
      </c>
      <c r="L38" s="56" t="s">
        <v>89</v>
      </c>
      <c r="M38" s="57" t="s">
        <v>66</v>
      </c>
      <c r="N38" s="57"/>
      <c r="O38" s="58" t="s">
        <v>67</v>
      </c>
      <c r="P38" s="58" t="s">
        <v>68</v>
      </c>
    </row>
    <row r="39" spans="1:16" ht="12.75" customHeight="1" thickBot="1" x14ac:dyDescent="0.25">
      <c r="A39" s="14" t="str">
        <f t="shared" si="0"/>
        <v> VSS 2.59 </v>
      </c>
      <c r="B39" s="15" t="str">
        <f t="shared" si="1"/>
        <v>I</v>
      </c>
      <c r="C39" s="14">
        <f t="shared" si="2"/>
        <v>29910.61</v>
      </c>
      <c r="D39" s="12" t="str">
        <f t="shared" si="3"/>
        <v>vis</v>
      </c>
      <c r="E39" s="55">
        <f>VLOOKUP(C39,Active!C$21:E$973,3,FALSE)</f>
        <v>1203.0494943530516</v>
      </c>
      <c r="F39" s="15" t="s">
        <v>61</v>
      </c>
      <c r="G39" s="12" t="str">
        <f t="shared" si="4"/>
        <v>29910.61</v>
      </c>
      <c r="H39" s="14">
        <f t="shared" si="5"/>
        <v>1203</v>
      </c>
      <c r="I39" s="56" t="s">
        <v>100</v>
      </c>
      <c r="J39" s="57" t="s">
        <v>101</v>
      </c>
      <c r="K39" s="56">
        <v>1203</v>
      </c>
      <c r="L39" s="56" t="s">
        <v>83</v>
      </c>
      <c r="M39" s="57" t="s">
        <v>66</v>
      </c>
      <c r="N39" s="57"/>
      <c r="O39" s="58" t="s">
        <v>67</v>
      </c>
      <c r="P39" s="58" t="s">
        <v>68</v>
      </c>
    </row>
    <row r="40" spans="1:16" ht="12.75" customHeight="1" thickBot="1" x14ac:dyDescent="0.25">
      <c r="A40" s="14" t="str">
        <f t="shared" si="0"/>
        <v> VSS 2.59 </v>
      </c>
      <c r="B40" s="15" t="str">
        <f t="shared" si="1"/>
        <v>I</v>
      </c>
      <c r="C40" s="14">
        <f t="shared" si="2"/>
        <v>30023.4</v>
      </c>
      <c r="D40" s="12" t="str">
        <f t="shared" si="3"/>
        <v>vis</v>
      </c>
      <c r="E40" s="55">
        <f>VLOOKUP(C40,Active!C$21:E$973,3,FALSE)</f>
        <v>1282.015917065585</v>
      </c>
      <c r="F40" s="15" t="s">
        <v>61</v>
      </c>
      <c r="G40" s="12" t="str">
        <f t="shared" si="4"/>
        <v>30023.40</v>
      </c>
      <c r="H40" s="14">
        <f t="shared" si="5"/>
        <v>1282</v>
      </c>
      <c r="I40" s="56" t="s">
        <v>102</v>
      </c>
      <c r="J40" s="57" t="s">
        <v>103</v>
      </c>
      <c r="K40" s="56">
        <v>1282</v>
      </c>
      <c r="L40" s="56" t="s">
        <v>104</v>
      </c>
      <c r="M40" s="57" t="s">
        <v>66</v>
      </c>
      <c r="N40" s="57"/>
      <c r="O40" s="58" t="s">
        <v>67</v>
      </c>
      <c r="P40" s="58" t="s">
        <v>68</v>
      </c>
    </row>
    <row r="41" spans="1:16" ht="12.75" customHeight="1" thickBot="1" x14ac:dyDescent="0.25">
      <c r="A41" s="14" t="str">
        <f t="shared" si="0"/>
        <v> VSS 2.59 </v>
      </c>
      <c r="B41" s="15" t="str">
        <f t="shared" si="1"/>
        <v>II</v>
      </c>
      <c r="C41" s="14">
        <f t="shared" si="2"/>
        <v>30025.55</v>
      </c>
      <c r="D41" s="12" t="str">
        <f t="shared" si="3"/>
        <v>vis</v>
      </c>
      <c r="E41" s="55">
        <f>VLOOKUP(C41,Active!C$21:E$973,3,FALSE)</f>
        <v>1283.5211729289751</v>
      </c>
      <c r="F41" s="15" t="s">
        <v>61</v>
      </c>
      <c r="G41" s="12" t="str">
        <f t="shared" si="4"/>
        <v>30025.55</v>
      </c>
      <c r="H41" s="14">
        <f t="shared" si="5"/>
        <v>1283.5</v>
      </c>
      <c r="I41" s="56" t="s">
        <v>105</v>
      </c>
      <c r="J41" s="57" t="s">
        <v>106</v>
      </c>
      <c r="K41" s="56">
        <v>1283.5</v>
      </c>
      <c r="L41" s="56" t="s">
        <v>97</v>
      </c>
      <c r="M41" s="57" t="s">
        <v>66</v>
      </c>
      <c r="N41" s="57"/>
      <c r="O41" s="58" t="s">
        <v>67</v>
      </c>
      <c r="P41" s="58" t="s">
        <v>68</v>
      </c>
    </row>
    <row r="42" spans="1:16" ht="12.75" customHeight="1" thickBot="1" x14ac:dyDescent="0.25">
      <c r="A42" s="14" t="str">
        <f t="shared" si="0"/>
        <v> VSS 2.59 </v>
      </c>
      <c r="B42" s="15" t="str">
        <f t="shared" si="1"/>
        <v>I</v>
      </c>
      <c r="C42" s="14">
        <f t="shared" si="2"/>
        <v>30257.61</v>
      </c>
      <c r="D42" s="12" t="str">
        <f t="shared" si="3"/>
        <v>vis</v>
      </c>
      <c r="E42" s="55">
        <f>VLOOKUP(C42,Active!C$21:E$973,3,FALSE)</f>
        <v>1445.9907895144033</v>
      </c>
      <c r="F42" s="15" t="s">
        <v>61</v>
      </c>
      <c r="G42" s="12" t="str">
        <f t="shared" si="4"/>
        <v>30257.61</v>
      </c>
      <c r="H42" s="14">
        <f t="shared" si="5"/>
        <v>1446</v>
      </c>
      <c r="I42" s="56" t="s">
        <v>107</v>
      </c>
      <c r="J42" s="57" t="s">
        <v>108</v>
      </c>
      <c r="K42" s="56">
        <v>1446</v>
      </c>
      <c r="L42" s="56" t="s">
        <v>71</v>
      </c>
      <c r="M42" s="57" t="s">
        <v>66</v>
      </c>
      <c r="N42" s="57"/>
      <c r="O42" s="58" t="s">
        <v>67</v>
      </c>
      <c r="P42" s="58" t="s">
        <v>68</v>
      </c>
    </row>
    <row r="43" spans="1:16" ht="12.75" customHeight="1" thickBot="1" x14ac:dyDescent="0.25">
      <c r="A43" s="14" t="str">
        <f t="shared" si="0"/>
        <v> VSS 2.59 </v>
      </c>
      <c r="B43" s="15" t="str">
        <f t="shared" si="1"/>
        <v>II</v>
      </c>
      <c r="C43" s="14">
        <f t="shared" si="2"/>
        <v>30375.42</v>
      </c>
      <c r="D43" s="12" t="str">
        <f t="shared" si="3"/>
        <v>vis</v>
      </c>
      <c r="E43" s="55">
        <f>VLOOKUP(C43,Active!C$21:E$973,3,FALSE)</f>
        <v>1528.4718096382023</v>
      </c>
      <c r="F43" s="15" t="s">
        <v>61</v>
      </c>
      <c r="G43" s="12" t="str">
        <f t="shared" si="4"/>
        <v>30375.42</v>
      </c>
      <c r="H43" s="14">
        <f t="shared" si="5"/>
        <v>1528.5</v>
      </c>
      <c r="I43" s="56" t="s">
        <v>109</v>
      </c>
      <c r="J43" s="57" t="s">
        <v>110</v>
      </c>
      <c r="K43" s="56">
        <v>1528.5</v>
      </c>
      <c r="L43" s="56" t="s">
        <v>92</v>
      </c>
      <c r="M43" s="57" t="s">
        <v>66</v>
      </c>
      <c r="N43" s="57"/>
      <c r="O43" s="58" t="s">
        <v>67</v>
      </c>
      <c r="P43" s="58" t="s">
        <v>68</v>
      </c>
    </row>
    <row r="44" spans="1:16" ht="12.75" customHeight="1" thickBot="1" x14ac:dyDescent="0.25">
      <c r="A44" s="14" t="str">
        <f t="shared" si="0"/>
        <v> VSS 2.59 </v>
      </c>
      <c r="B44" s="15" t="str">
        <f t="shared" si="1"/>
        <v>I</v>
      </c>
      <c r="C44" s="14">
        <f t="shared" si="2"/>
        <v>30377.599999999999</v>
      </c>
      <c r="D44" s="12" t="str">
        <f t="shared" si="3"/>
        <v>vis</v>
      </c>
      <c r="E44" s="55">
        <f>VLOOKUP(C44,Active!C$21:E$973,3,FALSE)</f>
        <v>1529.9980690717809</v>
      </c>
      <c r="F44" s="15" t="s">
        <v>61</v>
      </c>
      <c r="G44" s="12" t="str">
        <f t="shared" si="4"/>
        <v>30377.60</v>
      </c>
      <c r="H44" s="14">
        <f t="shared" si="5"/>
        <v>1530</v>
      </c>
      <c r="I44" s="56" t="s">
        <v>111</v>
      </c>
      <c r="J44" s="57" t="s">
        <v>112</v>
      </c>
      <c r="K44" s="56">
        <v>1530</v>
      </c>
      <c r="L44" s="56" t="s">
        <v>77</v>
      </c>
      <c r="M44" s="57" t="s">
        <v>66</v>
      </c>
      <c r="N44" s="57"/>
      <c r="O44" s="58" t="s">
        <v>67</v>
      </c>
      <c r="P44" s="58" t="s">
        <v>68</v>
      </c>
    </row>
    <row r="45" spans="1:16" ht="12.75" customHeight="1" thickBot="1" x14ac:dyDescent="0.25">
      <c r="A45" s="14" t="str">
        <f t="shared" si="0"/>
        <v> VSS 2.59 </v>
      </c>
      <c r="B45" s="15" t="str">
        <f t="shared" si="1"/>
        <v>I</v>
      </c>
      <c r="C45" s="14">
        <f t="shared" si="2"/>
        <v>30704.68</v>
      </c>
      <c r="D45" s="12" t="str">
        <f t="shared" si="3"/>
        <v>vis</v>
      </c>
      <c r="E45" s="55">
        <f>VLOOKUP(C45,Active!C$21:E$973,3,FALSE)</f>
        <v>1758.9929936290584</v>
      </c>
      <c r="F45" s="15" t="s">
        <v>61</v>
      </c>
      <c r="G45" s="12" t="str">
        <f t="shared" si="4"/>
        <v>30704.68</v>
      </c>
      <c r="H45" s="14">
        <f t="shared" si="5"/>
        <v>1759</v>
      </c>
      <c r="I45" s="56" t="s">
        <v>113</v>
      </c>
      <c r="J45" s="57" t="s">
        <v>114</v>
      </c>
      <c r="K45" s="56">
        <v>1759</v>
      </c>
      <c r="L45" s="56" t="s">
        <v>71</v>
      </c>
      <c r="M45" s="57" t="s">
        <v>66</v>
      </c>
      <c r="N45" s="57"/>
      <c r="O45" s="58" t="s">
        <v>67</v>
      </c>
      <c r="P45" s="58" t="s">
        <v>68</v>
      </c>
    </row>
    <row r="46" spans="1:16" ht="12.75" customHeight="1" thickBot="1" x14ac:dyDescent="0.25">
      <c r="A46" s="14" t="str">
        <f t="shared" si="0"/>
        <v>BAVM 203 </v>
      </c>
      <c r="B46" s="15" t="str">
        <f t="shared" si="1"/>
        <v>II</v>
      </c>
      <c r="C46" s="14">
        <f t="shared" si="2"/>
        <v>54809.654300000002</v>
      </c>
      <c r="D46" s="12" t="str">
        <f t="shared" si="3"/>
        <v>vis</v>
      </c>
      <c r="E46" s="55">
        <f>VLOOKUP(C46,Active!C$21:E$973,3,FALSE)</f>
        <v>18635.343645712903</v>
      </c>
      <c r="F46" s="15" t="s">
        <v>61</v>
      </c>
      <c r="G46" s="12" t="str">
        <f t="shared" si="4"/>
        <v>54809.6543</v>
      </c>
      <c r="H46" s="14">
        <f t="shared" si="5"/>
        <v>18635.5</v>
      </c>
      <c r="I46" s="56" t="s">
        <v>161</v>
      </c>
      <c r="J46" s="57" t="s">
        <v>162</v>
      </c>
      <c r="K46" s="56" t="s">
        <v>163</v>
      </c>
      <c r="L46" s="56" t="s">
        <v>164</v>
      </c>
      <c r="M46" s="57" t="s">
        <v>118</v>
      </c>
      <c r="N46" s="57" t="s">
        <v>153</v>
      </c>
      <c r="O46" s="58" t="s">
        <v>159</v>
      </c>
      <c r="P46" s="59" t="s">
        <v>165</v>
      </c>
    </row>
    <row r="47" spans="1:16" ht="12.75" customHeight="1" thickBot="1" x14ac:dyDescent="0.25">
      <c r="A47" s="14" t="str">
        <f t="shared" si="0"/>
        <v>BAVM 203 </v>
      </c>
      <c r="B47" s="15" t="str">
        <f t="shared" si="1"/>
        <v>I</v>
      </c>
      <c r="C47" s="14">
        <f t="shared" si="2"/>
        <v>54857.5046</v>
      </c>
      <c r="D47" s="12" t="str">
        <f t="shared" si="3"/>
        <v>vis</v>
      </c>
      <c r="E47" s="55">
        <f>VLOOKUP(C47,Active!C$21:E$973,3,FALSE)</f>
        <v>18668.844550196645</v>
      </c>
      <c r="F47" s="15" t="s">
        <v>61</v>
      </c>
      <c r="G47" s="12" t="str">
        <f t="shared" si="4"/>
        <v>54857.5046</v>
      </c>
      <c r="H47" s="14">
        <f t="shared" si="5"/>
        <v>18669</v>
      </c>
      <c r="I47" s="56" t="s">
        <v>171</v>
      </c>
      <c r="J47" s="57" t="s">
        <v>172</v>
      </c>
      <c r="K47" s="56" t="s">
        <v>173</v>
      </c>
      <c r="L47" s="56" t="s">
        <v>174</v>
      </c>
      <c r="M47" s="57" t="s">
        <v>118</v>
      </c>
      <c r="N47" s="57" t="s">
        <v>119</v>
      </c>
      <c r="O47" s="58" t="s">
        <v>175</v>
      </c>
      <c r="P47" s="59" t="s">
        <v>165</v>
      </c>
    </row>
    <row r="48" spans="1:16" x14ac:dyDescent="0.2">
      <c r="B48" s="15"/>
      <c r="E48" s="55"/>
      <c r="F48" s="15"/>
    </row>
    <row r="49" spans="2:6" x14ac:dyDescent="0.2">
      <c r="B49" s="15"/>
      <c r="E49" s="55"/>
      <c r="F49" s="15"/>
    </row>
    <row r="50" spans="2:6" x14ac:dyDescent="0.2">
      <c r="B50" s="15"/>
      <c r="E50" s="55"/>
      <c r="F50" s="15"/>
    </row>
    <row r="51" spans="2:6" x14ac:dyDescent="0.2">
      <c r="B51" s="15"/>
      <c r="E51" s="55"/>
      <c r="F51" s="15"/>
    </row>
    <row r="52" spans="2:6" x14ac:dyDescent="0.2">
      <c r="B52" s="15"/>
      <c r="E52" s="55"/>
      <c r="F52" s="15"/>
    </row>
    <row r="53" spans="2:6" x14ac:dyDescent="0.2">
      <c r="B53" s="15"/>
      <c r="E53" s="55"/>
      <c r="F53" s="15"/>
    </row>
    <row r="54" spans="2:6" x14ac:dyDescent="0.2">
      <c r="B54" s="15"/>
      <c r="E54" s="55"/>
      <c r="F54" s="15"/>
    </row>
    <row r="55" spans="2:6" x14ac:dyDescent="0.2">
      <c r="B55" s="15"/>
      <c r="E55" s="55"/>
      <c r="F55" s="15"/>
    </row>
    <row r="56" spans="2:6" x14ac:dyDescent="0.2">
      <c r="B56" s="15"/>
      <c r="E56" s="55"/>
      <c r="F56" s="15"/>
    </row>
    <row r="57" spans="2:6" x14ac:dyDescent="0.2">
      <c r="B57" s="15"/>
      <c r="E57" s="55"/>
      <c r="F57" s="15"/>
    </row>
    <row r="58" spans="2:6" x14ac:dyDescent="0.2">
      <c r="B58" s="15"/>
      <c r="E58" s="55"/>
      <c r="F58" s="15"/>
    </row>
    <row r="59" spans="2:6" x14ac:dyDescent="0.2">
      <c r="B59" s="15"/>
      <c r="E59" s="5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</sheetData>
  <phoneticPr fontId="7" type="noConversion"/>
  <hyperlinks>
    <hyperlink ref="P11" r:id="rId1" display="http://www.bav-astro.de/sfs/BAVM_link.php?BAVMnr=178"/>
    <hyperlink ref="P12" r:id="rId2" display="http://www.bav-astro.de/sfs/BAVM_link.php?BAVMnr=178"/>
    <hyperlink ref="P13" r:id="rId3" display="http://www.bav-astro.de/sfs/BAVM_link.php?BAVMnr=178"/>
    <hyperlink ref="P14" r:id="rId4" display="http://www.konkoly.hu/cgi-bin/IBVS?5287"/>
    <hyperlink ref="P15" r:id="rId5" display="http://www.konkoly.hu/cgi-bin/IBVS?5583"/>
    <hyperlink ref="P16" r:id="rId6" display="http://www.konkoly.hu/cgi-bin/IBVS?5583"/>
    <hyperlink ref="P17" r:id="rId7" display="http://www.konkoly.hu/cgi-bin/IBVS?5583"/>
    <hyperlink ref="P18" r:id="rId8" display="http://www.konkoly.hu/cgi-bin/IBVS?5741"/>
    <hyperlink ref="P19" r:id="rId9" display="http://www.bav-astro.de/sfs/BAVM_link.php?BAVMnr=178"/>
    <hyperlink ref="P20" r:id="rId10" display="http://www.bav-astro.de/sfs/BAVM_link.php?BAVMnr=201"/>
    <hyperlink ref="P46" r:id="rId11" display="http://www.bav-astro.de/sfs/BAVM_link.php?BAVMnr=203"/>
    <hyperlink ref="P21" r:id="rId12" display="http://www.bav-astro.de/sfs/BAVM_link.php?BAVMnr=209"/>
    <hyperlink ref="P47" r:id="rId13" display="http://www.bav-astro.de/sfs/BAVM_link.php?BAVMnr=203"/>
    <hyperlink ref="P22" r:id="rId14" display="http://www.konkoly.hu/cgi-bin/IBVS?5894"/>
    <hyperlink ref="P23" r:id="rId15" display="http://www.konkoly.hu/cgi-bin/IBVS?5920"/>
    <hyperlink ref="P24" r:id="rId16" display="http://www.konkoly.hu/cgi-bin/IBVS?5974"/>
    <hyperlink ref="P25" r:id="rId17" display="http://www.konkoly.hu/cgi-bin/IBVS?6011"/>
    <hyperlink ref="P26" r:id="rId1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2024-02-11T05:03:55Z</dcterms:modified>
</cp:coreProperties>
</file>