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5C7D5F-E0F2-4985-A563-17AB0CCD16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E14" i="1"/>
  <c r="E15" i="1" s="1"/>
  <c r="C17" i="1"/>
  <c r="C7" i="1"/>
  <c r="E24" i="1"/>
  <c r="F24" i="1"/>
  <c r="C8" i="1"/>
  <c r="E21" i="1"/>
  <c r="F21" i="1"/>
  <c r="G21" i="1"/>
  <c r="H21" i="1"/>
  <c r="E22" i="1"/>
  <c r="F22" i="1"/>
  <c r="Q22" i="1"/>
  <c r="Q23" i="1"/>
  <c r="Q21" i="1"/>
  <c r="E23" i="1"/>
  <c r="F23" i="1"/>
  <c r="G23" i="1"/>
  <c r="I23" i="1"/>
  <c r="G22" i="1"/>
  <c r="G24" i="1"/>
  <c r="I24" i="1"/>
  <c r="I22" i="1"/>
  <c r="C12" i="1"/>
  <c r="C11" i="1"/>
  <c r="O23" i="1" l="1"/>
  <c r="O22" i="1"/>
  <c r="O24" i="1"/>
  <c r="C15" i="1"/>
  <c r="O21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<sst xmlns="http://schemas.openxmlformats.org/spreadsheetml/2006/main" count="53" uniqueCount="48">
  <si>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</si>
  <si>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</si>
  <si>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</si>
  <si>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</si>
  <si>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</si>
  <si>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</si>
  <si>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</si>
  <si>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</si>
  <si>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</si>
  <si>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</si>
  <si>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</si>
  <si>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</si>
  <si>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</si>
  <si>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</si>
  <si>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</si>
  <si>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</si>
  <si>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</si>
  <si>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</si>
  <si>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</si>
  <si>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</si>
  <si>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</si>
  <si>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</si>
  <si>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</si>
  <si>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</si>
  <si>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</si>
  <si>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</si>
  <si>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</si>
  <si>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</si>
  <si>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</si>
  <si>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5583</t>
  </si>
  <si>
    <t>I</t>
  </si>
  <si>
    <t>IBVS</t>
  </si>
  <si>
    <t>Possible cycle miscount</t>
  </si>
  <si>
    <t>E/SD</t>
  </si>
  <si>
    <t># of data points:</t>
  </si>
  <si>
    <t>FO Gem / na</t>
  </si>
  <si>
    <t>06 53 28.52 +12 53 49.0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</si>
  <si>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</si>
  <si>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</si>
  <si>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</si>
  <si>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</si>
  <si>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</si>
  <si>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</si>
  <si>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</si>
  <si>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</si>
  <si>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</si>
  <si>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5960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</si>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</sst>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0" fontId="11" fillId="2" borderId="0" xfId="0" applyFont="1" applyFill="1" applyAlignment="1"/>
    <xf numFmtId="0" fontId="12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Gem - O-C Diagr.</a:t>
            </a:r>
          </a:p>
        </c:rich>
      </c:tx>
      <c:layout>
        <c:manualLayout>
          <c:xMode val="edge"/>
          <c:yMode val="edge"/>
          <c:x val="0.336777293334200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05-4616-8523-0B19967D84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-2.264100000000326</c:v>
                </c:pt>
                <c:pt idx="2">
                  <c:v>-2.5458999999973457</c:v>
                </c:pt>
                <c:pt idx="3">
                  <c:v>-3.5792999999976018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05-4616-8523-0B19967D84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05-4616-8523-0B19967D84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05-4616-8523-0B19967D84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05-4616-8523-0B19967D84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05-4616-8523-0B19967D84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2.2000000000000001E-3</c:v>
                  </c:pt>
                  <c:pt idx="2">
                    <c:v>3.5999999999999999E-3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05-4616-8523-0B19967D84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9895.5</c:v>
                </c:pt>
                <c:pt idx="2">
                  <c:v>11007</c:v>
                </c:pt>
                <c:pt idx="3">
                  <c:v>15103.5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2.1418596866922268E-2</c:v>
                </c:pt>
                <c:pt idx="1">
                  <c:v>-2.3077517928220113</c:v>
                </c:pt>
                <c:pt idx="2">
                  <c:v>-2.5693730234964849</c:v>
                </c:pt>
                <c:pt idx="3">
                  <c:v>-3.5335937805436997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05-4616-8523-0B19967D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94744"/>
        <c:axId val="1"/>
      </c:scatterChart>
      <c:valAx>
        <c:axId val="748194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194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15702479338845E-2"/>
          <c:y val="0.92000129214617399"/>
          <c:w val="0.9256207023708813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0</xdr:rowOff>
    </xdr:from>
    <xdr:to>
      <xdr:col>16</xdr:col>
      <xdr:colOff>485774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0578ED-0E67-F973-B0BD-2AC156FDF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  <c r="C1" s="17" t="s">
        <v>36</v>
      </c>
    </row>
    <row r="2" spans="1:7">
      <c r="A2" t="s">
        <v>25</v>
      </c>
      <c r="B2" s="12" t="s">
        <v>33</v>
      </c>
    </row>
    <row r="3" spans="1:7" ht="13.5" thickBot="1">
      <c r="C3" s="11" t="s">
        <v>32</v>
      </c>
    </row>
    <row r="4" spans="1:7" ht="14.25" thickTop="1" thickBot="1">
      <c r="A4" s="6" t="s">
        <v>0</v>
      </c>
      <c r="C4" s="3">
        <v>45043.453999999998</v>
      </c>
      <c r="D4" s="4">
        <v>0.6956</v>
      </c>
    </row>
    <row r="6" spans="1:7">
      <c r="A6" s="6" t="s">
        <v>1</v>
      </c>
    </row>
    <row r="7" spans="1:7">
      <c r="A7" t="s">
        <v>2</v>
      </c>
      <c r="C7">
        <f>+C4</f>
        <v>45043.453999999998</v>
      </c>
    </row>
    <row r="8" spans="1:7">
      <c r="A8" t="s">
        <v>3</v>
      </c>
      <c r="C8">
        <f>+D4</f>
        <v>0.6956</v>
      </c>
    </row>
    <row r="9" spans="1:7">
      <c r="A9" s="18" t="s">
        <v>37</v>
      </c>
      <c r="B9" s="19"/>
      <c r="C9" s="20">
        <v>-9.5</v>
      </c>
      <c r="D9" s="19" t="s">
        <v>38</v>
      </c>
      <c r="E9" s="19"/>
    </row>
    <row r="10" spans="1:7" ht="13.5" thickBot="1">
      <c r="A10" s="19"/>
      <c r="B10" s="19"/>
      <c r="C10" s="5" t="s">
        <v>21</v>
      </c>
      <c r="D10" s="5" t="s">
        <v>22</v>
      </c>
      <c r="E10" s="19"/>
    </row>
    <row r="11" spans="1:7">
      <c r="A11" s="19" t="s">
        <v>16</v>
      </c>
      <c r="B11" s="19"/>
      <c r="C11" s="21">
        <f ca="1">INTERCEPT(INDIRECT($G$11):G992,INDIRECT($F$11):F992)</f>
        <v>2.1418596866922268E-2</v>
      </c>
      <c r="D11" s="22"/>
      <c r="E11" s="19"/>
      <c r="F11" s="23" t="str">
        <f>"F"&amp;E19</f>
        <v>F21</v>
      </c>
      <c r="G11" s="24" t="str">
        <f>"G"&amp;E19</f>
        <v>G21</v>
      </c>
    </row>
    <row r="12" spans="1:7">
      <c r="A12" s="19" t="s">
        <v>17</v>
      </c>
      <c r="B12" s="19"/>
      <c r="C12" s="21">
        <f ca="1">SLOPE(INDIRECT($G$11):G992,INDIRECT($F$11):F992)</f>
        <v>-2.3537672575301235E-4</v>
      </c>
      <c r="D12" s="22"/>
      <c r="E12" s="19"/>
    </row>
    <row r="13" spans="1:7">
      <c r="A13" s="19" t="s">
        <v>20</v>
      </c>
      <c r="B13" s="19"/>
      <c r="C13" s="22" t="s">
        <v>14</v>
      </c>
      <c r="D13" s="25" t="s">
        <v>39</v>
      </c>
      <c r="E13" s="20">
        <v>1</v>
      </c>
    </row>
    <row r="14" spans="1:7">
      <c r="A14" s="19"/>
      <c r="B14" s="19"/>
      <c r="C14" s="19"/>
      <c r="D14" s="25" t="s">
        <v>40</v>
      </c>
      <c r="E14" s="26">
        <f ca="1">NOW()+15018.5+$C$9/24</f>
        <v>60351.755165740738</v>
      </c>
    </row>
    <row r="15" spans="1:7">
      <c r="A15" s="27" t="s">
        <v>18</v>
      </c>
      <c r="B15" s="19"/>
      <c r="C15" s="28">
        <f ca="1">(C7+C11)+(C8+C12)*INT(MAX(F21:F3533))</f>
        <v>55545.567323907817</v>
      </c>
      <c r="D15" s="25" t="s">
        <v>41</v>
      </c>
      <c r="E15" s="26">
        <f ca="1">ROUND(2*(E14-$C$7)/$C$8,0)/2+E13</f>
        <v>22008.5</v>
      </c>
    </row>
    <row r="16" spans="1:7">
      <c r="A16" s="29" t="s">
        <v>4</v>
      </c>
      <c r="B16" s="19"/>
      <c r="C16" s="30">
        <f ca="1">+C8+C12</f>
        <v>0.69536462327424697</v>
      </c>
      <c r="D16" s="25" t="s">
        <v>42</v>
      </c>
      <c r="E16" s="24">
        <f ca="1">ROUND(2*(E14-$C$15)/$C$16,0)/2+E13</f>
        <v>6913</v>
      </c>
    </row>
    <row r="17" spans="1:17" ht="13.5" thickBot="1">
      <c r="A17" s="25" t="s">
        <v>34</v>
      </c>
      <c r="B17" s="19"/>
      <c r="C17" s="19">
        <f>COUNT(C21:C2191)</f>
        <v>4</v>
      </c>
      <c r="D17" s="25" t="s">
        <v>43</v>
      </c>
      <c r="E17" s="31">
        <f ca="1">+$C$15+$C$16*E16-15018.5-$C$9/24</f>
        <v>45334.51879793602</v>
      </c>
    </row>
    <row r="18" spans="1:17" ht="14.25" thickTop="1" thickBot="1">
      <c r="A18" s="29" t="s">
        <v>5</v>
      </c>
      <c r="B18" s="19"/>
      <c r="C18" s="32">
        <f ca="1">+C15</f>
        <v>55545.567323907817</v>
      </c>
      <c r="D18" s="33">
        <f ca="1">+C16</f>
        <v>0.69536462327424697</v>
      </c>
      <c r="E18" s="34" t="s">
        <v>44</v>
      </c>
    </row>
    <row r="19" spans="1:17" ht="13.5" thickTop="1">
      <c r="A19" s="35" t="s">
        <v>45</v>
      </c>
      <c r="E19" s="36">
        <v>21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31</v>
      </c>
      <c r="J20" s="8" t="s">
        <v>47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17">
      <c r="A21" t="s">
        <v>12</v>
      </c>
      <c r="C21" s="14">
        <v>45043.453999999998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2.1418596866922268E-2</v>
      </c>
      <c r="Q21" s="2">
        <f>+C21-15018.5</f>
        <v>30024.953999999998</v>
      </c>
    </row>
    <row r="22" spans="1:17">
      <c r="A22" s="9" t="s">
        <v>29</v>
      </c>
      <c r="B22" s="10" t="s">
        <v>30</v>
      </c>
      <c r="C22" s="13">
        <v>51924.4997</v>
      </c>
      <c r="D22" s="15">
        <v>2.2000000000000001E-3</v>
      </c>
      <c r="E22">
        <f>+(C22-C$7)/C$8</f>
        <v>9892.2451121334143</v>
      </c>
      <c r="F22" s="16">
        <f>ROUND(2*E22,0)/2+3.5</f>
        <v>9895.5</v>
      </c>
      <c r="G22">
        <f>+C22-(C$7+F22*C$8)</f>
        <v>-2.264100000000326</v>
      </c>
      <c r="I22">
        <f>+G22</f>
        <v>-2.264100000000326</v>
      </c>
      <c r="O22">
        <f ca="1">+C$11+C$12*F22</f>
        <v>-2.3077517928220113</v>
      </c>
      <c r="Q22" s="2">
        <f>+C22-15018.5</f>
        <v>36905.9997</v>
      </c>
    </row>
    <row r="23" spans="1:17">
      <c r="A23" s="9" t="s">
        <v>29</v>
      </c>
      <c r="B23" s="10" t="s">
        <v>30</v>
      </c>
      <c r="C23" s="13">
        <v>52697.3773</v>
      </c>
      <c r="D23" s="15">
        <v>3.5999999999999999E-3</v>
      </c>
      <c r="E23">
        <f>+(C23-C$7)/C$8</f>
        <v>11003.339994249573</v>
      </c>
      <c r="F23" s="16">
        <f>ROUND(2*E23,0)/2+3.5</f>
        <v>11007</v>
      </c>
      <c r="G23">
        <f>+C23-(C$7+F23*C$8)</f>
        <v>-2.5458999999973457</v>
      </c>
      <c r="I23">
        <f>+G23</f>
        <v>-2.5458999999973457</v>
      </c>
      <c r="O23">
        <f ca="1">+C$11+C$12*F23</f>
        <v>-2.5693730234964849</v>
      </c>
      <c r="Q23" s="2">
        <f>+C23-15018.5</f>
        <v>37678.8773</v>
      </c>
    </row>
    <row r="24" spans="1:17">
      <c r="A24" s="37" t="s">
        <v>46</v>
      </c>
      <c r="B24" s="38" t="s">
        <v>30</v>
      </c>
      <c r="C24" s="39">
        <v>55545.869299999998</v>
      </c>
      <c r="D24" s="39">
        <v>5.0000000000000001E-4</v>
      </c>
      <c r="E24">
        <f>+(C24-C$7)/C$8</f>
        <v>15098.354370327776</v>
      </c>
      <c r="F24" s="16">
        <f>ROUND(2*E24,0)/2+5</f>
        <v>15103.5</v>
      </c>
      <c r="G24">
        <f>+C24-(C$7+F24*C$8)</f>
        <v>-3.5792999999976018</v>
      </c>
      <c r="I24">
        <f>+G24</f>
        <v>-3.5792999999976018</v>
      </c>
      <c r="O24">
        <f ca="1">+C$11+C$12*F24</f>
        <v>-3.5335937805436997</v>
      </c>
      <c r="Q24" s="2">
        <f>+C24-15018.5</f>
        <v>40527.369299999998</v>
      </c>
    </row>
    <row r="25" spans="1:17">
      <c r="C25" s="14"/>
      <c r="D25" s="14"/>
    </row>
    <row r="26" spans="1:17">
      <c r="C26" s="14"/>
      <c r="D26" s="14"/>
    </row>
    <row r="27" spans="1:17">
      <c r="C27" s="14"/>
      <c r="D27" s="14"/>
    </row>
    <row r="28" spans="1:17">
      <c r="C28" s="14"/>
      <c r="D28" s="14"/>
    </row>
    <row r="29" spans="1:17">
      <c r="C29" s="14"/>
      <c r="D29" s="14"/>
    </row>
    <row r="30" spans="1:17">
      <c r="C30" s="14"/>
      <c r="D30" s="14"/>
    </row>
    <row r="31" spans="1:17">
      <c r="C31" s="14"/>
      <c r="D31" s="14"/>
    </row>
    <row r="32" spans="1:17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2024-02-11T05:07:26Z</dcterms:modified>
</cp:coreProperties>
</file>