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53E7F17-F1DE-4BEA-8736-BD9B31D1438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24" i="1"/>
  <c r="F24" i="1"/>
  <c r="G24" i="1"/>
  <c r="I24" i="1"/>
  <c r="C8" i="1"/>
  <c r="E23" i="1"/>
  <c r="F23" i="1"/>
  <c r="G23" i="1"/>
  <c r="I23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31" i="1"/>
  <c r="F31" i="1"/>
  <c r="G31" i="1"/>
  <c r="K31" i="1"/>
  <c r="D9" i="1"/>
  <c r="C9" i="1"/>
  <c r="E22" i="1"/>
  <c r="F22" i="1"/>
  <c r="G22" i="1"/>
  <c r="E29" i="1"/>
  <c r="F29" i="1"/>
  <c r="G29" i="1"/>
  <c r="J29" i="1"/>
  <c r="E30" i="1"/>
  <c r="F30" i="1"/>
  <c r="G30" i="1"/>
  <c r="J30" i="1"/>
  <c r="Q21" i="1"/>
  <c r="Q23" i="1"/>
  <c r="Q24" i="1"/>
  <c r="Q25" i="1"/>
  <c r="Q26" i="1"/>
  <c r="Q27" i="1"/>
  <c r="Q28" i="1"/>
  <c r="Q31" i="1"/>
  <c r="G20" i="2"/>
  <c r="C20" i="2"/>
  <c r="E20" i="2"/>
  <c r="G12" i="2"/>
  <c r="C12" i="2"/>
  <c r="E12" i="2"/>
  <c r="G11" i="2"/>
  <c r="C11" i="2"/>
  <c r="E11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G14" i="2"/>
  <c r="C14" i="2"/>
  <c r="E14" i="2"/>
  <c r="G13" i="2"/>
  <c r="C13" i="2"/>
  <c r="H20" i="2"/>
  <c r="D20" i="2"/>
  <c r="B20" i="2"/>
  <c r="A20" i="2"/>
  <c r="H12" i="2"/>
  <c r="B12" i="2"/>
  <c r="D12" i="2"/>
  <c r="A12" i="2"/>
  <c r="H11" i="2"/>
  <c r="D11" i="2"/>
  <c r="B11" i="2"/>
  <c r="A11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Q30" i="1"/>
  <c r="Q29" i="1"/>
  <c r="F17" i="1"/>
  <c r="C17" i="1"/>
  <c r="Q22" i="1"/>
  <c r="H22" i="1"/>
  <c r="E13" i="2"/>
  <c r="E15" i="2"/>
  <c r="E21" i="1"/>
  <c r="F21" i="1"/>
  <c r="G21" i="1"/>
  <c r="I21" i="1"/>
  <c r="C12" i="1"/>
  <c r="C11" i="1"/>
  <c r="O30" i="1" l="1"/>
  <c r="O26" i="1"/>
  <c r="O21" i="1"/>
  <c r="O31" i="1"/>
  <c r="O25" i="1"/>
  <c r="C15" i="1"/>
  <c r="F18" i="1" s="1"/>
  <c r="O27" i="1"/>
  <c r="O22" i="1"/>
  <c r="O29" i="1"/>
  <c r="O24" i="1"/>
  <c r="O28" i="1"/>
  <c r="O23" i="1"/>
  <c r="C16" i="1"/>
  <c r="D18" i="1" s="1"/>
  <c r="F19" i="1" l="1"/>
  <c r="C18" i="1"/>
</calcChain>
</file>

<file path=xl/sharedStrings.xml><?xml version="1.0" encoding="utf-8"?>
<sst xmlns="http://schemas.openxmlformats.org/spreadsheetml/2006/main" count="155" uniqueCount="94">
  <si>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</si>
  <si>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</si>
  <si>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</si>
  <si>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</si>
  <si>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</si>
  <si>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</si>
  <si>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</si>
  <si>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</si>
  <si>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</si>
  <si>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</si>
  <si>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</si>
  <si>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</si>
  <si>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</si>
  <si>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</si>
  <si>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</si>
  <si>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</si>
  <si>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</si>
  <si>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</si>
  <si>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</si>
  <si>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</si>
  <si>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</si>
  <si>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</si>
  <si>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</si>
  <si>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</si>
  <si>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</si>
  <si>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</si>
  <si>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</si>
  <si>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</si>
  <si>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</si>
  <si>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</si>
  <si>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</si>
  <si>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</si>
  <si>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</si>
  <si>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</si>
  <si>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</si>
  <si>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FQ Gem / GSC 1348-0334</t>
  </si>
  <si>
    <t>EA</t>
  </si>
  <si>
    <t>IBVS 5761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</si>
  <si>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</si>
  <si>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</si>
  <si>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</si>
  <si>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</si>
  <si>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</si>
  <si>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</si>
  <si>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</si>
  <si>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</si>
  <si>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</si>
  <si>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</si>
  <si>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</si>
  <si>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</si>
  <si>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2428193.41 </t>
  </si>
  <si>
    <t> 25.01.1936 21:50 </t>
  </si>
  <si>
    <t> -0.01 </t>
  </si>
  <si>
    <t>P </t>
  </si>
  <si>
    <t> C.Hoffmeister </t>
  </si>
  <si>
    <t> VSS 2.73 </t>
  </si>
  <si>
    <t>2428245.33 </t>
  </si>
  <si>
    <t> 17.03.1936 19:55 </t>
  </si>
  <si>
    <t>2428542.45 </t>
  </si>
  <si>
    <t> 08.01.1937 22:48 </t>
  </si>
  <si>
    <t> -0.02 </t>
  </si>
  <si>
    <t>2428597.31 </t>
  </si>
  <si>
    <t> 04.03.1937 19:26 </t>
  </si>
  <si>
    <t> 0.03 </t>
  </si>
  <si>
    <t>2428865.59 </t>
  </si>
  <si>
    <t> 28.11.1937 02:09 </t>
  </si>
  <si>
    <t>2431441.53 </t>
  </si>
  <si>
    <t> 17.12.1944 00:43 </t>
  </si>
  <si>
    <t> -0.07 </t>
  </si>
  <si>
    <t>2433302.30 </t>
  </si>
  <si>
    <t> 20.01.1950 19:12 </t>
  </si>
  <si>
    <t> 0.06 </t>
  </si>
  <si>
    <t>2454092.6508 </t>
  </si>
  <si>
    <t> 23.12.2006 03:37 </t>
  </si>
  <si>
    <t> 0.3044 </t>
  </si>
  <si>
    <t>C </t>
  </si>
  <si>
    <t>-I</t>
  </si>
  <si>
    <t> F. Agerer </t>
  </si>
  <si>
    <t>BAVM 183 </t>
  </si>
  <si>
    <t>2455578.2928 </t>
  </si>
  <si>
    <t> 16.01.2011 19:01 </t>
  </si>
  <si>
    <t>9493</t>
  </si>
  <si>
    <t> 0.3208 </t>
  </si>
  <si>
    <t> F.Agerer </t>
  </si>
  <si>
    <t>BAVM 215 </t>
  </si>
  <si>
    <t>2457061.0682 </t>
  </si>
  <si>
    <t> 07.02.2015 13:38 </t>
  </si>
  <si>
    <t>10007</t>
  </si>
  <si>
    <t> 0.3552 </t>
  </si>
  <si>
    <t> W.Moschner &amp; P.Frank </t>
  </si>
  <si>
    <t>BAVM 241 (=IBVS 6157) </t>
  </si>
  <si>
    <t>I</t>
  </si>
  <si>
    <t>BAD?</t>
  </si>
  <si>
    <t>IBVS 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</si>
</sst>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9" fillId="0" borderId="0" xfId="0" applyFont="1">
      <alignment vertical="top"/>
    </xf>
    <xf numFmtId="0" fontId="19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FQ Gem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121</c:v>
                </c:pt>
                <c:pt idx="4">
                  <c:v>140</c:v>
                </c:pt>
                <c:pt idx="5">
                  <c:v>233</c:v>
                </c:pt>
                <c:pt idx="6">
                  <c:v>1126</c:v>
                </c:pt>
                <c:pt idx="7">
                  <c:v>1771</c:v>
                </c:pt>
                <c:pt idx="8">
                  <c:v>8978</c:v>
                </c:pt>
                <c:pt idx="9">
                  <c:v>9493</c:v>
                </c:pt>
                <c:pt idx="10">
                  <c:v>10007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DD-4ED5-858A-28F2E7604B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121</c:v>
                </c:pt>
                <c:pt idx="4">
                  <c:v>140</c:v>
                </c:pt>
                <c:pt idx="5">
                  <c:v>233</c:v>
                </c:pt>
                <c:pt idx="6">
                  <c:v>1126</c:v>
                </c:pt>
                <c:pt idx="7">
                  <c:v>1771</c:v>
                </c:pt>
                <c:pt idx="8">
                  <c:v>8978</c:v>
                </c:pt>
                <c:pt idx="9">
                  <c:v>9493</c:v>
                </c:pt>
                <c:pt idx="10">
                  <c:v>10007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-9.9999999983992893E-3</c:v>
                </c:pt>
                <c:pt idx="2">
                  <c:v>-1.4779999997699633E-2</c:v>
                </c:pt>
                <c:pt idx="3">
                  <c:v>-1.990999999907217E-2</c:v>
                </c:pt>
                <c:pt idx="4">
                  <c:v>3.0600000001868466E-2</c:v>
                </c:pt>
                <c:pt idx="5">
                  <c:v>3.2570000003033783E-2</c:v>
                </c:pt>
                <c:pt idx="6">
                  <c:v>-7.3459999999613501E-2</c:v>
                </c:pt>
                <c:pt idx="7">
                  <c:v>5.859000000054948E-2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DD-4ED5-858A-28F2E7604B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121</c:v>
                </c:pt>
                <c:pt idx="4">
                  <c:v>140</c:v>
                </c:pt>
                <c:pt idx="5">
                  <c:v>233</c:v>
                </c:pt>
                <c:pt idx="6">
                  <c:v>1126</c:v>
                </c:pt>
                <c:pt idx="7">
                  <c:v>1771</c:v>
                </c:pt>
                <c:pt idx="8">
                  <c:v>8978</c:v>
                </c:pt>
                <c:pt idx="9">
                  <c:v>9493</c:v>
                </c:pt>
                <c:pt idx="10">
                  <c:v>10007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8">
                  <c:v>0.30442000000039116</c:v>
                </c:pt>
                <c:pt idx="9">
                  <c:v>0.32076999999844702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DD-4ED5-858A-28F2E7604B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121</c:v>
                </c:pt>
                <c:pt idx="4">
                  <c:v>140</c:v>
                </c:pt>
                <c:pt idx="5">
                  <c:v>233</c:v>
                </c:pt>
                <c:pt idx="6">
                  <c:v>1126</c:v>
                </c:pt>
                <c:pt idx="7">
                  <c:v>1771</c:v>
                </c:pt>
                <c:pt idx="8">
                  <c:v>8978</c:v>
                </c:pt>
                <c:pt idx="9">
                  <c:v>9493</c:v>
                </c:pt>
                <c:pt idx="10">
                  <c:v>10007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0">
                  <c:v>0.35523000000102911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DD-4ED5-858A-28F2E7604B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121</c:v>
                </c:pt>
                <c:pt idx="4">
                  <c:v>140</c:v>
                </c:pt>
                <c:pt idx="5">
                  <c:v>233</c:v>
                </c:pt>
                <c:pt idx="6">
                  <c:v>1126</c:v>
                </c:pt>
                <c:pt idx="7">
                  <c:v>1771</c:v>
                </c:pt>
                <c:pt idx="8">
                  <c:v>8978</c:v>
                </c:pt>
                <c:pt idx="9">
                  <c:v>9493</c:v>
                </c:pt>
                <c:pt idx="10">
                  <c:v>10007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DD-4ED5-858A-28F2E7604B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121</c:v>
                </c:pt>
                <c:pt idx="4">
                  <c:v>140</c:v>
                </c:pt>
                <c:pt idx="5">
                  <c:v>233</c:v>
                </c:pt>
                <c:pt idx="6">
                  <c:v>1126</c:v>
                </c:pt>
                <c:pt idx="7">
                  <c:v>1771</c:v>
                </c:pt>
                <c:pt idx="8">
                  <c:v>8978</c:v>
                </c:pt>
                <c:pt idx="9">
                  <c:v>9493</c:v>
                </c:pt>
                <c:pt idx="10">
                  <c:v>10007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DD-4ED5-858A-28F2E7604B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1.9E-3</c:v>
                  </c:pt>
                  <c:pt idx="9">
                    <c:v>1.1000000000000001E-3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121</c:v>
                </c:pt>
                <c:pt idx="4">
                  <c:v>140</c:v>
                </c:pt>
                <c:pt idx="5">
                  <c:v>233</c:v>
                </c:pt>
                <c:pt idx="6">
                  <c:v>1126</c:v>
                </c:pt>
                <c:pt idx="7">
                  <c:v>1771</c:v>
                </c:pt>
                <c:pt idx="8">
                  <c:v>8978</c:v>
                </c:pt>
                <c:pt idx="9">
                  <c:v>9493</c:v>
                </c:pt>
                <c:pt idx="10">
                  <c:v>10007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DD-4ED5-858A-28F2E7604B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121</c:v>
                </c:pt>
                <c:pt idx="4">
                  <c:v>140</c:v>
                </c:pt>
                <c:pt idx="5">
                  <c:v>233</c:v>
                </c:pt>
                <c:pt idx="6">
                  <c:v>1126</c:v>
                </c:pt>
                <c:pt idx="7">
                  <c:v>1771</c:v>
                </c:pt>
                <c:pt idx="8">
                  <c:v>8978</c:v>
                </c:pt>
                <c:pt idx="9">
                  <c:v>9493</c:v>
                </c:pt>
                <c:pt idx="10">
                  <c:v>10007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-1.3720094292053911E-2</c:v>
                </c:pt>
                <c:pt idx="1">
                  <c:v>-1.3720094292053911E-2</c:v>
                </c:pt>
                <c:pt idx="2">
                  <c:v>-1.3079421959441364E-2</c:v>
                </c:pt>
                <c:pt idx="3">
                  <c:v>-9.4133525006028992E-3</c:v>
                </c:pt>
                <c:pt idx="4">
                  <c:v>-8.7370872606229878E-3</c:v>
                </c:pt>
                <c:pt idx="5">
                  <c:v>-5.426946875458161E-3</c:v>
                </c:pt>
                <c:pt idx="6">
                  <c:v>2.6357519403597651E-2</c:v>
                </c:pt>
                <c:pt idx="7">
                  <c:v>4.9314944655547269E-2</c:v>
                </c:pt>
                <c:pt idx="8">
                  <c:v>0.30583302805213769</c:v>
                </c:pt>
                <c:pt idx="9">
                  <c:v>0.32416337534633005</c:v>
                </c:pt>
                <c:pt idx="10">
                  <c:v>0.34245812973315498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DD-4ED5-858A-28F2E7604B8A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121</c:v>
                </c:pt>
                <c:pt idx="4">
                  <c:v>140</c:v>
                </c:pt>
                <c:pt idx="5">
                  <c:v>233</c:v>
                </c:pt>
                <c:pt idx="6">
                  <c:v>1126</c:v>
                </c:pt>
                <c:pt idx="7">
                  <c:v>1771</c:v>
                </c:pt>
                <c:pt idx="8">
                  <c:v>8978</c:v>
                </c:pt>
                <c:pt idx="9">
                  <c:v>9493</c:v>
                </c:pt>
                <c:pt idx="10">
                  <c:v>10007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DD-4ED5-858A-28F2E7604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295280"/>
        <c:axId val="1"/>
      </c:scatterChart>
      <c:valAx>
        <c:axId val="874295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295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368421052631578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E4C410-BD4E-5770-3143-0C3D08D17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x14ac:dyDescent="0.2">
      <c r="A2" t="s">
        <v>24</v>
      </c>
      <c r="B2" t="s">
        <v>36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28193.42</v>
      </c>
      <c r="D4" s="9">
        <v>2.8847100000000001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28193.42</v>
      </c>
    </row>
    <row r="8" spans="1:6" x14ac:dyDescent="0.2">
      <c r="A8" t="s">
        <v>3</v>
      </c>
      <c r="C8">
        <f>+D4</f>
        <v>2.8847100000000001</v>
      </c>
    </row>
    <row r="9" spans="1:6" x14ac:dyDescent="0.2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-1.3720094292053911E-2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3.5592907367363734E-5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57061.05542812973</v>
      </c>
      <c r="E15" s="3"/>
      <c r="F15" s="12"/>
    </row>
    <row r="16" spans="1:6" x14ac:dyDescent="0.2">
      <c r="A16" s="18" t="s">
        <v>4</v>
      </c>
      <c r="B16" s="12"/>
      <c r="C16" s="19">
        <f ca="1">+C8+C12</f>
        <v>2.8847455929073673</v>
      </c>
      <c r="E16" s="12"/>
      <c r="F16" s="12"/>
    </row>
    <row r="17" spans="1:21" ht="13.5" thickBot="1" x14ac:dyDescent="0.25">
      <c r="A17" s="16" t="s">
        <v>28</v>
      </c>
      <c r="B17" s="12"/>
      <c r="C17" s="12">
        <f>COUNT(C21:C2191)</f>
        <v>11</v>
      </c>
      <c r="E17" s="16" t="s">
        <v>31</v>
      </c>
      <c r="F17" s="17">
        <f ca="1">TODAY()+15018.5-B5/24</f>
        <v>60351.5</v>
      </c>
    </row>
    <row r="18" spans="1:21" ht="14.25" thickTop="1" thickBot="1" x14ac:dyDescent="0.25">
      <c r="A18" s="18" t="s">
        <v>5</v>
      </c>
      <c r="B18" s="12"/>
      <c r="C18" s="21">
        <f ca="1">+C15</f>
        <v>57061.05542812973</v>
      </c>
      <c r="D18" s="22">
        <f ca="1">+C16</f>
        <v>2.8847455929073673</v>
      </c>
      <c r="E18" s="16" t="s">
        <v>32</v>
      </c>
      <c r="F18" s="17">
        <f ca="1">ROUND(2*(F17-C15)/C16,0)/2+1</f>
        <v>1141.5</v>
      </c>
    </row>
    <row r="19" spans="1:21" ht="13.5" thickTop="1" x14ac:dyDescent="0.2">
      <c r="E19" s="16" t="s">
        <v>33</v>
      </c>
      <c r="F19" s="20">
        <f ca="1">+C15+C16*F18-15018.5-C5/24</f>
        <v>45335.888355766823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49</v>
      </c>
      <c r="J20" s="7" t="s">
        <v>43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45" t="s">
        <v>92</v>
      </c>
    </row>
    <row r="21" spans="1:21" x14ac:dyDescent="0.2">
      <c r="A21" s="42" t="s">
        <v>55</v>
      </c>
      <c r="B21" s="44" t="s">
        <v>91</v>
      </c>
      <c r="C21" s="43">
        <v>28193.41</v>
      </c>
      <c r="D21" s="43" t="s">
        <v>49</v>
      </c>
      <c r="E21">
        <f t="shared" ref="E21:E31" si="0">+(C21-C$7)/C$8</f>
        <v>-3.4665529631745613E-3</v>
      </c>
      <c r="F21">
        <f t="shared" ref="F21:F31" si="1">ROUND(2*E21,0)/2</f>
        <v>0</v>
      </c>
      <c r="G21">
        <f t="shared" ref="G21:G31" si="2">+C21-(C$7+F21*C$8)</f>
        <v>-9.9999999983992893E-3</v>
      </c>
      <c r="I21">
        <f>+G21</f>
        <v>-9.9999999983992893E-3</v>
      </c>
      <c r="O21">
        <f t="shared" ref="O21:O31" ca="1" si="3">+C$11+C$12*$F21</f>
        <v>-1.3720094292053911E-2</v>
      </c>
      <c r="Q21" s="2">
        <f t="shared" ref="Q21:Q31" si="4">+C21-15018.5</f>
        <v>13174.91</v>
      </c>
    </row>
    <row r="22" spans="1:21" x14ac:dyDescent="0.2">
      <c r="A22" t="s">
        <v>12</v>
      </c>
      <c r="C22" s="10">
        <v>28193.42</v>
      </c>
      <c r="D22" s="10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 t="shared" ref="H21:H28" si="5">+G22</f>
        <v>0</v>
      </c>
      <c r="O22">
        <f t="shared" ca="1" si="3"/>
        <v>-1.3720094292053911E-2</v>
      </c>
      <c r="Q22" s="2">
        <f t="shared" si="4"/>
        <v>13174.919999999998</v>
      </c>
    </row>
    <row r="23" spans="1:21" x14ac:dyDescent="0.2">
      <c r="A23" s="42" t="s">
        <v>55</v>
      </c>
      <c r="B23" s="44" t="s">
        <v>91</v>
      </c>
      <c r="C23" s="43">
        <v>28245.33</v>
      </c>
      <c r="D23" s="43" t="s">
        <v>49</v>
      </c>
      <c r="E23">
        <f t="shared" si="0"/>
        <v>17.994876434720819</v>
      </c>
      <c r="F23">
        <f t="shared" si="1"/>
        <v>18</v>
      </c>
      <c r="G23">
        <f t="shared" si="2"/>
        <v>-1.4779999997699633E-2</v>
      </c>
      <c r="I23">
        <f>+G23</f>
        <v>-1.4779999997699633E-2</v>
      </c>
      <c r="O23">
        <f t="shared" ca="1" si="3"/>
        <v>-1.3079421959441364E-2</v>
      </c>
      <c r="Q23" s="2">
        <f t="shared" si="4"/>
        <v>13226.830000000002</v>
      </c>
    </row>
    <row r="24" spans="1:21" x14ac:dyDescent="0.2">
      <c r="A24" s="42" t="s">
        <v>55</v>
      </c>
      <c r="B24" s="44" t="s">
        <v>91</v>
      </c>
      <c r="C24" s="43">
        <v>28542.45</v>
      </c>
      <c r="D24" s="43" t="s">
        <v>49</v>
      </c>
      <c r="E24">
        <f t="shared" si="0"/>
        <v>120.99309809305007</v>
      </c>
      <c r="F24">
        <f t="shared" si="1"/>
        <v>121</v>
      </c>
      <c r="G24">
        <f t="shared" si="2"/>
        <v>-1.990999999907217E-2</v>
      </c>
      <c r="I24">
        <f>+G24</f>
        <v>-1.990999999907217E-2</v>
      </c>
      <c r="O24">
        <f t="shared" ca="1" si="3"/>
        <v>-9.4133525006028992E-3</v>
      </c>
      <c r="Q24" s="2">
        <f t="shared" si="4"/>
        <v>13523.95</v>
      </c>
    </row>
    <row r="25" spans="1:21" x14ac:dyDescent="0.2">
      <c r="A25" s="42" t="s">
        <v>55</v>
      </c>
      <c r="B25" s="44" t="s">
        <v>91</v>
      </c>
      <c r="C25" s="43">
        <v>28597.31</v>
      </c>
      <c r="D25" s="43" t="s">
        <v>49</v>
      </c>
      <c r="E25">
        <f t="shared" si="0"/>
        <v>140.01060765207006</v>
      </c>
      <c r="F25">
        <f t="shared" si="1"/>
        <v>140</v>
      </c>
      <c r="G25">
        <f t="shared" si="2"/>
        <v>3.0600000001868466E-2</v>
      </c>
      <c r="I25">
        <f>+G25</f>
        <v>3.0600000001868466E-2</v>
      </c>
      <c r="O25">
        <f t="shared" ca="1" si="3"/>
        <v>-8.7370872606229878E-3</v>
      </c>
      <c r="Q25" s="2">
        <f t="shared" si="4"/>
        <v>13578.810000000001</v>
      </c>
    </row>
    <row r="26" spans="1:21" x14ac:dyDescent="0.2">
      <c r="A26" s="42" t="s">
        <v>55</v>
      </c>
      <c r="B26" s="44" t="s">
        <v>91</v>
      </c>
      <c r="C26" s="43">
        <v>28865.59</v>
      </c>
      <c r="D26" s="43" t="s">
        <v>49</v>
      </c>
      <c r="E26">
        <f t="shared" si="0"/>
        <v>233.01129056300351</v>
      </c>
      <c r="F26">
        <f t="shared" si="1"/>
        <v>233</v>
      </c>
      <c r="G26">
        <f t="shared" si="2"/>
        <v>3.2570000003033783E-2</v>
      </c>
      <c r="I26">
        <f>+G26</f>
        <v>3.2570000003033783E-2</v>
      </c>
      <c r="O26">
        <f t="shared" ca="1" si="3"/>
        <v>-5.426946875458161E-3</v>
      </c>
      <c r="Q26" s="2">
        <f t="shared" si="4"/>
        <v>13847.09</v>
      </c>
    </row>
    <row r="27" spans="1:21" x14ac:dyDescent="0.2">
      <c r="A27" s="42" t="s">
        <v>55</v>
      </c>
      <c r="B27" s="44" t="s">
        <v>91</v>
      </c>
      <c r="C27" s="43">
        <v>31441.53</v>
      </c>
      <c r="D27" s="43" t="s">
        <v>49</v>
      </c>
      <c r="E27">
        <f t="shared" si="0"/>
        <v>1125.9745347019286</v>
      </c>
      <c r="F27">
        <f t="shared" si="1"/>
        <v>1126</v>
      </c>
      <c r="G27">
        <f t="shared" si="2"/>
        <v>-7.3459999999613501E-2</v>
      </c>
      <c r="I27">
        <f>+G27</f>
        <v>-7.3459999999613501E-2</v>
      </c>
      <c r="O27">
        <f t="shared" ca="1" si="3"/>
        <v>2.6357519403597651E-2</v>
      </c>
      <c r="Q27" s="2">
        <f t="shared" si="4"/>
        <v>16423.03</v>
      </c>
    </row>
    <row r="28" spans="1:21" x14ac:dyDescent="0.2">
      <c r="A28" s="42" t="s">
        <v>55</v>
      </c>
      <c r="B28" s="44" t="s">
        <v>91</v>
      </c>
      <c r="C28" s="43">
        <v>33302.300000000003</v>
      </c>
      <c r="D28" s="43" t="s">
        <v>49</v>
      </c>
      <c r="E28">
        <f t="shared" si="0"/>
        <v>1771.020310533816</v>
      </c>
      <c r="F28">
        <f t="shared" si="1"/>
        <v>1771</v>
      </c>
      <c r="G28">
        <f t="shared" si="2"/>
        <v>5.859000000054948E-2</v>
      </c>
      <c r="I28">
        <f>+G28</f>
        <v>5.859000000054948E-2</v>
      </c>
      <c r="O28">
        <f t="shared" ca="1" si="3"/>
        <v>4.9314944655547269E-2</v>
      </c>
      <c r="Q28" s="2">
        <f t="shared" si="4"/>
        <v>18283.800000000003</v>
      </c>
    </row>
    <row r="29" spans="1:21" x14ac:dyDescent="0.2">
      <c r="A29" t="s">
        <v>37</v>
      </c>
      <c r="C29" s="10">
        <v>54092.650800000003</v>
      </c>
      <c r="D29" s="10">
        <v>1.9E-3</v>
      </c>
      <c r="E29">
        <f t="shared" si="0"/>
        <v>8978.105528805323</v>
      </c>
      <c r="F29">
        <f t="shared" si="1"/>
        <v>8978</v>
      </c>
      <c r="G29">
        <f t="shared" si="2"/>
        <v>0.30442000000039116</v>
      </c>
      <c r="J29">
        <f>+G29</f>
        <v>0.30442000000039116</v>
      </c>
      <c r="O29">
        <f t="shared" ca="1" si="3"/>
        <v>0.30583302805213769</v>
      </c>
      <c r="Q29" s="2">
        <f t="shared" si="4"/>
        <v>39074.150800000003</v>
      </c>
    </row>
    <row r="30" spans="1:21" x14ac:dyDescent="0.2">
      <c r="A30" s="48" t="s">
        <v>38</v>
      </c>
      <c r="B30" s="48"/>
      <c r="C30" s="49">
        <v>55578.292800000003</v>
      </c>
      <c r="D30" s="49">
        <v>1.1000000000000001E-3</v>
      </c>
      <c r="E30">
        <f t="shared" si="0"/>
        <v>9493.1111966194185</v>
      </c>
      <c r="F30">
        <f t="shared" si="1"/>
        <v>9493</v>
      </c>
      <c r="G30">
        <f t="shared" si="2"/>
        <v>0.32076999999844702</v>
      </c>
      <c r="J30">
        <f>+G30</f>
        <v>0.32076999999844702</v>
      </c>
      <c r="O30">
        <f t="shared" ca="1" si="3"/>
        <v>0.32416337534633005</v>
      </c>
      <c r="Q30" s="2">
        <f t="shared" si="4"/>
        <v>40559.792800000003</v>
      </c>
    </row>
    <row r="31" spans="1:21" x14ac:dyDescent="0.2">
      <c r="A31" s="46" t="s">
        <v>93</v>
      </c>
      <c r="B31" s="47" t="s">
        <v>91</v>
      </c>
      <c r="C31" s="28">
        <v>57061.068200000002</v>
      </c>
      <c r="D31" s="28">
        <v>8.0000000000000004E-4</v>
      </c>
      <c r="E31">
        <f t="shared" si="0"/>
        <v>10007.123142360932</v>
      </c>
      <c r="F31">
        <f t="shared" si="1"/>
        <v>10007</v>
      </c>
      <c r="G31">
        <f t="shared" si="2"/>
        <v>0.35523000000102911</v>
      </c>
      <c r="K31">
        <f>+G31</f>
        <v>0.35523000000102911</v>
      </c>
      <c r="O31">
        <f t="shared" ca="1" si="3"/>
        <v>0.34245812973315498</v>
      </c>
      <c r="Q31" s="2">
        <f t="shared" si="4"/>
        <v>42042.568200000002</v>
      </c>
    </row>
    <row r="32" spans="1:21" x14ac:dyDescent="0.2">
      <c r="B32" s="3"/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1"/>
  <sheetViews>
    <sheetView workbookViewId="0">
      <selection activeCell="A13" sqref="A13:D20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29" t="s">
        <v>39</v>
      </c>
      <c r="I1" s="30" t="s">
        <v>40</v>
      </c>
      <c r="J1" s="31" t="s">
        <v>41</v>
      </c>
    </row>
    <row r="2" spans="1:16" x14ac:dyDescent="0.2">
      <c r="I2" s="32" t="s">
        <v>42</v>
      </c>
      <c r="J2" s="33" t="s">
        <v>43</v>
      </c>
    </row>
    <row r="3" spans="1:16" x14ac:dyDescent="0.2">
      <c r="A3" s="34" t="s">
        <v>44</v>
      </c>
      <c r="I3" s="32" t="s">
        <v>45</v>
      </c>
      <c r="J3" s="33" t="s">
        <v>46</v>
      </c>
    </row>
    <row r="4" spans="1:16" x14ac:dyDescent="0.2">
      <c r="I4" s="32" t="s">
        <v>47</v>
      </c>
      <c r="J4" s="33" t="s">
        <v>46</v>
      </c>
    </row>
    <row r="5" spans="1:16" ht="13.5" thickBot="1" x14ac:dyDescent="0.25">
      <c r="I5" s="35" t="s">
        <v>48</v>
      </c>
      <c r="J5" s="36" t="s">
        <v>49</v>
      </c>
    </row>
    <row r="10" spans="1:16" ht="13.5" thickBot="1" x14ac:dyDescent="0.25"/>
    <row r="11" spans="1:16" ht="12.75" customHeight="1" thickBot="1" x14ac:dyDescent="0.25">
      <c r="A11" s="10" t="str">
        <f t="shared" ref="A11:A20" si="0">P11</f>
        <v>BAVM 183 </v>
      </c>
      <c r="B11" s="3" t="str">
        <f t="shared" ref="B11:B20" si="1">IF(H11=INT(H11),"I","II")</f>
        <v>I</v>
      </c>
      <c r="C11" s="10">
        <f t="shared" ref="C11:C20" si="2">1*G11</f>
        <v>54092.650800000003</v>
      </c>
      <c r="D11" s="12" t="str">
        <f t="shared" ref="D11:D20" si="3">VLOOKUP(F11,I$1:J$5,2,FALSE)</f>
        <v>vis</v>
      </c>
      <c r="E11" s="37">
        <f>VLOOKUP(C11,Active!C$21:E$973,3,FALSE)</f>
        <v>8978.105528805323</v>
      </c>
      <c r="F11" s="3" t="s">
        <v>48</v>
      </c>
      <c r="G11" s="12" t="str">
        <f t="shared" ref="G11:G20" si="4">MID(I11,3,LEN(I11)-3)</f>
        <v>54092.6508</v>
      </c>
      <c r="H11" s="10">
        <f t="shared" ref="H11:H20" si="5">1*K11</f>
        <v>8978</v>
      </c>
      <c r="I11" s="38" t="s">
        <v>72</v>
      </c>
      <c r="J11" s="39" t="s">
        <v>73</v>
      </c>
      <c r="K11" s="38">
        <v>8978</v>
      </c>
      <c r="L11" s="38" t="s">
        <v>74</v>
      </c>
      <c r="M11" s="39" t="s">
        <v>75</v>
      </c>
      <c r="N11" s="39" t="s">
        <v>76</v>
      </c>
      <c r="O11" s="40" t="s">
        <v>77</v>
      </c>
      <c r="P11" s="41" t="s">
        <v>78</v>
      </c>
    </row>
    <row r="12" spans="1:16" ht="12.75" customHeight="1" thickBot="1" x14ac:dyDescent="0.25">
      <c r="A12" s="10" t="str">
        <f t="shared" si="0"/>
        <v>BAVM 215 </v>
      </c>
      <c r="B12" s="3" t="str">
        <f t="shared" si="1"/>
        <v>I</v>
      </c>
      <c r="C12" s="10">
        <f t="shared" si="2"/>
        <v>55578.292800000003</v>
      </c>
      <c r="D12" s="12" t="str">
        <f t="shared" si="3"/>
        <v>vis</v>
      </c>
      <c r="E12" s="37">
        <f>VLOOKUP(C12,Active!C$21:E$973,3,FALSE)</f>
        <v>9493.1111966194185</v>
      </c>
      <c r="F12" s="3" t="s">
        <v>48</v>
      </c>
      <c r="G12" s="12" t="str">
        <f t="shared" si="4"/>
        <v>55578.2928</v>
      </c>
      <c r="H12" s="10">
        <f t="shared" si="5"/>
        <v>9493</v>
      </c>
      <c r="I12" s="38" t="s">
        <v>79</v>
      </c>
      <c r="J12" s="39" t="s">
        <v>80</v>
      </c>
      <c r="K12" s="38" t="s">
        <v>81</v>
      </c>
      <c r="L12" s="38" t="s">
        <v>82</v>
      </c>
      <c r="M12" s="39" t="s">
        <v>75</v>
      </c>
      <c r="N12" s="39" t="s">
        <v>76</v>
      </c>
      <c r="O12" s="40" t="s">
        <v>83</v>
      </c>
      <c r="P12" s="41" t="s">
        <v>84</v>
      </c>
    </row>
    <row r="13" spans="1:16" ht="12.75" customHeight="1" thickBot="1" x14ac:dyDescent="0.25">
      <c r="A13" s="10" t="str">
        <f t="shared" si="0"/>
        <v> VSS 2.73 </v>
      </c>
      <c r="B13" s="3" t="str">
        <f t="shared" si="1"/>
        <v>I</v>
      </c>
      <c r="C13" s="10">
        <f t="shared" si="2"/>
        <v>28193.41</v>
      </c>
      <c r="D13" s="12" t="str">
        <f t="shared" si="3"/>
        <v>vis</v>
      </c>
      <c r="E13" s="37">
        <f>VLOOKUP(C13,Active!C$21:E$973,3,FALSE)</f>
        <v>-3.4665529631745613E-3</v>
      </c>
      <c r="F13" s="3" t="s">
        <v>48</v>
      </c>
      <c r="G13" s="12" t="str">
        <f t="shared" si="4"/>
        <v>28193.41</v>
      </c>
      <c r="H13" s="10">
        <f t="shared" si="5"/>
        <v>0</v>
      </c>
      <c r="I13" s="38" t="s">
        <v>50</v>
      </c>
      <c r="J13" s="39" t="s">
        <v>51</v>
      </c>
      <c r="K13" s="38">
        <v>0</v>
      </c>
      <c r="L13" s="38" t="s">
        <v>52</v>
      </c>
      <c r="M13" s="39" t="s">
        <v>53</v>
      </c>
      <c r="N13" s="39"/>
      <c r="O13" s="40" t="s">
        <v>54</v>
      </c>
      <c r="P13" s="40" t="s">
        <v>55</v>
      </c>
    </row>
    <row r="14" spans="1:16" ht="12.75" customHeight="1" thickBot="1" x14ac:dyDescent="0.25">
      <c r="A14" s="10" t="str">
        <f t="shared" si="0"/>
        <v> VSS 2.73 </v>
      </c>
      <c r="B14" s="3" t="str">
        <f t="shared" si="1"/>
        <v>I</v>
      </c>
      <c r="C14" s="10">
        <f t="shared" si="2"/>
        <v>28245.33</v>
      </c>
      <c r="D14" s="12" t="str">
        <f t="shared" si="3"/>
        <v>vis</v>
      </c>
      <c r="E14" s="37">
        <f>VLOOKUP(C14,Active!C$21:E$973,3,FALSE)</f>
        <v>17.994876434720819</v>
      </c>
      <c r="F14" s="3" t="s">
        <v>48</v>
      </c>
      <c r="G14" s="12" t="str">
        <f t="shared" si="4"/>
        <v>28245.33</v>
      </c>
      <c r="H14" s="10">
        <f t="shared" si="5"/>
        <v>18</v>
      </c>
      <c r="I14" s="38" t="s">
        <v>56</v>
      </c>
      <c r="J14" s="39" t="s">
        <v>57</v>
      </c>
      <c r="K14" s="38">
        <v>18</v>
      </c>
      <c r="L14" s="38" t="s">
        <v>52</v>
      </c>
      <c r="M14" s="39" t="s">
        <v>53</v>
      </c>
      <c r="N14" s="39"/>
      <c r="O14" s="40" t="s">
        <v>54</v>
      </c>
      <c r="P14" s="40" t="s">
        <v>55</v>
      </c>
    </row>
    <row r="15" spans="1:16" ht="12.75" customHeight="1" thickBot="1" x14ac:dyDescent="0.25">
      <c r="A15" s="10" t="str">
        <f t="shared" si="0"/>
        <v> VSS 2.73 </v>
      </c>
      <c r="B15" s="3" t="str">
        <f t="shared" si="1"/>
        <v>I</v>
      </c>
      <c r="C15" s="10">
        <f t="shared" si="2"/>
        <v>28542.45</v>
      </c>
      <c r="D15" s="12" t="str">
        <f t="shared" si="3"/>
        <v>vis</v>
      </c>
      <c r="E15" s="37">
        <f>VLOOKUP(C15,Active!C$21:E$973,3,FALSE)</f>
        <v>120.99309809305007</v>
      </c>
      <c r="F15" s="3" t="s">
        <v>48</v>
      </c>
      <c r="G15" s="12" t="str">
        <f t="shared" si="4"/>
        <v>28542.45</v>
      </c>
      <c r="H15" s="10">
        <f t="shared" si="5"/>
        <v>121</v>
      </c>
      <c r="I15" s="38" t="s">
        <v>58</v>
      </c>
      <c r="J15" s="39" t="s">
        <v>59</v>
      </c>
      <c r="K15" s="38">
        <v>121</v>
      </c>
      <c r="L15" s="38" t="s">
        <v>60</v>
      </c>
      <c r="M15" s="39" t="s">
        <v>53</v>
      </c>
      <c r="N15" s="39"/>
      <c r="O15" s="40" t="s">
        <v>54</v>
      </c>
      <c r="P15" s="40" t="s">
        <v>55</v>
      </c>
    </row>
    <row r="16" spans="1:16" ht="12.75" customHeight="1" thickBot="1" x14ac:dyDescent="0.25">
      <c r="A16" s="10" t="str">
        <f t="shared" si="0"/>
        <v> VSS 2.73 </v>
      </c>
      <c r="B16" s="3" t="str">
        <f t="shared" si="1"/>
        <v>I</v>
      </c>
      <c r="C16" s="10">
        <f t="shared" si="2"/>
        <v>28597.31</v>
      </c>
      <c r="D16" s="12" t="str">
        <f t="shared" si="3"/>
        <v>vis</v>
      </c>
      <c r="E16" s="37">
        <f>VLOOKUP(C16,Active!C$21:E$973,3,FALSE)</f>
        <v>140.01060765207006</v>
      </c>
      <c r="F16" s="3" t="s">
        <v>48</v>
      </c>
      <c r="G16" s="12" t="str">
        <f t="shared" si="4"/>
        <v>28597.31</v>
      </c>
      <c r="H16" s="10">
        <f t="shared" si="5"/>
        <v>140</v>
      </c>
      <c r="I16" s="38" t="s">
        <v>61</v>
      </c>
      <c r="J16" s="39" t="s">
        <v>62</v>
      </c>
      <c r="K16" s="38">
        <v>140</v>
      </c>
      <c r="L16" s="38" t="s">
        <v>63</v>
      </c>
      <c r="M16" s="39" t="s">
        <v>53</v>
      </c>
      <c r="N16" s="39"/>
      <c r="O16" s="40" t="s">
        <v>54</v>
      </c>
      <c r="P16" s="40" t="s">
        <v>55</v>
      </c>
    </row>
    <row r="17" spans="1:16" ht="12.75" customHeight="1" thickBot="1" x14ac:dyDescent="0.25">
      <c r="A17" s="10" t="str">
        <f t="shared" si="0"/>
        <v> VSS 2.73 </v>
      </c>
      <c r="B17" s="3" t="str">
        <f t="shared" si="1"/>
        <v>I</v>
      </c>
      <c r="C17" s="10">
        <f t="shared" si="2"/>
        <v>28865.59</v>
      </c>
      <c r="D17" s="12" t="str">
        <f t="shared" si="3"/>
        <v>vis</v>
      </c>
      <c r="E17" s="37">
        <f>VLOOKUP(C17,Active!C$21:E$973,3,FALSE)</f>
        <v>233.01129056300351</v>
      </c>
      <c r="F17" s="3" t="s">
        <v>48</v>
      </c>
      <c r="G17" s="12" t="str">
        <f t="shared" si="4"/>
        <v>28865.59</v>
      </c>
      <c r="H17" s="10">
        <f t="shared" si="5"/>
        <v>233</v>
      </c>
      <c r="I17" s="38" t="s">
        <v>64</v>
      </c>
      <c r="J17" s="39" t="s">
        <v>65</v>
      </c>
      <c r="K17" s="38">
        <v>233</v>
      </c>
      <c r="L17" s="38" t="s">
        <v>63</v>
      </c>
      <c r="M17" s="39" t="s">
        <v>53</v>
      </c>
      <c r="N17" s="39"/>
      <c r="O17" s="40" t="s">
        <v>54</v>
      </c>
      <c r="P17" s="40" t="s">
        <v>55</v>
      </c>
    </row>
    <row r="18" spans="1:16" ht="12.75" customHeight="1" thickBot="1" x14ac:dyDescent="0.25">
      <c r="A18" s="10" t="str">
        <f t="shared" si="0"/>
        <v> VSS 2.73 </v>
      </c>
      <c r="B18" s="3" t="str">
        <f t="shared" si="1"/>
        <v>I</v>
      </c>
      <c r="C18" s="10">
        <f t="shared" si="2"/>
        <v>31441.53</v>
      </c>
      <c r="D18" s="12" t="str">
        <f t="shared" si="3"/>
        <v>vis</v>
      </c>
      <c r="E18" s="37">
        <f>VLOOKUP(C18,Active!C$21:E$973,3,FALSE)</f>
        <v>1125.9745347019286</v>
      </c>
      <c r="F18" s="3" t="s">
        <v>48</v>
      </c>
      <c r="G18" s="12" t="str">
        <f t="shared" si="4"/>
        <v>31441.53</v>
      </c>
      <c r="H18" s="10">
        <f t="shared" si="5"/>
        <v>1126</v>
      </c>
      <c r="I18" s="38" t="s">
        <v>66</v>
      </c>
      <c r="J18" s="39" t="s">
        <v>67</v>
      </c>
      <c r="K18" s="38">
        <v>1126</v>
      </c>
      <c r="L18" s="38" t="s">
        <v>68</v>
      </c>
      <c r="M18" s="39" t="s">
        <v>53</v>
      </c>
      <c r="N18" s="39"/>
      <c r="O18" s="40" t="s">
        <v>54</v>
      </c>
      <c r="P18" s="40" t="s">
        <v>55</v>
      </c>
    </row>
    <row r="19" spans="1:16" ht="12.75" customHeight="1" thickBot="1" x14ac:dyDescent="0.25">
      <c r="A19" s="10" t="str">
        <f t="shared" si="0"/>
        <v> VSS 2.73 </v>
      </c>
      <c r="B19" s="3" t="str">
        <f t="shared" si="1"/>
        <v>I</v>
      </c>
      <c r="C19" s="10">
        <f t="shared" si="2"/>
        <v>33302.300000000003</v>
      </c>
      <c r="D19" s="12" t="str">
        <f t="shared" si="3"/>
        <v>vis</v>
      </c>
      <c r="E19" s="37">
        <f>VLOOKUP(C19,Active!C$21:E$973,3,FALSE)</f>
        <v>1771.020310533816</v>
      </c>
      <c r="F19" s="3" t="s">
        <v>48</v>
      </c>
      <c r="G19" s="12" t="str">
        <f t="shared" si="4"/>
        <v>33302.30</v>
      </c>
      <c r="H19" s="10">
        <f t="shared" si="5"/>
        <v>1771</v>
      </c>
      <c r="I19" s="38" t="s">
        <v>69</v>
      </c>
      <c r="J19" s="39" t="s">
        <v>70</v>
      </c>
      <c r="K19" s="38">
        <v>1771</v>
      </c>
      <c r="L19" s="38" t="s">
        <v>71</v>
      </c>
      <c r="M19" s="39" t="s">
        <v>53</v>
      </c>
      <c r="N19" s="39"/>
      <c r="O19" s="40" t="s">
        <v>54</v>
      </c>
      <c r="P19" s="40" t="s">
        <v>55</v>
      </c>
    </row>
    <row r="20" spans="1:16" ht="12.75" customHeight="1" thickBot="1" x14ac:dyDescent="0.25">
      <c r="A20" s="10" t="str">
        <f t="shared" si="0"/>
        <v>BAVM 241 (=IBVS 6157) </v>
      </c>
      <c r="B20" s="3" t="str">
        <f t="shared" si="1"/>
        <v>I</v>
      </c>
      <c r="C20" s="10">
        <f t="shared" si="2"/>
        <v>57061.068200000002</v>
      </c>
      <c r="D20" s="12" t="str">
        <f t="shared" si="3"/>
        <v>vis</v>
      </c>
      <c r="E20" s="37">
        <f>VLOOKUP(C20,Active!C$21:E$973,3,FALSE)</f>
        <v>10007.123142360932</v>
      </c>
      <c r="F20" s="3" t="s">
        <v>48</v>
      </c>
      <c r="G20" s="12" t="str">
        <f t="shared" si="4"/>
        <v>57061.0682</v>
      </c>
      <c r="H20" s="10">
        <f t="shared" si="5"/>
        <v>10007</v>
      </c>
      <c r="I20" s="38" t="s">
        <v>85</v>
      </c>
      <c r="J20" s="39" t="s">
        <v>86</v>
      </c>
      <c r="K20" s="38" t="s">
        <v>87</v>
      </c>
      <c r="L20" s="38" t="s">
        <v>88</v>
      </c>
      <c r="M20" s="39" t="s">
        <v>75</v>
      </c>
      <c r="N20" s="39" t="s">
        <v>48</v>
      </c>
      <c r="O20" s="40" t="s">
        <v>89</v>
      </c>
      <c r="P20" s="41" t="s">
        <v>90</v>
      </c>
    </row>
    <row r="21" spans="1:16" x14ac:dyDescent="0.2">
      <c r="B21" s="3"/>
      <c r="E21" s="37"/>
      <c r="F21" s="3"/>
    </row>
    <row r="22" spans="1:16" x14ac:dyDescent="0.2">
      <c r="B22" s="3"/>
      <c r="E22" s="37"/>
      <c r="F22" s="3"/>
    </row>
    <row r="23" spans="1:16" x14ac:dyDescent="0.2">
      <c r="B23" s="3"/>
      <c r="E23" s="37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</sheetData>
  <phoneticPr fontId="7" type="noConversion"/>
  <hyperlinks>
    <hyperlink ref="P11" r:id="rId1" display="http://www.bav-astro.de/sfs/BAVM_link.php?BAVMnr=183"/>
    <hyperlink ref="P12" r:id="rId2" display="http://www.bav-astro.de/sfs/BAVM_link.php?BAVMnr=215"/>
    <hyperlink ref="P20" r:id="rId3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2024-02-11T05:08:17Z</dcterms:modified>
</cp:coreProperties>
</file>