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1750AF-E232-45A7-85AE-BC776F311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K61" i="1" s="1"/>
  <c r="Q61" i="1"/>
  <c r="F14" i="1"/>
  <c r="E52" i="1"/>
  <c r="F52" i="1" s="1"/>
  <c r="G52" i="1" s="1"/>
  <c r="K52" i="1" s="1"/>
  <c r="Q52" i="1"/>
  <c r="E54" i="1"/>
  <c r="F54" i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/>
  <c r="G58" i="1" s="1"/>
  <c r="K58" i="1" s="1"/>
  <c r="Q58" i="1"/>
  <c r="E59" i="1"/>
  <c r="F59" i="1" s="1"/>
  <c r="G59" i="1" s="1"/>
  <c r="K59" i="1" s="1"/>
  <c r="Q59" i="1"/>
  <c r="E60" i="1"/>
  <c r="F60" i="1"/>
  <c r="G60" i="1"/>
  <c r="K60" i="1" s="1"/>
  <c r="Q60" i="1"/>
  <c r="C7" i="1"/>
  <c r="E39" i="1"/>
  <c r="F39" i="1" s="1"/>
  <c r="G39" i="1" s="1"/>
  <c r="K39" i="1" s="1"/>
  <c r="C8" i="1"/>
  <c r="D9" i="1"/>
  <c r="C9" i="1"/>
  <c r="E29" i="1"/>
  <c r="F29" i="1"/>
  <c r="E31" i="1"/>
  <c r="F31" i="1"/>
  <c r="E38" i="1"/>
  <c r="F38" i="1" s="1"/>
  <c r="G38" i="1" s="1"/>
  <c r="J38" i="1" s="1"/>
  <c r="E36" i="1"/>
  <c r="F36" i="1" s="1"/>
  <c r="G36" i="1" s="1"/>
  <c r="K36" i="1" s="1"/>
  <c r="E47" i="1"/>
  <c r="F47" i="1"/>
  <c r="E49" i="1"/>
  <c r="F49" i="1"/>
  <c r="Q24" i="1"/>
  <c r="Q25" i="1"/>
  <c r="Q26" i="1"/>
  <c r="Q27" i="1"/>
  <c r="Q51" i="1"/>
  <c r="G28" i="2"/>
  <c r="C28" i="2"/>
  <c r="G34" i="2"/>
  <c r="C34" i="2"/>
  <c r="G27" i="2"/>
  <c r="C27" i="2"/>
  <c r="G26" i="2"/>
  <c r="C26" i="2"/>
  <c r="E26" i="2"/>
  <c r="G25" i="2"/>
  <c r="C25" i="2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E13" i="2"/>
  <c r="G33" i="2"/>
  <c r="C33" i="2"/>
  <c r="E33" i="2"/>
  <c r="G12" i="2"/>
  <c r="C12" i="2"/>
  <c r="G11" i="2"/>
  <c r="C11" i="2"/>
  <c r="G32" i="2"/>
  <c r="C32" i="2"/>
  <c r="G31" i="2"/>
  <c r="C31" i="2"/>
  <c r="G30" i="2"/>
  <c r="C30" i="2"/>
  <c r="G29" i="2"/>
  <c r="C29" i="2"/>
  <c r="H28" i="2"/>
  <c r="D28" i="2"/>
  <c r="B28" i="2"/>
  <c r="A28" i="2"/>
  <c r="H34" i="2"/>
  <c r="D34" i="2"/>
  <c r="B34" i="2"/>
  <c r="A34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33" i="2"/>
  <c r="D33" i="2"/>
  <c r="B33" i="2"/>
  <c r="A33" i="2"/>
  <c r="H12" i="2"/>
  <c r="D12" i="2"/>
  <c r="B12" i="2"/>
  <c r="A12" i="2"/>
  <c r="H11" i="2"/>
  <c r="D11" i="2"/>
  <c r="B11" i="2"/>
  <c r="A11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Q47" i="1"/>
  <c r="Q53" i="1"/>
  <c r="Q46" i="1"/>
  <c r="Q49" i="1"/>
  <c r="Q48" i="1"/>
  <c r="Q50" i="1"/>
  <c r="C17" i="1"/>
  <c r="Q45" i="1"/>
  <c r="Q39" i="1"/>
  <c r="Q40" i="1"/>
  <c r="Q44" i="1"/>
  <c r="Q36" i="1"/>
  <c r="Q41" i="1"/>
  <c r="Q42" i="1"/>
  <c r="Q43" i="1"/>
  <c r="Q31" i="1"/>
  <c r="Q38" i="1"/>
  <c r="Q37" i="1"/>
  <c r="Q32" i="1"/>
  <c r="Q30" i="1"/>
  <c r="Q35" i="1"/>
  <c r="Q34" i="1"/>
  <c r="Q33" i="1"/>
  <c r="Q29" i="1"/>
  <c r="Q22" i="1"/>
  <c r="Q23" i="1"/>
  <c r="Q28" i="1"/>
  <c r="Q21" i="1"/>
  <c r="E20" i="2"/>
  <c r="E19" i="2"/>
  <c r="G47" i="1"/>
  <c r="J47" i="1" s="1"/>
  <c r="E45" i="1"/>
  <c r="F45" i="1"/>
  <c r="G45" i="1" s="1"/>
  <c r="K45" i="1" s="1"/>
  <c r="E35" i="1"/>
  <c r="F35" i="1"/>
  <c r="G29" i="1"/>
  <c r="K29" i="1" s="1"/>
  <c r="E23" i="1"/>
  <c r="F23" i="1"/>
  <c r="G23" i="1" s="1"/>
  <c r="I23" i="1" s="1"/>
  <c r="E24" i="1"/>
  <c r="E29" i="2" s="1"/>
  <c r="F24" i="1"/>
  <c r="E50" i="1"/>
  <c r="F50" i="1"/>
  <c r="G50" i="1"/>
  <c r="J50" i="1" s="1"/>
  <c r="E42" i="1"/>
  <c r="F42" i="1"/>
  <c r="G42" i="1" s="1"/>
  <c r="J42" i="1" s="1"/>
  <c r="E34" i="1"/>
  <c r="F34" i="1"/>
  <c r="G34" i="1" s="1"/>
  <c r="K34" i="1" s="1"/>
  <c r="E26" i="1"/>
  <c r="E31" i="2" s="1"/>
  <c r="E40" i="1"/>
  <c r="F40" i="1"/>
  <c r="G40" i="1"/>
  <c r="K40" i="1" s="1"/>
  <c r="E44" i="1"/>
  <c r="F44" i="1" s="1"/>
  <c r="G44" i="1" s="1"/>
  <c r="K44" i="1" s="1"/>
  <c r="E32" i="1"/>
  <c r="F32" i="1"/>
  <c r="G32" i="1" s="1"/>
  <c r="J32" i="1" s="1"/>
  <c r="E22" i="1"/>
  <c r="F22" i="1" s="1"/>
  <c r="G22" i="1" s="1"/>
  <c r="I22" i="1" s="1"/>
  <c r="E51" i="1"/>
  <c r="F51" i="1" s="1"/>
  <c r="G51" i="1" s="1"/>
  <c r="I51" i="1" s="1"/>
  <c r="E48" i="1"/>
  <c r="F48" i="1"/>
  <c r="G48" i="1"/>
  <c r="J48" i="1" s="1"/>
  <c r="E41" i="1"/>
  <c r="F41" i="1" s="1"/>
  <c r="G41" i="1" s="1"/>
  <c r="J41" i="1" s="1"/>
  <c r="E33" i="1"/>
  <c r="F33" i="1"/>
  <c r="G33" i="1"/>
  <c r="K33" i="1" s="1"/>
  <c r="E25" i="1"/>
  <c r="E30" i="2" s="1"/>
  <c r="G49" i="1"/>
  <c r="K49" i="1" s="1"/>
  <c r="E46" i="1"/>
  <c r="F46" i="1" s="1"/>
  <c r="G46" i="1" s="1"/>
  <c r="J46" i="1" s="1"/>
  <c r="E37" i="1"/>
  <c r="E14" i="2" s="1"/>
  <c r="G31" i="1"/>
  <c r="K31" i="1" s="1"/>
  <c r="E21" i="1"/>
  <c r="F21" i="1"/>
  <c r="G21" i="1" s="1"/>
  <c r="H21" i="1" s="1"/>
  <c r="E53" i="1"/>
  <c r="F53" i="1" s="1"/>
  <c r="G53" i="1" s="1"/>
  <c r="K53" i="1" s="1"/>
  <c r="E43" i="1"/>
  <c r="F43" i="1"/>
  <c r="G43" i="1"/>
  <c r="J43" i="1" s="1"/>
  <c r="G35" i="1"/>
  <c r="K35" i="1" s="1"/>
  <c r="E30" i="1"/>
  <c r="F30" i="1"/>
  <c r="G30" i="1" s="1"/>
  <c r="J30" i="1" s="1"/>
  <c r="E28" i="1"/>
  <c r="F28" i="1"/>
  <c r="G28" i="1" s="1"/>
  <c r="J28" i="1" s="1"/>
  <c r="E27" i="1"/>
  <c r="E32" i="2" s="1"/>
  <c r="G24" i="1"/>
  <c r="I24" i="1"/>
  <c r="E27" i="2"/>
  <c r="E12" i="2"/>
  <c r="E25" i="2"/>
  <c r="E22" i="2"/>
  <c r="E23" i="2"/>
  <c r="E11" i="2"/>
  <c r="E17" i="2"/>
  <c r="F15" i="1" l="1"/>
  <c r="E34" i="2"/>
  <c r="F27" i="1"/>
  <c r="G27" i="1" s="1"/>
  <c r="I27" i="1" s="1"/>
  <c r="E21" i="2"/>
  <c r="E16" i="2"/>
  <c r="E15" i="2"/>
  <c r="E18" i="2"/>
  <c r="F26" i="1"/>
  <c r="G26" i="1" s="1"/>
  <c r="I26" i="1" s="1"/>
  <c r="F25" i="1"/>
  <c r="G25" i="1" s="1"/>
  <c r="I25" i="1" s="1"/>
  <c r="E28" i="2"/>
  <c r="F37" i="1"/>
  <c r="G37" i="1" s="1"/>
  <c r="C12" i="1"/>
  <c r="C11" i="1"/>
  <c r="O61" i="1" l="1"/>
  <c r="O56" i="1"/>
  <c r="O40" i="1"/>
  <c r="O36" i="1"/>
  <c r="O42" i="1"/>
  <c r="O60" i="1"/>
  <c r="O33" i="1"/>
  <c r="O45" i="1"/>
  <c r="C15" i="1"/>
  <c r="O50" i="1"/>
  <c r="O47" i="1"/>
  <c r="O46" i="1"/>
  <c r="O34" i="1"/>
  <c r="O31" i="1"/>
  <c r="O55" i="1"/>
  <c r="O32" i="1"/>
  <c r="O49" i="1"/>
  <c r="O44" i="1"/>
  <c r="O59" i="1"/>
  <c r="O29" i="1"/>
  <c r="O25" i="1"/>
  <c r="O27" i="1"/>
  <c r="O41" i="1"/>
  <c r="O39" i="1"/>
  <c r="O43" i="1"/>
  <c r="O24" i="1"/>
  <c r="O52" i="1"/>
  <c r="O48" i="1"/>
  <c r="O26" i="1"/>
  <c r="O53" i="1"/>
  <c r="O51" i="1"/>
  <c r="O57" i="1"/>
  <c r="O30" i="1"/>
  <c r="O37" i="1"/>
  <c r="O54" i="1"/>
  <c r="O35" i="1"/>
  <c r="O58" i="1"/>
  <c r="O38" i="1"/>
  <c r="C16" i="1"/>
  <c r="D18" i="1" s="1"/>
  <c r="J37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<sst xmlns="http://schemas.openxmlformats.org/spreadsheetml/2006/main" count="348" uniqueCount="203">
  <si>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</si>
  <si>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</si>
  <si>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</si>
  <si>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</si>
  <si>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</si>
  <si>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</si>
  <si>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</si>
  <si>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</si>
  <si>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</si>
  <si>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</si>
  <si>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</si>
  <si>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</si>
  <si>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</si>
  <si>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</si>
  <si>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</si>
  <si>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</si>
  <si>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</si>
  <si>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</si>
  <si>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</si>
  <si>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</si>
  <si>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</si>
  <si>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</si>
  <si>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</si>
  <si>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</si>
  <si>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</si>
  <si>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</si>
  <si>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</si>
  <si>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</si>
  <si>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Bull.30</t>
  </si>
  <si>
    <t>B</t>
  </si>
  <si>
    <t>BBSAG Bull.32</t>
  </si>
  <si>
    <t>Diethelm R</t>
  </si>
  <si>
    <t>BBSAG Bull.111</t>
  </si>
  <si>
    <t>IBVS 5287</t>
  </si>
  <si>
    <t>IBVS 5583</t>
  </si>
  <si>
    <t>I</t>
  </si>
  <si>
    <t>IBVS 5603</t>
  </si>
  <si>
    <t>IBVS 5643</t>
  </si>
  <si>
    <t>EW</t>
  </si>
  <si>
    <t>FT Gem / GSC 00760-00326</t>
  </si>
  <si>
    <t>IBVS 5672</t>
  </si>
  <si>
    <t>IBVS 5731</t>
  </si>
  <si>
    <t>II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</si>
  <si>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</si>
  <si>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</si>
  <si>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</si>
  <si>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</si>
  <si>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</si>
  <si>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</si>
  <si>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IBVS 5741</t>
  </si>
  <si>
    <t>IBVS 5761</t>
  </si>
  <si>
    <t>IBVS 5802</t>
  </si>
  <si>
    <t>Start of linear fit &gt;&gt;&gt;&gt;&gt;&gt;&gt;&gt;&gt;&gt;&gt;&gt;&gt;&gt;&gt;&gt;&gt;&gt;&gt;&gt;&gt;</t>
  </si>
  <si>
    <t>IBVS 5871</t>
  </si>
  <si>
    <t>IBVS 5894</t>
  </si>
  <si>
    <t>OEJV 0074</t>
  </si>
  <si>
    <t>OEJV</t>
  </si>
  <si>
    <t>Add cycle</t>
  </si>
  <si>
    <t>Old Cycle</t>
  </si>
  <si>
    <t>IBVS 5959</t>
  </si>
  <si>
    <t>IBVS 5992</t>
  </si>
  <si>
    <t>IBVS 6010</t>
  </si>
  <si>
    <t>IBVS 6029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</si>
  <si>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</si>
  <si>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</si>
  <si>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</si>
  <si>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</si>
  <si>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</si>
  <si>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</si>
  <si>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</si>
  <si>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</si>
  <si>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</si>
  <si>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</si>
  <si>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</si>
  <si>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</si>
  <si>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</si>
  <si>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2446467.501 </t>
  </si>
  <si>
    <t> 06.02.1986 00:01 </t>
  </si>
  <si>
    <t> 0.014 </t>
  </si>
  <si>
    <t> P.Frank </t>
  </si>
  <si>
    <t>BAVM 179 </t>
  </si>
  <si>
    <t>2447826.601 </t>
  </si>
  <si>
    <t> 27.10.1989 02:25 </t>
  </si>
  <si>
    <t> -0.032 </t>
  </si>
  <si>
    <t>2448275.561 </t>
  </si>
  <si>
    <t> 19.01.1991 01:27 </t>
  </si>
  <si>
    <t> -0.008 </t>
  </si>
  <si>
    <t>2449311.502 </t>
  </si>
  <si>
    <t> 20.11.1993 00:02 </t>
  </si>
  <si>
    <t> -0.027 </t>
  </si>
  <si>
    <t>BAVM 68 </t>
  </si>
  <si>
    <t>2452279.5373 </t>
  </si>
  <si>
    <t> 05.01.2002 00:53 </t>
  </si>
  <si>
    <t> -0.0196 </t>
  </si>
  <si>
    <t>E </t>
  </si>
  <si>
    <t>-I</t>
  </si>
  <si>
    <t> F.Agerer </t>
  </si>
  <si>
    <t>BAVM 172 </t>
  </si>
  <si>
    <t>2452707.3210 </t>
  </si>
  <si>
    <t> 08.03.2003 19:42 </t>
  </si>
  <si>
    <t>38084</t>
  </si>
  <si>
    <t> -0.0174 </t>
  </si>
  <si>
    <t>o</t>
  </si>
  <si>
    <t>2453442.7086 </t>
  </si>
  <si>
    <t> 13.03.2005 05:00 </t>
  </si>
  <si>
    <t>39335.5</t>
  </si>
  <si>
    <t> -0.0262 </t>
  </si>
  <si>
    <t>?</t>
  </si>
  <si>
    <t> R. Nelson </t>
  </si>
  <si>
    <t>IBVS 5672 </t>
  </si>
  <si>
    <t>2453465.3371 </t>
  </si>
  <si>
    <t> 04.04.2005 20:05 </t>
  </si>
  <si>
    <t>39374</t>
  </si>
  <si>
    <t> -0.0208 </t>
  </si>
  <si>
    <t> M. Zejda </t>
  </si>
  <si>
    <t>IBVS 5741 </t>
  </si>
  <si>
    <t>2453759.4276 </t>
  </si>
  <si>
    <t> 23.01.2006 22:15 </t>
  </si>
  <si>
    <t>39874.5</t>
  </si>
  <si>
    <t> -0.0301 </t>
  </si>
  <si>
    <t>C </t>
  </si>
  <si>
    <t> P. Frank </t>
  </si>
  <si>
    <t>BAVM 178 </t>
  </si>
  <si>
    <t>2453762.3685 </t>
  </si>
  <si>
    <t> 26.01.2006 20:50 </t>
  </si>
  <si>
    <t>39879.5</t>
  </si>
  <si>
    <t> -0.0273 </t>
  </si>
  <si>
    <t>2454025.60718 </t>
  </si>
  <si>
    <t> 17.10.2006 02:34 </t>
  </si>
  <si>
    <t>40327.5</t>
  </si>
  <si>
    <t> -0.03875 </t>
  </si>
  <si>
    <t>R</t>
  </si>
  <si>
    <t> L.Brát </t>
  </si>
  <si>
    <t>OEJV 0074 </t>
  </si>
  <si>
    <t>2454080.56202 </t>
  </si>
  <si>
    <t> 11.12.2006 01:29 </t>
  </si>
  <si>
    <t>40421</t>
  </si>
  <si>
    <t> -0.02563 </t>
  </si>
  <si>
    <t>2454096.4274 </t>
  </si>
  <si>
    <t> 26.12.2006 22:15 </t>
  </si>
  <si>
    <t>40448</t>
  </si>
  <si>
    <t> -0.0258 </t>
  </si>
  <si>
    <t>BAVM 183 </t>
  </si>
  <si>
    <t>2454116.4089 </t>
  </si>
  <si>
    <t> 15.01.2007 21:48 </t>
  </si>
  <si>
    <t>40482</t>
  </si>
  <si>
    <t> -0.0231 </t>
  </si>
  <si>
    <t>BAVM 186 </t>
  </si>
  <si>
    <t>2454149.3157 </t>
  </si>
  <si>
    <t> 17.02.2007 19:34 </t>
  </si>
  <si>
    <t>40538</t>
  </si>
  <si>
    <t> -0.0226 </t>
  </si>
  <si>
    <t>2454811.8431 </t>
  </si>
  <si>
    <t> 11.12.2008 08:14 </t>
  </si>
  <si>
    <t>41665.5</t>
  </si>
  <si>
    <t> -0.0277 </t>
  </si>
  <si>
    <t> R.Diethelm </t>
  </si>
  <si>
    <t>IBVS 5871 </t>
  </si>
  <si>
    <t>2454884.7055 </t>
  </si>
  <si>
    <t> 22.02.2009 04:55 </t>
  </si>
  <si>
    <t>41789.5</t>
  </si>
  <si>
    <t> -0.0292 </t>
  </si>
  <si>
    <t>IBVS 5894 </t>
  </si>
  <si>
    <t>2455263.4233 </t>
  </si>
  <si>
    <t> 07.03.2010 22:09 </t>
  </si>
  <si>
    <t>42434</t>
  </si>
  <si>
    <t>BAVM 214 </t>
  </si>
  <si>
    <t>2455578.3857 </t>
  </si>
  <si>
    <t> 16.01.2011 21:15 </t>
  </si>
  <si>
    <t>42970</t>
  </si>
  <si>
    <t> -0.0249 </t>
  </si>
  <si>
    <t>BAVM 215 </t>
  </si>
  <si>
    <t>2455590.4231 </t>
  </si>
  <si>
    <t> 28.01.2011 22:09 </t>
  </si>
  <si>
    <t>42990.5</t>
  </si>
  <si>
    <t> -0.0336 </t>
  </si>
  <si>
    <t>BAVM 220 </t>
  </si>
  <si>
    <t>2455605.7006 </t>
  </si>
  <si>
    <t> 13.02.2011 04:48 </t>
  </si>
  <si>
    <t>43016.5</t>
  </si>
  <si>
    <t> -0.0340 </t>
  </si>
  <si>
    <t>IBVS 5992 </t>
  </si>
  <si>
    <t>2455623.3323 </t>
  </si>
  <si>
    <t> 02.03.2011 19:58 </t>
  </si>
  <si>
    <t>43046.5</t>
  </si>
  <si>
    <t> -0.0307 </t>
  </si>
  <si>
    <t>2455624.4982 </t>
  </si>
  <si>
    <t> 03.03.2011 23:57 </t>
  </si>
  <si>
    <t>43048.5</t>
  </si>
  <si>
    <t> -0.0400 </t>
  </si>
  <si>
    <t>BAVM 225 </t>
  </si>
  <si>
    <t>2455984.7061 </t>
  </si>
  <si>
    <t> 27.02.2012 04:56 </t>
  </si>
  <si>
    <t>43661.5</t>
  </si>
  <si>
    <t> -0.0382 </t>
  </si>
  <si>
    <t>IBVS 6029 </t>
  </si>
  <si>
    <t>BAD?</t>
  </si>
  <si>
    <t>JBAV, 76</t>
  </si>
  <si>
    <t>BAV 91 Feb 2024</t>
  </si>
  <si>
    <t>Next ToM-P</t>
  </si>
  <si>
    <t>Next ToM-S</t>
  </si>
  <si>
    <t>13.50-14.20</t>
  </si>
  <si>
    <t xml:space="preserve">Mag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</si>
</sst>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22" fontId="27" fillId="0" borderId="16" xfId="0" applyNumberFormat="1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Gem - O-C Diagr.</a:t>
            </a:r>
          </a:p>
        </c:rich>
      </c:tx>
      <c:layout>
        <c:manualLayout>
          <c:xMode val="edge"/>
          <c:yMode val="edge"/>
          <c:x val="0.3866282121711530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723926380368099"/>
          <c:w val="0.8270354706771997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49-4320-A364-0626F0A04E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-2.1680000005289912E-2</c:v>
                </c:pt>
                <c:pt idx="2">
                  <c:v>-2.8814000004786067E-2</c:v>
                </c:pt>
                <c:pt idx="3">
                  <c:v>1.4419999992242083E-2</c:v>
                </c:pt>
                <c:pt idx="4">
                  <c:v>-3.2136000001628418E-2</c:v>
                </c:pt>
                <c:pt idx="5">
                  <c:v>-7.7040000032866374E-3</c:v>
                </c:pt>
                <c:pt idx="6">
                  <c:v>-2.666000000317581E-2</c:v>
                </c:pt>
                <c:pt idx="30">
                  <c:v>-3.9982000002055429E-2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9-4320-A364-0626F0A04E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-3.3438000005844515E-2</c:v>
                </c:pt>
                <c:pt idx="9">
                  <c:v>-1.9571999997424427E-2</c:v>
                </c:pt>
                <c:pt idx="11">
                  <c:v>-1.7407999999704771E-2</c:v>
                </c:pt>
                <c:pt idx="16">
                  <c:v>-3.0094000001554377E-2</c:v>
                </c:pt>
                <c:pt idx="17">
                  <c:v>-2.7254000000539236E-2</c:v>
                </c:pt>
                <c:pt idx="20">
                  <c:v>-2.5776000002224464E-2</c:v>
                </c:pt>
                <c:pt idx="21">
                  <c:v>-2.3084000000380911E-2</c:v>
                </c:pt>
                <c:pt idx="22">
                  <c:v>-2.2556000003532972E-2</c:v>
                </c:pt>
                <c:pt idx="25">
                  <c:v>-2.7307999996992294E-2</c:v>
                </c:pt>
                <c:pt idx="26">
                  <c:v>-2.4940000002970919E-2</c:v>
                </c:pt>
                <c:pt idx="27">
                  <c:v>-3.3586000005016103E-2</c:v>
                </c:pt>
                <c:pt idx="29">
                  <c:v>-3.0657999996037688E-2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49-4320-A364-0626F0A04E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-1.2468000008084346E-2</c:v>
                </c:pt>
                <c:pt idx="10">
                  <c:v>-1.5346000007411931E-2</c:v>
                </c:pt>
                <c:pt idx="12">
                  <c:v>-2.1784000004117843E-2</c:v>
                </c:pt>
                <c:pt idx="13">
                  <c:v>-2.9660000007424969E-2</c:v>
                </c:pt>
                <c:pt idx="14">
                  <c:v>-2.6241917788865976E-2</c:v>
                </c:pt>
                <c:pt idx="15">
                  <c:v>-2.078800000163028E-2</c:v>
                </c:pt>
                <c:pt idx="18">
                  <c:v>-3.8749999999708962E-2</c:v>
                </c:pt>
                <c:pt idx="19">
                  <c:v>-2.5632000004407018E-2</c:v>
                </c:pt>
                <c:pt idx="23">
                  <c:v>-2.768600000126753E-2</c:v>
                </c:pt>
                <c:pt idx="24">
                  <c:v>-2.9174000010243617E-2</c:v>
                </c:pt>
                <c:pt idx="28">
                  <c:v>-3.399800000624964E-2</c:v>
                </c:pt>
                <c:pt idx="31">
                  <c:v>-3.9582000004884321E-2</c:v>
                </c:pt>
                <c:pt idx="32">
                  <c:v>-3.8238000001001637E-2</c:v>
                </c:pt>
                <c:pt idx="33">
                  <c:v>-3.3640000001469161E-2</c:v>
                </c:pt>
                <c:pt idx="34">
                  <c:v>-3.4454000000550877E-2</c:v>
                </c:pt>
                <c:pt idx="35">
                  <c:v>-3.639600000315113E-2</c:v>
                </c:pt>
                <c:pt idx="36">
                  <c:v>-3.7764000007882714E-2</c:v>
                </c:pt>
                <c:pt idx="37">
                  <c:v>-4.0009999996982515E-2</c:v>
                </c:pt>
                <c:pt idx="38">
                  <c:v>-3.833199999644421E-2</c:v>
                </c:pt>
                <c:pt idx="39">
                  <c:v>-3.7944000003335532E-2</c:v>
                </c:pt>
                <c:pt idx="40">
                  <c:v>-3.8344000007782597E-2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49-4320-A364-0626F0A04E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49-4320-A364-0626F0A04E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49-4320-A364-0626F0A04E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49-4320-A364-0626F0A04E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">
                  <c:v>-9.1746256054905731E-3</c:v>
                </c:pt>
                <c:pt idx="4">
                  <c:v>-1.2321780993003101E-2</c:v>
                </c:pt>
                <c:pt idx="5">
                  <c:v>-1.3361308323768153E-2</c:v>
                </c:pt>
                <c:pt idx="6">
                  <c:v>-1.5760112884159246E-2</c:v>
                </c:pt>
                <c:pt idx="8">
                  <c:v>-2.1078846308191443E-2</c:v>
                </c:pt>
                <c:pt idx="9">
                  <c:v>-2.2632694752869054E-2</c:v>
                </c:pt>
                <c:pt idx="10">
                  <c:v>-2.350282266913116E-2</c:v>
                </c:pt>
                <c:pt idx="11">
                  <c:v>-2.3623239120404337E-2</c:v>
                </c:pt>
                <c:pt idx="12">
                  <c:v>-2.4368868671790792E-2</c:v>
                </c:pt>
                <c:pt idx="13">
                  <c:v>-2.4944418489740557E-2</c:v>
                </c:pt>
                <c:pt idx="14">
                  <c:v>-2.5326077411572487E-2</c:v>
                </c:pt>
                <c:pt idx="15">
                  <c:v>-2.5378461969470988E-2</c:v>
                </c:pt>
                <c:pt idx="16">
                  <c:v>-2.6059461222151498E-2</c:v>
                </c:pt>
                <c:pt idx="17">
                  <c:v>-2.6066264411488967E-2</c:v>
                </c:pt>
                <c:pt idx="18">
                  <c:v>-2.667583017612607E-2</c:v>
                </c:pt>
                <c:pt idx="19">
                  <c:v>-2.6803049816736715E-2</c:v>
                </c:pt>
                <c:pt idx="20">
                  <c:v>-2.6839787039159041E-2</c:v>
                </c:pt>
                <c:pt idx="21">
                  <c:v>-2.6886048726653816E-2</c:v>
                </c:pt>
                <c:pt idx="22">
                  <c:v>-2.6962244447233455E-2</c:v>
                </c:pt>
                <c:pt idx="23">
                  <c:v>-2.8496363642832409E-2</c:v>
                </c:pt>
                <c:pt idx="24">
                  <c:v>-2.8665082738401605E-2</c:v>
                </c:pt>
                <c:pt idx="25">
                  <c:v>-2.954201384400118E-2</c:v>
                </c:pt>
                <c:pt idx="26">
                  <c:v>-3.0271315740977717E-2</c:v>
                </c:pt>
                <c:pt idx="27">
                  <c:v>-3.0299208817261329E-2</c:v>
                </c:pt>
                <c:pt idx="28">
                  <c:v>-3.0334585401816161E-2</c:v>
                </c:pt>
                <c:pt idx="29">
                  <c:v>-3.0375404537840968E-2</c:v>
                </c:pt>
                <c:pt idx="30">
                  <c:v>-3.0378125813575955E-2</c:v>
                </c:pt>
                <c:pt idx="31">
                  <c:v>-3.0378125813575955E-2</c:v>
                </c:pt>
                <c:pt idx="32">
                  <c:v>-3.1212196826349486E-2</c:v>
                </c:pt>
                <c:pt idx="33">
                  <c:v>-3.6054026677825209E-2</c:v>
                </c:pt>
                <c:pt idx="34">
                  <c:v>-3.6134984630941065E-2</c:v>
                </c:pt>
                <c:pt idx="35">
                  <c:v>-3.7942592037906224E-2</c:v>
                </c:pt>
                <c:pt idx="36">
                  <c:v>-3.9628422355730698E-2</c:v>
                </c:pt>
                <c:pt idx="37">
                  <c:v>-3.9656315432014318E-2</c:v>
                </c:pt>
                <c:pt idx="38">
                  <c:v>-3.9681487232562949E-2</c:v>
                </c:pt>
                <c:pt idx="39">
                  <c:v>-4.036316680417721E-2</c:v>
                </c:pt>
                <c:pt idx="40">
                  <c:v>-4.0499230590926562E-2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49-4320-A364-0626F0A04E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49-4320-A364-0626F0A0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69848"/>
        <c:axId val="1"/>
      </c:scatterChart>
      <c:valAx>
        <c:axId val="671069848"/>
        <c:scaling>
          <c:orientation val="minMax"/>
          <c:min val="3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096075199901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6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40712934139045"/>
          <c:y val="0.92024539877300615"/>
          <c:w val="0.719477201977659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FT Gem - O-C Diagr.</a:t>
            </a:r>
          </a:p>
        </c:rich>
      </c:tx>
      <c:layout>
        <c:manualLayout>
          <c:xMode val="edge"/>
          <c:yMode val="edge"/>
          <c:x val="0.3875181422351233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271407837447"/>
          <c:y val="0.14678942920199375"/>
          <c:w val="0.8258345428156749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C-4A33-9AC0-81406621AB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-2.1680000005289912E-2</c:v>
                </c:pt>
                <c:pt idx="2">
                  <c:v>-2.8814000004786067E-2</c:v>
                </c:pt>
                <c:pt idx="3">
                  <c:v>1.4419999992242083E-2</c:v>
                </c:pt>
                <c:pt idx="4">
                  <c:v>-3.2136000001628418E-2</c:v>
                </c:pt>
                <c:pt idx="5">
                  <c:v>-7.7040000032866374E-3</c:v>
                </c:pt>
                <c:pt idx="6">
                  <c:v>-2.666000000317581E-2</c:v>
                </c:pt>
                <c:pt idx="30">
                  <c:v>-3.9982000002055429E-2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C-4A33-9AC0-81406621AB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7">
                  <c:v>-3.3438000005844515E-2</c:v>
                </c:pt>
                <c:pt idx="9">
                  <c:v>-1.9571999997424427E-2</c:v>
                </c:pt>
                <c:pt idx="11">
                  <c:v>-1.7407999999704771E-2</c:v>
                </c:pt>
                <c:pt idx="16">
                  <c:v>-3.0094000001554377E-2</c:v>
                </c:pt>
                <c:pt idx="17">
                  <c:v>-2.7254000000539236E-2</c:v>
                </c:pt>
                <c:pt idx="20">
                  <c:v>-2.5776000002224464E-2</c:v>
                </c:pt>
                <c:pt idx="21">
                  <c:v>-2.3084000000380911E-2</c:v>
                </c:pt>
                <c:pt idx="22">
                  <c:v>-2.2556000003532972E-2</c:v>
                </c:pt>
                <c:pt idx="25">
                  <c:v>-2.7307999996992294E-2</c:v>
                </c:pt>
                <c:pt idx="26">
                  <c:v>-2.4940000002970919E-2</c:v>
                </c:pt>
                <c:pt idx="27">
                  <c:v>-3.3586000005016103E-2</c:v>
                </c:pt>
                <c:pt idx="29">
                  <c:v>-3.0657999996037688E-2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8C-4A33-9AC0-81406621AB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8">
                  <c:v>-1.2468000008084346E-2</c:v>
                </c:pt>
                <c:pt idx="10">
                  <c:v>-1.5346000007411931E-2</c:v>
                </c:pt>
                <c:pt idx="12">
                  <c:v>-2.1784000004117843E-2</c:v>
                </c:pt>
                <c:pt idx="13">
                  <c:v>-2.9660000007424969E-2</c:v>
                </c:pt>
                <c:pt idx="14">
                  <c:v>-2.6241917788865976E-2</c:v>
                </c:pt>
                <c:pt idx="15">
                  <c:v>-2.078800000163028E-2</c:v>
                </c:pt>
                <c:pt idx="18">
                  <c:v>-3.8749999999708962E-2</c:v>
                </c:pt>
                <c:pt idx="19">
                  <c:v>-2.5632000004407018E-2</c:v>
                </c:pt>
                <c:pt idx="23">
                  <c:v>-2.768600000126753E-2</c:v>
                </c:pt>
                <c:pt idx="24">
                  <c:v>-2.9174000010243617E-2</c:v>
                </c:pt>
                <c:pt idx="28">
                  <c:v>-3.399800000624964E-2</c:v>
                </c:pt>
                <c:pt idx="31">
                  <c:v>-3.9582000004884321E-2</c:v>
                </c:pt>
                <c:pt idx="32">
                  <c:v>-3.8238000001001637E-2</c:v>
                </c:pt>
                <c:pt idx="33">
                  <c:v>-3.3640000001469161E-2</c:v>
                </c:pt>
                <c:pt idx="34">
                  <c:v>-3.4454000000550877E-2</c:v>
                </c:pt>
                <c:pt idx="35">
                  <c:v>-3.639600000315113E-2</c:v>
                </c:pt>
                <c:pt idx="36">
                  <c:v>-3.7764000007882714E-2</c:v>
                </c:pt>
                <c:pt idx="37">
                  <c:v>-4.0009999996982515E-2</c:v>
                </c:pt>
                <c:pt idx="38">
                  <c:v>-3.833199999644421E-2</c:v>
                </c:pt>
                <c:pt idx="39">
                  <c:v>-3.7944000003335532E-2</c:v>
                </c:pt>
                <c:pt idx="40">
                  <c:v>-3.8344000007782597E-2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C-4A33-9AC0-81406621AB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8C-4A33-9AC0-81406621AB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C-4A33-9AC0-81406621AB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1.2999999999999999E-3</c:v>
                  </c:pt>
                  <c:pt idx="8">
                    <c:v>1.0200000000000001E-2</c:v>
                  </c:pt>
                  <c:pt idx="9">
                    <c:v>1E-3</c:v>
                  </c:pt>
                  <c:pt idx="10">
                    <c:v>1.1000000000000001E-3</c:v>
                  </c:pt>
                  <c:pt idx="11">
                    <c:v>2.8E-3</c:v>
                  </c:pt>
                  <c:pt idx="12">
                    <c:v>5.4999999999999997E-3</c:v>
                  </c:pt>
                  <c:pt idx="13">
                    <c:v>0.01</c:v>
                  </c:pt>
                  <c:pt idx="14">
                    <c:v>1E-4</c:v>
                  </c:pt>
                  <c:pt idx="15">
                    <c:v>8.0000000000000004E-4</c:v>
                  </c:pt>
                  <c:pt idx="16">
                    <c:v>5.0000000000000001E-4</c:v>
                  </c:pt>
                  <c:pt idx="17">
                    <c:v>1.1999999999999999E-3</c:v>
                  </c:pt>
                  <c:pt idx="18">
                    <c:v>2.0999999999999999E-3</c:v>
                  </c:pt>
                  <c:pt idx="19">
                    <c:v>8.0000000000000004E-4</c:v>
                  </c:pt>
                  <c:pt idx="20">
                    <c:v>3.3E-3</c:v>
                  </c:pt>
                  <c:pt idx="21">
                    <c:v>1.1999999999999999E-3</c:v>
                  </c:pt>
                  <c:pt idx="22">
                    <c:v>1.1000000000000001E-3</c:v>
                  </c:pt>
                  <c:pt idx="23">
                    <c:v>5.9999999999999995E-4</c:v>
                  </c:pt>
                  <c:pt idx="24">
                    <c:v>2.9999999999999997E-4</c:v>
                  </c:pt>
                  <c:pt idx="25">
                    <c:v>4.1999999999999997E-3</c:v>
                  </c:pt>
                  <c:pt idx="26">
                    <c:v>4.8999999999999998E-3</c:v>
                  </c:pt>
                  <c:pt idx="27">
                    <c:v>1.6999999999999999E-3</c:v>
                  </c:pt>
                  <c:pt idx="28">
                    <c:v>1.1000000000000001E-3</c:v>
                  </c:pt>
                  <c:pt idx="29">
                    <c:v>5.4999999999999997E-3</c:v>
                  </c:pt>
                  <c:pt idx="30">
                    <c:v>0</c:v>
                  </c:pt>
                  <c:pt idx="31">
                    <c:v>6.8999999999999999E-3</c:v>
                  </c:pt>
                  <c:pt idx="32">
                    <c:v>1.2999999999999999E-3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6.8999999999999999E-3</c:v>
                  </c:pt>
                  <c:pt idx="39">
                    <c:v>3.5000000000000001E-3</c:v>
                  </c:pt>
                  <c:pt idx="4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8C-4A33-9AC0-81406621AB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">
                  <c:v>-9.1746256054905731E-3</c:v>
                </c:pt>
                <c:pt idx="4">
                  <c:v>-1.2321780993003101E-2</c:v>
                </c:pt>
                <c:pt idx="5">
                  <c:v>-1.3361308323768153E-2</c:v>
                </c:pt>
                <c:pt idx="6">
                  <c:v>-1.5760112884159246E-2</c:v>
                </c:pt>
                <c:pt idx="8">
                  <c:v>-2.1078846308191443E-2</c:v>
                </c:pt>
                <c:pt idx="9">
                  <c:v>-2.2632694752869054E-2</c:v>
                </c:pt>
                <c:pt idx="10">
                  <c:v>-2.350282266913116E-2</c:v>
                </c:pt>
                <c:pt idx="11">
                  <c:v>-2.3623239120404337E-2</c:v>
                </c:pt>
                <c:pt idx="12">
                  <c:v>-2.4368868671790792E-2</c:v>
                </c:pt>
                <c:pt idx="13">
                  <c:v>-2.4944418489740557E-2</c:v>
                </c:pt>
                <c:pt idx="14">
                  <c:v>-2.5326077411572487E-2</c:v>
                </c:pt>
                <c:pt idx="15">
                  <c:v>-2.5378461969470988E-2</c:v>
                </c:pt>
                <c:pt idx="16">
                  <c:v>-2.6059461222151498E-2</c:v>
                </c:pt>
                <c:pt idx="17">
                  <c:v>-2.6066264411488967E-2</c:v>
                </c:pt>
                <c:pt idx="18">
                  <c:v>-2.667583017612607E-2</c:v>
                </c:pt>
                <c:pt idx="19">
                  <c:v>-2.6803049816736715E-2</c:v>
                </c:pt>
                <c:pt idx="20">
                  <c:v>-2.6839787039159041E-2</c:v>
                </c:pt>
                <c:pt idx="21">
                  <c:v>-2.6886048726653816E-2</c:v>
                </c:pt>
                <c:pt idx="22">
                  <c:v>-2.6962244447233455E-2</c:v>
                </c:pt>
                <c:pt idx="23">
                  <c:v>-2.8496363642832409E-2</c:v>
                </c:pt>
                <c:pt idx="24">
                  <c:v>-2.8665082738401605E-2</c:v>
                </c:pt>
                <c:pt idx="25">
                  <c:v>-2.954201384400118E-2</c:v>
                </c:pt>
                <c:pt idx="26">
                  <c:v>-3.0271315740977717E-2</c:v>
                </c:pt>
                <c:pt idx="27">
                  <c:v>-3.0299208817261329E-2</c:v>
                </c:pt>
                <c:pt idx="28">
                  <c:v>-3.0334585401816161E-2</c:v>
                </c:pt>
                <c:pt idx="29">
                  <c:v>-3.0375404537840968E-2</c:v>
                </c:pt>
                <c:pt idx="30">
                  <c:v>-3.0378125813575955E-2</c:v>
                </c:pt>
                <c:pt idx="31">
                  <c:v>-3.0378125813575955E-2</c:v>
                </c:pt>
                <c:pt idx="32">
                  <c:v>-3.1212196826349486E-2</c:v>
                </c:pt>
                <c:pt idx="33">
                  <c:v>-3.6054026677825209E-2</c:v>
                </c:pt>
                <c:pt idx="34">
                  <c:v>-3.6134984630941065E-2</c:v>
                </c:pt>
                <c:pt idx="35">
                  <c:v>-3.7942592037906224E-2</c:v>
                </c:pt>
                <c:pt idx="36">
                  <c:v>-3.9628422355730698E-2</c:v>
                </c:pt>
                <c:pt idx="37">
                  <c:v>-3.9656315432014318E-2</c:v>
                </c:pt>
                <c:pt idx="38">
                  <c:v>-3.9681487232562949E-2</c:v>
                </c:pt>
                <c:pt idx="39">
                  <c:v>-4.036316680417721E-2</c:v>
                </c:pt>
                <c:pt idx="40">
                  <c:v>-4.0499230590926562E-2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C-4A33-9AC0-81406621AB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21640</c:v>
                </c:pt>
                <c:pt idx="2">
                  <c:v>21884.5</c:v>
                </c:pt>
                <c:pt idx="3">
                  <c:v>27465</c:v>
                </c:pt>
                <c:pt idx="4">
                  <c:v>29778</c:v>
                </c:pt>
                <c:pt idx="5">
                  <c:v>30542</c:v>
                </c:pt>
                <c:pt idx="6">
                  <c:v>32305</c:v>
                </c:pt>
                <c:pt idx="7">
                  <c:v>33761.5</c:v>
                </c:pt>
                <c:pt idx="8">
                  <c:v>36214</c:v>
                </c:pt>
                <c:pt idx="9">
                  <c:v>37356</c:v>
                </c:pt>
                <c:pt idx="10">
                  <c:v>37995.5</c:v>
                </c:pt>
                <c:pt idx="11">
                  <c:v>38084</c:v>
                </c:pt>
                <c:pt idx="12">
                  <c:v>38632</c:v>
                </c:pt>
                <c:pt idx="13">
                  <c:v>39055</c:v>
                </c:pt>
                <c:pt idx="14">
                  <c:v>39335.5</c:v>
                </c:pt>
                <c:pt idx="15">
                  <c:v>39374</c:v>
                </c:pt>
                <c:pt idx="16">
                  <c:v>39874.5</c:v>
                </c:pt>
                <c:pt idx="17">
                  <c:v>39879.5</c:v>
                </c:pt>
                <c:pt idx="18">
                  <c:v>40327.5</c:v>
                </c:pt>
                <c:pt idx="19">
                  <c:v>40421</c:v>
                </c:pt>
                <c:pt idx="20">
                  <c:v>40448</c:v>
                </c:pt>
                <c:pt idx="21">
                  <c:v>40482</c:v>
                </c:pt>
                <c:pt idx="22">
                  <c:v>40538</c:v>
                </c:pt>
                <c:pt idx="23">
                  <c:v>41665.5</c:v>
                </c:pt>
                <c:pt idx="24">
                  <c:v>41789.5</c:v>
                </c:pt>
                <c:pt idx="25">
                  <c:v>42434</c:v>
                </c:pt>
                <c:pt idx="26">
                  <c:v>42970</c:v>
                </c:pt>
                <c:pt idx="27">
                  <c:v>42990.5</c:v>
                </c:pt>
                <c:pt idx="28">
                  <c:v>43016.5</c:v>
                </c:pt>
                <c:pt idx="29">
                  <c:v>43046.5</c:v>
                </c:pt>
                <c:pt idx="30">
                  <c:v>43048.5</c:v>
                </c:pt>
                <c:pt idx="31">
                  <c:v>43048.5</c:v>
                </c:pt>
                <c:pt idx="32">
                  <c:v>43661.5</c:v>
                </c:pt>
                <c:pt idx="33">
                  <c:v>47220</c:v>
                </c:pt>
                <c:pt idx="34">
                  <c:v>47279.5</c:v>
                </c:pt>
                <c:pt idx="35">
                  <c:v>48608</c:v>
                </c:pt>
                <c:pt idx="36">
                  <c:v>49847</c:v>
                </c:pt>
                <c:pt idx="37">
                  <c:v>49867.5</c:v>
                </c:pt>
                <c:pt idx="38">
                  <c:v>49886</c:v>
                </c:pt>
                <c:pt idx="39">
                  <c:v>50387</c:v>
                </c:pt>
                <c:pt idx="40">
                  <c:v>50487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8C-4A33-9AC0-81406621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143864"/>
        <c:axId val="1"/>
      </c:scatterChart>
      <c:valAx>
        <c:axId val="7971438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4775036284469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9550072568940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14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13062409288825"/>
          <c:y val="0.9204921861831491"/>
          <c:w val="0.718432510885341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390525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5243D15-7240-ED84-CBCD-B066E8623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647700</xdr:colOff>
      <xdr:row>0</xdr:row>
      <xdr:rowOff>0</xdr:rowOff>
    </xdr:from>
    <xdr:to>
      <xdr:col>27</xdr:col>
      <xdr:colOff>352425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3EE10CB-F269-4EDA-6A63-ABE10B147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179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567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179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79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75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ht="12.95" customHeight="1" x14ac:dyDescent="0.2">
      <c r="A2" t="s">
        <v>24</v>
      </c>
      <c r="B2" s="13" t="s">
        <v>38</v>
      </c>
      <c r="C2" s="11"/>
    </row>
    <row r="3" spans="1:6" ht="12.95" customHeight="1" thickBot="1" x14ac:dyDescent="0.25">
      <c r="C3" s="11"/>
    </row>
    <row r="4" spans="1:6" ht="12.95" customHeight="1" thickTop="1" thickBot="1" x14ac:dyDescent="0.25">
      <c r="A4" s="6" t="s">
        <v>0</v>
      </c>
      <c r="C4" s="3">
        <v>30328.723000000002</v>
      </c>
      <c r="D4" s="4">
        <v>0.58761200000000002</v>
      </c>
    </row>
    <row r="5" spans="1:6" ht="12.95" customHeight="1" thickTop="1" x14ac:dyDescent="0.2">
      <c r="A5" s="23" t="s">
        <v>45</v>
      </c>
      <c r="B5" s="14"/>
      <c r="C5" s="24">
        <v>-9.5</v>
      </c>
      <c r="D5" s="14" t="s">
        <v>46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>
        <f>+C4</f>
        <v>30328.723000000002</v>
      </c>
    </row>
    <row r="8" spans="1:6" ht="12.95" customHeight="1" x14ac:dyDescent="0.2">
      <c r="A8" t="s">
        <v>3</v>
      </c>
      <c r="C8">
        <f>+D4</f>
        <v>0.58761200000000002</v>
      </c>
    </row>
    <row r="9" spans="1:6" ht="12.95" customHeight="1" x14ac:dyDescent="0.2">
      <c r="A9" s="36" t="s">
        <v>52</v>
      </c>
      <c r="B9" s="37">
        <v>30</v>
      </c>
      <c r="C9" s="34" t="str">
        <f>"F"&amp;B9</f>
        <v>F30</v>
      </c>
      <c r="D9" s="35" t="str">
        <f>"G"&amp;B9</f>
        <v>G30</v>
      </c>
    </row>
    <row r="10" spans="1:6" ht="12.95" customHeight="1" thickBot="1" x14ac:dyDescent="0.25">
      <c r="A10" s="14"/>
      <c r="B10" s="14"/>
      <c r="C10" s="5" t="s">
        <v>20</v>
      </c>
      <c r="D10" s="5" t="s">
        <v>21</v>
      </c>
      <c r="E10" s="14"/>
    </row>
    <row r="11" spans="1:6" ht="12.95" customHeight="1" x14ac:dyDescent="0.2">
      <c r="A11" s="14" t="s">
        <v>16</v>
      </c>
      <c r="B11" s="14"/>
      <c r="C11" s="33">
        <f ca="1">INTERCEPT(INDIRECT($D$9):G990,INDIRECT($C$9):F990)</f>
        <v>2.8195293425219155E-2</v>
      </c>
      <c r="D11" s="15"/>
      <c r="E11" s="14"/>
    </row>
    <row r="12" spans="1:6" ht="12.95" customHeight="1" x14ac:dyDescent="0.2">
      <c r="A12" s="14" t="s">
        <v>17</v>
      </c>
      <c r="B12" s="14"/>
      <c r="C12" s="33">
        <f ca="1">SLOPE(INDIRECT($D$9):G990,INDIRECT($C$9):F990)</f>
        <v>-1.3606378674935273E-6</v>
      </c>
      <c r="D12" s="15"/>
      <c r="E12" s="73" t="s">
        <v>202</v>
      </c>
      <c r="F12" s="74" t="s">
        <v>201</v>
      </c>
    </row>
    <row r="13" spans="1:6" ht="12.95" customHeight="1" x14ac:dyDescent="0.2">
      <c r="A13" s="14" t="s">
        <v>19</v>
      </c>
      <c r="B13" s="14"/>
      <c r="C13" s="15" t="s">
        <v>14</v>
      </c>
      <c r="E13" s="71" t="s">
        <v>57</v>
      </c>
      <c r="F13" s="75">
        <v>1</v>
      </c>
    </row>
    <row r="14" spans="1:6" ht="12.95" customHeight="1" x14ac:dyDescent="0.2">
      <c r="A14" s="14"/>
      <c r="B14" s="14"/>
      <c r="C14" s="14"/>
      <c r="E14" s="71" t="s">
        <v>47</v>
      </c>
      <c r="F14" s="76">
        <f ca="1">NOW()+15018.5+$C$5/24</f>
        <v>60546.732795254626</v>
      </c>
    </row>
    <row r="15" spans="1:6" ht="12.95" customHeight="1" x14ac:dyDescent="0.2">
      <c r="A15" s="25" t="s">
        <v>18</v>
      </c>
      <c r="B15" s="14"/>
      <c r="C15" s="26">
        <f ca="1">(C7+C11)+(C8+C12)*INT(MAX(F21:F3531))</f>
        <v>59995.449544769406</v>
      </c>
      <c r="E15" s="71" t="s">
        <v>58</v>
      </c>
      <c r="F15" s="76">
        <f ca="1">ROUND(2*($F$14-$C$7)/$C$8,0)/2+$F$13</f>
        <v>51426</v>
      </c>
    </row>
    <row r="16" spans="1:6" ht="12.95" customHeight="1" x14ac:dyDescent="0.2">
      <c r="A16" s="28" t="s">
        <v>4</v>
      </c>
      <c r="B16" s="14"/>
      <c r="C16" s="29">
        <f ca="1">+C8+C12</f>
        <v>0.58761063936213254</v>
      </c>
      <c r="E16" s="71" t="s">
        <v>48</v>
      </c>
      <c r="F16" s="76">
        <f ca="1">ROUND(2*($F$14-$C$15)/$C$16,0)/2+$F$13</f>
        <v>939</v>
      </c>
    </row>
    <row r="17" spans="1:32" ht="12.95" customHeight="1" thickBot="1" x14ac:dyDescent="0.25">
      <c r="A17" s="27" t="s">
        <v>43</v>
      </c>
      <c r="B17" s="14"/>
      <c r="C17" s="14">
        <f>COUNT(C21:C2189)</f>
        <v>41</v>
      </c>
      <c r="E17" s="71" t="s">
        <v>199</v>
      </c>
      <c r="F17" s="77">
        <f ca="1">+$C$15+$C$16*$F$16-15018.5-$C$5/24</f>
        <v>45529.111768463787</v>
      </c>
    </row>
    <row r="18" spans="1:32" ht="12.95" customHeight="1" thickTop="1" thickBot="1" x14ac:dyDescent="0.25">
      <c r="A18" s="28" t="s">
        <v>5</v>
      </c>
      <c r="B18" s="14"/>
      <c r="C18" s="31">
        <f ca="1">+C15</f>
        <v>59995.449544769406</v>
      </c>
      <c r="D18" s="32">
        <f ca="1">+C16</f>
        <v>0.58761063936213254</v>
      </c>
      <c r="E18" s="72" t="s">
        <v>200</v>
      </c>
      <c r="F18" s="78">
        <f ca="1">+($C$15+$C$16*$F$16)-($C$16/2)-15018.5-$C$5/24</f>
        <v>45528.817963144109</v>
      </c>
    </row>
    <row r="19" spans="1:32" ht="12.95" customHeight="1" thickTop="1" x14ac:dyDescent="0.2">
      <c r="E19" s="27"/>
      <c r="F19" s="30"/>
    </row>
    <row r="20" spans="1:32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71</v>
      </c>
      <c r="I20" s="8" t="s">
        <v>74</v>
      </c>
      <c r="J20" s="8" t="s">
        <v>68</v>
      </c>
      <c r="K20" s="8" t="s">
        <v>66</v>
      </c>
      <c r="L20" s="8" t="s">
        <v>56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64" t="s">
        <v>196</v>
      </c>
    </row>
    <row r="21" spans="1:32" ht="12.95" customHeight="1" x14ac:dyDescent="0.2">
      <c r="A21" t="s">
        <v>12</v>
      </c>
      <c r="B21" s="15"/>
      <c r="C21" s="21">
        <v>30328.723000000002</v>
      </c>
      <c r="D21" s="21" t="s">
        <v>14</v>
      </c>
      <c r="E21">
        <f t="shared" ref="E21:E60" si="0">+(C21-C$7)/C$8</f>
        <v>0</v>
      </c>
      <c r="F21">
        <f t="shared" ref="F21:F60" si="1">ROUND(2*E21,0)/2</f>
        <v>0</v>
      </c>
      <c r="G21">
        <f t="shared" ref="G21:G60" si="2">+C21-(C$7+F21*C$8)</f>
        <v>0</v>
      </c>
      <c r="H21">
        <f>+G21</f>
        <v>0</v>
      </c>
      <c r="Q21" s="2">
        <f t="shared" ref="Q21:Q60" si="3">+C21-15018.5</f>
        <v>15310.223000000002</v>
      </c>
    </row>
    <row r="22" spans="1:32" ht="12.95" customHeight="1" x14ac:dyDescent="0.2">
      <c r="A22" t="s">
        <v>28</v>
      </c>
      <c r="B22" s="15"/>
      <c r="C22" s="21">
        <v>43044.625</v>
      </c>
      <c r="D22" s="21"/>
      <c r="E22">
        <f t="shared" si="0"/>
        <v>21639.963104905954</v>
      </c>
      <c r="F22">
        <f t="shared" si="1"/>
        <v>21640</v>
      </c>
      <c r="G22">
        <f t="shared" si="2"/>
        <v>-2.1680000005289912E-2</v>
      </c>
      <c r="I22">
        <f t="shared" ref="I22:I27" si="4">+G22</f>
        <v>-2.1680000005289912E-2</v>
      </c>
      <c r="Q22" s="2">
        <f t="shared" si="3"/>
        <v>28026.125</v>
      </c>
      <c r="AB22">
        <v>6</v>
      </c>
      <c r="AD22" t="s">
        <v>27</v>
      </c>
      <c r="AF22" t="s">
        <v>29</v>
      </c>
    </row>
    <row r="23" spans="1:32" ht="12.95" customHeight="1" x14ac:dyDescent="0.2">
      <c r="A23" t="s">
        <v>30</v>
      </c>
      <c r="B23" s="15"/>
      <c r="C23" s="21">
        <v>43188.288999999997</v>
      </c>
      <c r="D23" s="21"/>
      <c r="E23">
        <f t="shared" si="0"/>
        <v>21884.450964241703</v>
      </c>
      <c r="F23">
        <f t="shared" si="1"/>
        <v>21884.5</v>
      </c>
      <c r="G23">
        <f t="shared" si="2"/>
        <v>-2.8814000004786067E-2</v>
      </c>
      <c r="I23">
        <f t="shared" si="4"/>
        <v>-2.8814000004786067E-2</v>
      </c>
      <c r="Q23" s="2">
        <f t="shared" si="3"/>
        <v>28169.788999999997</v>
      </c>
      <c r="AB23">
        <v>6</v>
      </c>
      <c r="AD23" t="s">
        <v>27</v>
      </c>
      <c r="AF23" t="s">
        <v>29</v>
      </c>
    </row>
    <row r="24" spans="1:32" ht="12.95" customHeight="1" x14ac:dyDescent="0.2">
      <c r="A24" s="61" t="s">
        <v>80</v>
      </c>
      <c r="B24" s="63" t="s">
        <v>35</v>
      </c>
      <c r="C24" s="62">
        <v>46467.500999999997</v>
      </c>
      <c r="D24" s="62" t="s">
        <v>74</v>
      </c>
      <c r="E24">
        <f t="shared" si="0"/>
        <v>27465.024540002578</v>
      </c>
      <c r="F24">
        <f t="shared" si="1"/>
        <v>27465</v>
      </c>
      <c r="G24">
        <f t="shared" si="2"/>
        <v>1.4419999992242083E-2</v>
      </c>
      <c r="I24">
        <f t="shared" si="4"/>
        <v>1.4419999992242083E-2</v>
      </c>
      <c r="O24">
        <f ca="1">+C$11+C$12*F24</f>
        <v>-9.1746256054905731E-3</v>
      </c>
      <c r="Q24" s="2">
        <f t="shared" si="3"/>
        <v>31449.000999999997</v>
      </c>
    </row>
    <row r="25" spans="1:32" ht="12.95" customHeight="1" x14ac:dyDescent="0.2">
      <c r="A25" s="61" t="s">
        <v>80</v>
      </c>
      <c r="B25" s="63" t="s">
        <v>35</v>
      </c>
      <c r="C25" s="62">
        <v>47826.601000000002</v>
      </c>
      <c r="D25" s="62" t="s">
        <v>74</v>
      </c>
      <c r="E25">
        <f t="shared" si="0"/>
        <v>29777.945310851377</v>
      </c>
      <c r="F25">
        <f t="shared" si="1"/>
        <v>29778</v>
      </c>
      <c r="G25">
        <f t="shared" si="2"/>
        <v>-3.2136000001628418E-2</v>
      </c>
      <c r="I25">
        <f t="shared" si="4"/>
        <v>-3.2136000001628418E-2</v>
      </c>
      <c r="O25">
        <f ca="1">+C$11+C$12*F25</f>
        <v>-1.2321780993003101E-2</v>
      </c>
      <c r="Q25" s="2">
        <f t="shared" si="3"/>
        <v>32808.101000000002</v>
      </c>
    </row>
    <row r="26" spans="1:32" ht="12.95" customHeight="1" x14ac:dyDescent="0.2">
      <c r="A26" s="61" t="s">
        <v>80</v>
      </c>
      <c r="B26" s="63" t="s">
        <v>35</v>
      </c>
      <c r="C26" s="62">
        <v>48275.561000000002</v>
      </c>
      <c r="D26" s="62" t="s">
        <v>74</v>
      </c>
      <c r="E26">
        <f t="shared" si="0"/>
        <v>30541.986889307907</v>
      </c>
      <c r="F26">
        <f t="shared" si="1"/>
        <v>30542</v>
      </c>
      <c r="G26">
        <f t="shared" si="2"/>
        <v>-7.7040000032866374E-3</v>
      </c>
      <c r="I26">
        <f t="shared" si="4"/>
        <v>-7.7040000032866374E-3</v>
      </c>
      <c r="O26">
        <f ca="1">+C$11+C$12*F26</f>
        <v>-1.3361308323768153E-2</v>
      </c>
      <c r="Q26" s="2">
        <f t="shared" si="3"/>
        <v>33257.061000000002</v>
      </c>
    </row>
    <row r="27" spans="1:32" ht="12.95" customHeight="1" x14ac:dyDescent="0.2">
      <c r="A27" s="61" t="s">
        <v>90</v>
      </c>
      <c r="B27" s="63" t="s">
        <v>35</v>
      </c>
      <c r="C27" s="62">
        <v>49311.502</v>
      </c>
      <c r="D27" s="62" t="s">
        <v>74</v>
      </c>
      <c r="E27">
        <f t="shared" si="0"/>
        <v>32304.954629925865</v>
      </c>
      <c r="F27">
        <f t="shared" si="1"/>
        <v>32305</v>
      </c>
      <c r="G27">
        <f t="shared" si="2"/>
        <v>-2.666000000317581E-2</v>
      </c>
      <c r="I27">
        <f t="shared" si="4"/>
        <v>-2.666000000317581E-2</v>
      </c>
      <c r="O27">
        <f ca="1">+C$11+C$12*F27</f>
        <v>-1.5760112884159246E-2</v>
      </c>
      <c r="Q27" s="2">
        <f t="shared" si="3"/>
        <v>34293.002</v>
      </c>
    </row>
    <row r="28" spans="1:32" ht="12.95" customHeight="1" x14ac:dyDescent="0.2">
      <c r="A28" t="s">
        <v>32</v>
      </c>
      <c r="B28" s="15" t="s">
        <v>42</v>
      </c>
      <c r="C28" s="21">
        <v>50167.352099999996</v>
      </c>
      <c r="D28" s="21">
        <v>1.2999999999999999E-3</v>
      </c>
      <c r="E28">
        <f t="shared" si="0"/>
        <v>33761.443095103561</v>
      </c>
      <c r="F28">
        <f t="shared" si="1"/>
        <v>33761.5</v>
      </c>
      <c r="G28">
        <f t="shared" si="2"/>
        <v>-3.3438000005844515E-2</v>
      </c>
      <c r="J28">
        <f>+G28</f>
        <v>-3.3438000005844515E-2</v>
      </c>
      <c r="Q28" s="2">
        <f t="shared" si="3"/>
        <v>35148.852099999996</v>
      </c>
      <c r="AB28">
        <v>14</v>
      </c>
      <c r="AD28" t="s">
        <v>31</v>
      </c>
      <c r="AF28" t="s">
        <v>29</v>
      </c>
    </row>
    <row r="29" spans="1:32" ht="12.95" customHeight="1" x14ac:dyDescent="0.2">
      <c r="A29" t="s">
        <v>33</v>
      </c>
      <c r="B29" s="15"/>
      <c r="C29" s="22">
        <v>51608.491499999996</v>
      </c>
      <c r="D29" s="22">
        <v>1.0200000000000001E-2</v>
      </c>
      <c r="E29">
        <f t="shared" si="0"/>
        <v>36213.978781917307</v>
      </c>
      <c r="F29">
        <f t="shared" si="1"/>
        <v>36214</v>
      </c>
      <c r="G29">
        <f t="shared" si="2"/>
        <v>-1.2468000008084346E-2</v>
      </c>
      <c r="K29">
        <f>+G29</f>
        <v>-1.2468000008084346E-2</v>
      </c>
      <c r="O29">
        <f t="shared" ref="O29:O60" ca="1" si="5">+C$11+C$12*F29</f>
        <v>-2.1078846308191443E-2</v>
      </c>
      <c r="Q29" s="2">
        <f t="shared" si="3"/>
        <v>36589.991499999996</v>
      </c>
    </row>
    <row r="30" spans="1:32" ht="12.95" customHeight="1" x14ac:dyDescent="0.2">
      <c r="A30" s="12" t="s">
        <v>37</v>
      </c>
      <c r="B30" s="10"/>
      <c r="C30" s="21">
        <v>52279.537300000004</v>
      </c>
      <c r="D30" s="21">
        <v>1E-3</v>
      </c>
      <c r="E30">
        <f t="shared" si="0"/>
        <v>37355.966692307171</v>
      </c>
      <c r="F30">
        <f t="shared" si="1"/>
        <v>37356</v>
      </c>
      <c r="G30">
        <f t="shared" si="2"/>
        <v>-1.9571999997424427E-2</v>
      </c>
      <c r="J30">
        <f>+G30</f>
        <v>-1.9571999997424427E-2</v>
      </c>
      <c r="O30">
        <f t="shared" ca="1" si="5"/>
        <v>-2.2632694752869054E-2</v>
      </c>
      <c r="Q30" s="2">
        <f t="shared" si="3"/>
        <v>37261.037300000004</v>
      </c>
    </row>
    <row r="31" spans="1:32" ht="12.95" customHeight="1" x14ac:dyDescent="0.2">
      <c r="A31" s="18" t="s">
        <v>44</v>
      </c>
      <c r="B31" s="19" t="s">
        <v>42</v>
      </c>
      <c r="C31" s="20">
        <v>52655.3194</v>
      </c>
      <c r="D31" s="20">
        <v>1.1000000000000001E-3</v>
      </c>
      <c r="E31">
        <f t="shared" si="0"/>
        <v>37995.473884127619</v>
      </c>
      <c r="F31">
        <f t="shared" si="1"/>
        <v>37995.5</v>
      </c>
      <c r="G31">
        <f t="shared" si="2"/>
        <v>-1.5346000007411931E-2</v>
      </c>
      <c r="K31">
        <f>+G31</f>
        <v>-1.5346000007411931E-2</v>
      </c>
      <c r="O31">
        <f t="shared" ca="1" si="5"/>
        <v>-2.350282266913116E-2</v>
      </c>
      <c r="Q31" s="2">
        <f t="shared" si="3"/>
        <v>37636.8194</v>
      </c>
    </row>
    <row r="32" spans="1:32" ht="12.95" customHeight="1" x14ac:dyDescent="0.2">
      <c r="A32" s="12" t="s">
        <v>37</v>
      </c>
      <c r="B32" s="10"/>
      <c r="C32" s="21">
        <v>52707.321000000004</v>
      </c>
      <c r="D32" s="21">
        <v>2.8E-3</v>
      </c>
      <c r="E32">
        <f t="shared" si="0"/>
        <v>38083.970375009361</v>
      </c>
      <c r="F32">
        <f t="shared" si="1"/>
        <v>38084</v>
      </c>
      <c r="G32">
        <f t="shared" si="2"/>
        <v>-1.7407999999704771E-2</v>
      </c>
      <c r="J32">
        <f>+G32</f>
        <v>-1.7407999999704771E-2</v>
      </c>
      <c r="O32">
        <f t="shared" ca="1" si="5"/>
        <v>-2.3623239120404337E-2</v>
      </c>
      <c r="Q32" s="2">
        <f t="shared" si="3"/>
        <v>37688.821000000004</v>
      </c>
    </row>
    <row r="33" spans="1:17" ht="12.95" customHeight="1" x14ac:dyDescent="0.2">
      <c r="A33" s="9" t="s">
        <v>34</v>
      </c>
      <c r="B33" s="10" t="s">
        <v>35</v>
      </c>
      <c r="C33" s="22">
        <v>53029.328000000001</v>
      </c>
      <c r="D33" s="22">
        <v>5.4999999999999997E-3</v>
      </c>
      <c r="E33">
        <f t="shared" si="0"/>
        <v>38631.962927918423</v>
      </c>
      <c r="F33">
        <f t="shared" si="1"/>
        <v>38632</v>
      </c>
      <c r="G33">
        <f t="shared" si="2"/>
        <v>-2.1784000004117843E-2</v>
      </c>
      <c r="K33">
        <f>+G33</f>
        <v>-2.1784000004117843E-2</v>
      </c>
      <c r="O33">
        <f t="shared" ca="1" si="5"/>
        <v>-2.4368868671790792E-2</v>
      </c>
      <c r="Q33" s="2">
        <f t="shared" si="3"/>
        <v>38010.828000000001</v>
      </c>
    </row>
    <row r="34" spans="1:17" ht="12.95" customHeight="1" x14ac:dyDescent="0.2">
      <c r="A34" t="s">
        <v>36</v>
      </c>
      <c r="B34" s="15"/>
      <c r="C34" s="21">
        <v>53277.88</v>
      </c>
      <c r="D34" s="21">
        <v>0.01</v>
      </c>
      <c r="E34">
        <f t="shared" si="0"/>
        <v>39054.949524516167</v>
      </c>
      <c r="F34">
        <f t="shared" si="1"/>
        <v>39055</v>
      </c>
      <c r="G34">
        <f t="shared" si="2"/>
        <v>-2.9660000007424969E-2</v>
      </c>
      <c r="K34">
        <f>+G34</f>
        <v>-2.9660000007424969E-2</v>
      </c>
      <c r="O34">
        <f t="shared" ca="1" si="5"/>
        <v>-2.4944418489740557E-2</v>
      </c>
      <c r="Q34" s="2">
        <f t="shared" si="3"/>
        <v>38259.379999999997</v>
      </c>
    </row>
    <row r="35" spans="1:17" ht="12.95" customHeight="1" x14ac:dyDescent="0.2">
      <c r="A35" s="6" t="s">
        <v>40</v>
      </c>
      <c r="B35" s="15"/>
      <c r="C35" s="21">
        <v>53442.708584082211</v>
      </c>
      <c r="D35" s="21">
        <v>1E-4</v>
      </c>
      <c r="E35">
        <f t="shared" si="0"/>
        <v>39335.455341419525</v>
      </c>
      <c r="F35">
        <f t="shared" si="1"/>
        <v>39335.5</v>
      </c>
      <c r="G35">
        <f t="shared" si="2"/>
        <v>-2.6241917788865976E-2</v>
      </c>
      <c r="K35">
        <f>+G35</f>
        <v>-2.6241917788865976E-2</v>
      </c>
      <c r="O35">
        <f t="shared" ca="1" si="5"/>
        <v>-2.5326077411572487E-2</v>
      </c>
      <c r="Q35" s="2">
        <f t="shared" si="3"/>
        <v>38424.208584082211</v>
      </c>
    </row>
    <row r="36" spans="1:17" ht="12.95" customHeight="1" x14ac:dyDescent="0.2">
      <c r="A36" s="18" t="s">
        <v>49</v>
      </c>
      <c r="B36" s="10" t="s">
        <v>35</v>
      </c>
      <c r="C36" s="17">
        <v>53465.337099999997</v>
      </c>
      <c r="D36" s="17">
        <v>8.0000000000000004E-4</v>
      </c>
      <c r="E36">
        <f t="shared" si="0"/>
        <v>39373.964622914427</v>
      </c>
      <c r="F36">
        <f t="shared" si="1"/>
        <v>39374</v>
      </c>
      <c r="G36">
        <f t="shared" si="2"/>
        <v>-2.078800000163028E-2</v>
      </c>
      <c r="K36">
        <f>+G36</f>
        <v>-2.078800000163028E-2</v>
      </c>
      <c r="O36">
        <f t="shared" ca="1" si="5"/>
        <v>-2.5378461969470988E-2</v>
      </c>
      <c r="Q36" s="2">
        <f t="shared" si="3"/>
        <v>38446.837099999997</v>
      </c>
    </row>
    <row r="37" spans="1:17" ht="12.95" customHeight="1" x14ac:dyDescent="0.2">
      <c r="A37" s="14" t="s">
        <v>41</v>
      </c>
      <c r="B37" s="15" t="s">
        <v>42</v>
      </c>
      <c r="C37" s="21">
        <v>53759.427600000003</v>
      </c>
      <c r="D37" s="21">
        <v>5.0000000000000001E-4</v>
      </c>
      <c r="E37">
        <f t="shared" si="0"/>
        <v>39874.448785933579</v>
      </c>
      <c r="F37">
        <f t="shared" si="1"/>
        <v>39874.5</v>
      </c>
      <c r="G37">
        <f t="shared" si="2"/>
        <v>-3.0094000001554377E-2</v>
      </c>
      <c r="J37">
        <f>+G37</f>
        <v>-3.0094000001554377E-2</v>
      </c>
      <c r="O37">
        <f t="shared" ca="1" si="5"/>
        <v>-2.6059461222151498E-2</v>
      </c>
      <c r="Q37" s="2">
        <f t="shared" si="3"/>
        <v>38740.927600000003</v>
      </c>
    </row>
    <row r="38" spans="1:17" ht="12.95" customHeight="1" x14ac:dyDescent="0.2">
      <c r="A38" s="38" t="s">
        <v>41</v>
      </c>
      <c r="B38" s="39" t="s">
        <v>42</v>
      </c>
      <c r="C38" s="40">
        <v>53762.368499999997</v>
      </c>
      <c r="D38" s="40">
        <v>1.1999999999999999E-3</v>
      </c>
      <c r="E38">
        <f t="shared" si="0"/>
        <v>39879.453619054737</v>
      </c>
      <c r="F38">
        <f t="shared" si="1"/>
        <v>39879.5</v>
      </c>
      <c r="G38">
        <f t="shared" si="2"/>
        <v>-2.7254000000539236E-2</v>
      </c>
      <c r="J38">
        <f>+G38</f>
        <v>-2.7254000000539236E-2</v>
      </c>
      <c r="O38">
        <f t="shared" ca="1" si="5"/>
        <v>-2.6066264411488967E-2</v>
      </c>
      <c r="Q38" s="2">
        <f t="shared" si="3"/>
        <v>38743.868499999997</v>
      </c>
    </row>
    <row r="39" spans="1:17" ht="12.95" customHeight="1" x14ac:dyDescent="0.2">
      <c r="A39" s="40" t="s">
        <v>55</v>
      </c>
      <c r="B39" s="39" t="s">
        <v>42</v>
      </c>
      <c r="C39" s="40">
        <v>54025.607179999999</v>
      </c>
      <c r="D39" s="40">
        <v>2.0999999999999999E-3</v>
      </c>
      <c r="E39">
        <f t="shared" si="0"/>
        <v>40327.434055124802</v>
      </c>
      <c r="F39">
        <f t="shared" si="1"/>
        <v>40327.5</v>
      </c>
      <c r="G39">
        <f t="shared" si="2"/>
        <v>-3.8749999999708962E-2</v>
      </c>
      <c r="K39">
        <f>+G39</f>
        <v>-3.8749999999708962E-2</v>
      </c>
      <c r="O39">
        <f t="shared" ca="1" si="5"/>
        <v>-2.667583017612607E-2</v>
      </c>
      <c r="Q39" s="2">
        <f t="shared" si="3"/>
        <v>39007.107179999999</v>
      </c>
    </row>
    <row r="40" spans="1:17" ht="12.95" customHeight="1" x14ac:dyDescent="0.2">
      <c r="A40" s="40" t="s">
        <v>55</v>
      </c>
      <c r="B40" s="39" t="s">
        <v>35</v>
      </c>
      <c r="C40" s="40">
        <v>54080.562019999998</v>
      </c>
      <c r="D40" s="40">
        <v>8.0000000000000004E-4</v>
      </c>
      <c r="E40">
        <f t="shared" si="0"/>
        <v>40420.956379379582</v>
      </c>
      <c r="F40">
        <f t="shared" si="1"/>
        <v>40421</v>
      </c>
      <c r="G40">
        <f t="shared" si="2"/>
        <v>-2.5632000004407018E-2</v>
      </c>
      <c r="K40">
        <f>+G40</f>
        <v>-2.5632000004407018E-2</v>
      </c>
      <c r="O40">
        <f t="shared" ca="1" si="5"/>
        <v>-2.6803049816736715E-2</v>
      </c>
      <c r="Q40" s="2">
        <f t="shared" si="3"/>
        <v>39062.062019999998</v>
      </c>
    </row>
    <row r="41" spans="1:17" ht="12.95" customHeight="1" x14ac:dyDescent="0.2">
      <c r="A41" s="38" t="s">
        <v>50</v>
      </c>
      <c r="B41" s="41" t="s">
        <v>35</v>
      </c>
      <c r="C41" s="40">
        <v>54096.4274</v>
      </c>
      <c r="D41" s="40">
        <v>3.3E-3</v>
      </c>
      <c r="E41">
        <f t="shared" si="0"/>
        <v>40447.956134319924</v>
      </c>
      <c r="F41">
        <f t="shared" si="1"/>
        <v>40448</v>
      </c>
      <c r="G41">
        <f t="shared" si="2"/>
        <v>-2.5776000002224464E-2</v>
      </c>
      <c r="J41">
        <f>+G41</f>
        <v>-2.5776000002224464E-2</v>
      </c>
      <c r="O41">
        <f t="shared" ca="1" si="5"/>
        <v>-2.6839787039159041E-2</v>
      </c>
      <c r="Q41" s="2">
        <f t="shared" si="3"/>
        <v>39077.9274</v>
      </c>
    </row>
    <row r="42" spans="1:17" ht="12.95" customHeight="1" x14ac:dyDescent="0.2">
      <c r="A42" s="40" t="s">
        <v>51</v>
      </c>
      <c r="B42" s="41"/>
      <c r="C42" s="40">
        <v>54116.408900000002</v>
      </c>
      <c r="D42" s="40">
        <v>1.1999999999999999E-3</v>
      </c>
      <c r="E42">
        <f t="shared" si="0"/>
        <v>40481.96071557422</v>
      </c>
      <c r="F42">
        <f t="shared" si="1"/>
        <v>40482</v>
      </c>
      <c r="G42">
        <f t="shared" si="2"/>
        <v>-2.3084000000380911E-2</v>
      </c>
      <c r="J42">
        <f>+G42</f>
        <v>-2.3084000000380911E-2</v>
      </c>
      <c r="O42">
        <f t="shared" ca="1" si="5"/>
        <v>-2.6886048726653816E-2</v>
      </c>
      <c r="Q42" s="2">
        <f t="shared" si="3"/>
        <v>39097.908900000002</v>
      </c>
    </row>
    <row r="43" spans="1:17" ht="12.95" customHeight="1" x14ac:dyDescent="0.2">
      <c r="A43" s="40" t="s">
        <v>51</v>
      </c>
      <c r="B43" s="41"/>
      <c r="C43" s="40">
        <v>54149.315699999999</v>
      </c>
      <c r="D43" s="40">
        <v>1.1000000000000001E-3</v>
      </c>
      <c r="E43">
        <f t="shared" si="0"/>
        <v>40537.961614126325</v>
      </c>
      <c r="F43">
        <f t="shared" si="1"/>
        <v>40538</v>
      </c>
      <c r="G43">
        <f t="shared" si="2"/>
        <v>-2.2556000003532972E-2</v>
      </c>
      <c r="J43">
        <f>+G43</f>
        <v>-2.2556000003532972E-2</v>
      </c>
      <c r="O43">
        <f t="shared" ca="1" si="5"/>
        <v>-2.6962244447233455E-2</v>
      </c>
      <c r="Q43" s="2">
        <f t="shared" si="3"/>
        <v>39130.815699999999</v>
      </c>
    </row>
    <row r="44" spans="1:17" ht="12.95" customHeight="1" x14ac:dyDescent="0.2">
      <c r="A44" s="40" t="s">
        <v>53</v>
      </c>
      <c r="B44" s="39" t="s">
        <v>42</v>
      </c>
      <c r="C44" s="40">
        <v>54811.843099999998</v>
      </c>
      <c r="D44" s="40">
        <v>5.9999999999999995E-4</v>
      </c>
      <c r="E44">
        <f t="shared" si="0"/>
        <v>41665.452883875747</v>
      </c>
      <c r="F44">
        <f t="shared" si="1"/>
        <v>41665.5</v>
      </c>
      <c r="G44">
        <f t="shared" si="2"/>
        <v>-2.768600000126753E-2</v>
      </c>
      <c r="K44">
        <f>+G44</f>
        <v>-2.768600000126753E-2</v>
      </c>
      <c r="O44">
        <f t="shared" ca="1" si="5"/>
        <v>-2.8496363642832409E-2</v>
      </c>
      <c r="Q44" s="2">
        <f t="shared" si="3"/>
        <v>39793.343099999998</v>
      </c>
    </row>
    <row r="45" spans="1:17" ht="12.95" customHeight="1" x14ac:dyDescent="0.2">
      <c r="A45" s="40" t="s">
        <v>54</v>
      </c>
      <c r="B45" s="39" t="s">
        <v>42</v>
      </c>
      <c r="C45" s="40">
        <v>54884.705499999996</v>
      </c>
      <c r="D45" s="40">
        <v>2.9999999999999997E-4</v>
      </c>
      <c r="E45">
        <f t="shared" si="0"/>
        <v>41789.450351592539</v>
      </c>
      <c r="F45">
        <f t="shared" si="1"/>
        <v>41789.5</v>
      </c>
      <c r="G45">
        <f t="shared" si="2"/>
        <v>-2.9174000010243617E-2</v>
      </c>
      <c r="K45">
        <f>+G45</f>
        <v>-2.9174000010243617E-2</v>
      </c>
      <c r="O45">
        <f t="shared" ca="1" si="5"/>
        <v>-2.8665082738401605E-2</v>
      </c>
      <c r="Q45" s="2">
        <f t="shared" si="3"/>
        <v>39866.205499999996</v>
      </c>
    </row>
    <row r="46" spans="1:17" x14ac:dyDescent="0.2">
      <c r="A46" s="42" t="s">
        <v>59</v>
      </c>
      <c r="B46" s="43" t="s">
        <v>35</v>
      </c>
      <c r="C46" s="42">
        <v>55263.423300000002</v>
      </c>
      <c r="D46" s="42">
        <v>4.1999999999999997E-3</v>
      </c>
      <c r="E46">
        <f t="shared" si="0"/>
        <v>42433.953527157377</v>
      </c>
      <c r="F46">
        <f t="shared" si="1"/>
        <v>42434</v>
      </c>
      <c r="G46">
        <f t="shared" si="2"/>
        <v>-2.7307999996992294E-2</v>
      </c>
      <c r="J46">
        <f>+G46</f>
        <v>-2.7307999996992294E-2</v>
      </c>
      <c r="O46">
        <f t="shared" ca="1" si="5"/>
        <v>-2.954201384400118E-2</v>
      </c>
      <c r="Q46" s="2">
        <f t="shared" si="3"/>
        <v>40244.923300000002</v>
      </c>
    </row>
    <row r="47" spans="1:17" x14ac:dyDescent="0.2">
      <c r="A47" s="46" t="s">
        <v>63</v>
      </c>
      <c r="B47" s="69"/>
      <c r="C47" s="47">
        <v>55578.385699999999</v>
      </c>
      <c r="D47" s="47">
        <v>4.8999999999999998E-3</v>
      </c>
      <c r="E47">
        <f t="shared" si="0"/>
        <v>42969.957557027417</v>
      </c>
      <c r="F47">
        <f t="shared" si="1"/>
        <v>42970</v>
      </c>
      <c r="G47">
        <f t="shared" si="2"/>
        <v>-2.4940000002970919E-2</v>
      </c>
      <c r="J47">
        <f>+G47</f>
        <v>-2.4940000002970919E-2</v>
      </c>
      <c r="O47">
        <f t="shared" ca="1" si="5"/>
        <v>-3.0271315740977717E-2</v>
      </c>
      <c r="Q47" s="2">
        <f t="shared" si="3"/>
        <v>40559.885699999999</v>
      </c>
    </row>
    <row r="48" spans="1:17" x14ac:dyDescent="0.2">
      <c r="A48" s="42" t="s">
        <v>61</v>
      </c>
      <c r="B48" s="43" t="s">
        <v>42</v>
      </c>
      <c r="C48" s="42">
        <v>55590.4231</v>
      </c>
      <c r="D48" s="42">
        <v>1.6999999999999999E-3</v>
      </c>
      <c r="E48">
        <f t="shared" si="0"/>
        <v>42990.442843236691</v>
      </c>
      <c r="F48">
        <f t="shared" si="1"/>
        <v>42990.5</v>
      </c>
      <c r="G48">
        <f t="shared" si="2"/>
        <v>-3.3586000005016103E-2</v>
      </c>
      <c r="J48">
        <f>+G48</f>
        <v>-3.3586000005016103E-2</v>
      </c>
      <c r="O48">
        <f t="shared" ca="1" si="5"/>
        <v>-3.0299208817261329E-2</v>
      </c>
      <c r="Q48" s="2">
        <f t="shared" si="3"/>
        <v>40571.9231</v>
      </c>
    </row>
    <row r="49" spans="1:17" x14ac:dyDescent="0.2">
      <c r="A49" s="42" t="s">
        <v>60</v>
      </c>
      <c r="B49" s="43" t="s">
        <v>42</v>
      </c>
      <c r="C49" s="42">
        <v>55605.700599999996</v>
      </c>
      <c r="D49" s="42">
        <v>1.1000000000000001E-3</v>
      </c>
      <c r="E49">
        <f t="shared" si="0"/>
        <v>43016.442142093751</v>
      </c>
      <c r="F49">
        <f t="shared" si="1"/>
        <v>43016.5</v>
      </c>
      <c r="G49">
        <f t="shared" si="2"/>
        <v>-3.399800000624964E-2</v>
      </c>
      <c r="K49">
        <f>+G49</f>
        <v>-3.399800000624964E-2</v>
      </c>
      <c r="O49">
        <f t="shared" ca="1" si="5"/>
        <v>-3.0334585401816161E-2</v>
      </c>
      <c r="Q49" s="2">
        <f t="shared" si="3"/>
        <v>40587.200599999996</v>
      </c>
    </row>
    <row r="50" spans="1:17" x14ac:dyDescent="0.2">
      <c r="A50" s="42" t="s">
        <v>61</v>
      </c>
      <c r="B50" s="43" t="s">
        <v>42</v>
      </c>
      <c r="C50" s="42">
        <v>55623.332300000002</v>
      </c>
      <c r="D50" s="42">
        <v>5.4999999999999997E-3</v>
      </c>
      <c r="E50">
        <f t="shared" si="0"/>
        <v>43046.44782611655</v>
      </c>
      <c r="F50">
        <f t="shared" si="1"/>
        <v>43046.5</v>
      </c>
      <c r="G50">
        <f t="shared" si="2"/>
        <v>-3.0657999996037688E-2</v>
      </c>
      <c r="J50">
        <f>+G50</f>
        <v>-3.0657999996037688E-2</v>
      </c>
      <c r="O50">
        <f t="shared" ca="1" si="5"/>
        <v>-3.0375404537840968E-2</v>
      </c>
      <c r="Q50" s="2">
        <f t="shared" si="3"/>
        <v>40604.832300000002</v>
      </c>
    </row>
    <row r="51" spans="1:17" x14ac:dyDescent="0.2">
      <c r="A51" s="61" t="s">
        <v>190</v>
      </c>
      <c r="B51" s="63" t="s">
        <v>42</v>
      </c>
      <c r="C51" s="62">
        <v>55624.498200000002</v>
      </c>
      <c r="D51" s="62" t="s">
        <v>74</v>
      </c>
      <c r="E51">
        <f t="shared" si="0"/>
        <v>43048.431958503228</v>
      </c>
      <c r="F51">
        <f t="shared" si="1"/>
        <v>43048.5</v>
      </c>
      <c r="G51">
        <f t="shared" si="2"/>
        <v>-3.9982000002055429E-2</v>
      </c>
      <c r="I51">
        <f>+G51</f>
        <v>-3.9982000002055429E-2</v>
      </c>
      <c r="O51">
        <f t="shared" ca="1" si="5"/>
        <v>-3.0378125813575955E-2</v>
      </c>
      <c r="Q51" s="2">
        <f t="shared" si="3"/>
        <v>40605.998200000002</v>
      </c>
    </row>
    <row r="52" spans="1:17" x14ac:dyDescent="0.2">
      <c r="A52" s="65" t="s">
        <v>197</v>
      </c>
      <c r="B52" s="66" t="s">
        <v>42</v>
      </c>
      <c r="C52" s="67">
        <v>55624.498599999999</v>
      </c>
      <c r="D52" s="68">
        <v>6.8999999999999999E-3</v>
      </c>
      <c r="E52">
        <f t="shared" si="0"/>
        <v>43048.432639224513</v>
      </c>
      <c r="F52">
        <f t="shared" si="1"/>
        <v>43048.5</v>
      </c>
      <c r="G52">
        <f t="shared" si="2"/>
        <v>-3.9582000004884321E-2</v>
      </c>
      <c r="K52">
        <f t="shared" ref="K52:K60" si="6">+G52</f>
        <v>-3.9582000004884321E-2</v>
      </c>
      <c r="O52">
        <f t="shared" ca="1" si="5"/>
        <v>-3.0378125813575955E-2</v>
      </c>
      <c r="Q52" s="2">
        <f t="shared" si="3"/>
        <v>40605.998599999999</v>
      </c>
    </row>
    <row r="53" spans="1:17" ht="12.95" customHeight="1" x14ac:dyDescent="0.2">
      <c r="A53" s="44" t="s">
        <v>62</v>
      </c>
      <c r="B53" s="45" t="s">
        <v>42</v>
      </c>
      <c r="C53" s="44">
        <v>55984.706100000003</v>
      </c>
      <c r="D53" s="44">
        <v>1.2999999999999999E-3</v>
      </c>
      <c r="E53">
        <f t="shared" si="0"/>
        <v>43661.434926448062</v>
      </c>
      <c r="F53">
        <f t="shared" si="1"/>
        <v>43661.5</v>
      </c>
      <c r="G53">
        <f t="shared" si="2"/>
        <v>-3.8238000001001637E-2</v>
      </c>
      <c r="K53">
        <f t="shared" si="6"/>
        <v>-3.8238000001001637E-2</v>
      </c>
      <c r="O53">
        <f t="shared" ca="1" si="5"/>
        <v>-3.1212196826349486E-2</v>
      </c>
      <c r="Q53" s="2">
        <f t="shared" si="3"/>
        <v>40966.206100000003</v>
      </c>
    </row>
    <row r="54" spans="1:17" ht="12.95" customHeight="1" x14ac:dyDescent="0.2">
      <c r="A54" s="65" t="s">
        <v>197</v>
      </c>
      <c r="B54" s="66" t="s">
        <v>35</v>
      </c>
      <c r="C54" s="67">
        <v>58075.728000000003</v>
      </c>
      <c r="D54" s="68">
        <v>3.5000000000000001E-3</v>
      </c>
      <c r="E54">
        <f t="shared" si="0"/>
        <v>47219.942751339317</v>
      </c>
      <c r="F54">
        <f t="shared" si="1"/>
        <v>47220</v>
      </c>
      <c r="G54">
        <f t="shared" si="2"/>
        <v>-3.3640000001469161E-2</v>
      </c>
      <c r="K54">
        <f t="shared" si="6"/>
        <v>-3.3640000001469161E-2</v>
      </c>
      <c r="O54">
        <f t="shared" ca="1" si="5"/>
        <v>-3.6054026677825209E-2</v>
      </c>
      <c r="Q54" s="2">
        <f t="shared" si="3"/>
        <v>43057.228000000003</v>
      </c>
    </row>
    <row r="55" spans="1:17" ht="12.95" customHeight="1" x14ac:dyDescent="0.2">
      <c r="A55" s="65" t="s">
        <v>197</v>
      </c>
      <c r="B55" s="66" t="s">
        <v>35</v>
      </c>
      <c r="C55" s="67">
        <v>58110.6901</v>
      </c>
      <c r="D55" s="68">
        <v>3.5000000000000001E-3</v>
      </c>
      <c r="E55">
        <f t="shared" si="0"/>
        <v>47279.441366071485</v>
      </c>
      <c r="F55">
        <f t="shared" si="1"/>
        <v>47279.5</v>
      </c>
      <c r="G55">
        <f t="shared" si="2"/>
        <v>-3.4454000000550877E-2</v>
      </c>
      <c r="K55">
        <f t="shared" si="6"/>
        <v>-3.4454000000550877E-2</v>
      </c>
      <c r="O55">
        <f t="shared" ca="1" si="5"/>
        <v>-3.6134984630941065E-2</v>
      </c>
      <c r="Q55" s="2">
        <f t="shared" si="3"/>
        <v>43092.1901</v>
      </c>
    </row>
    <row r="56" spans="1:17" ht="12.95" customHeight="1" x14ac:dyDescent="0.2">
      <c r="A56" s="65" t="s">
        <v>197</v>
      </c>
      <c r="B56" s="66" t="s">
        <v>35</v>
      </c>
      <c r="C56" s="67">
        <v>58891.330699999999</v>
      </c>
      <c r="D56" s="68">
        <v>3.5000000000000001E-3</v>
      </c>
      <c r="E56">
        <f t="shared" si="0"/>
        <v>48607.938061169611</v>
      </c>
      <c r="F56">
        <f t="shared" si="1"/>
        <v>48608</v>
      </c>
      <c r="G56">
        <f t="shared" si="2"/>
        <v>-3.639600000315113E-2</v>
      </c>
      <c r="K56">
        <f t="shared" si="6"/>
        <v>-3.639600000315113E-2</v>
      </c>
      <c r="O56">
        <f t="shared" ca="1" si="5"/>
        <v>-3.7942592037906224E-2</v>
      </c>
      <c r="Q56" s="2">
        <f t="shared" si="3"/>
        <v>43872.830699999999</v>
      </c>
    </row>
    <row r="57" spans="1:17" ht="12.95" customHeight="1" x14ac:dyDescent="0.2">
      <c r="A57" s="65" t="s">
        <v>197</v>
      </c>
      <c r="B57" s="66" t="s">
        <v>35</v>
      </c>
      <c r="C57" s="67">
        <v>59619.380599999997</v>
      </c>
      <c r="D57" s="68">
        <v>3.5000000000000001E-3</v>
      </c>
      <c r="E57">
        <f t="shared" si="0"/>
        <v>49846.935733102786</v>
      </c>
      <c r="F57">
        <f t="shared" si="1"/>
        <v>49847</v>
      </c>
      <c r="G57">
        <f t="shared" si="2"/>
        <v>-3.7764000007882714E-2</v>
      </c>
      <c r="K57">
        <f t="shared" si="6"/>
        <v>-3.7764000007882714E-2</v>
      </c>
      <c r="O57">
        <f t="shared" ca="1" si="5"/>
        <v>-3.9628422355730698E-2</v>
      </c>
      <c r="Q57" s="2">
        <f t="shared" si="3"/>
        <v>44600.880599999997</v>
      </c>
    </row>
    <row r="58" spans="1:17" ht="12.95" customHeight="1" x14ac:dyDescent="0.2">
      <c r="A58" s="65" t="s">
        <v>197</v>
      </c>
      <c r="B58" s="66" t="s">
        <v>35</v>
      </c>
      <c r="C58" s="67">
        <v>59631.424400000004</v>
      </c>
      <c r="D58" s="68">
        <v>3.5000000000000001E-3</v>
      </c>
      <c r="E58">
        <f t="shared" si="0"/>
        <v>49867.431910852742</v>
      </c>
      <c r="F58">
        <f t="shared" si="1"/>
        <v>49867.5</v>
      </c>
      <c r="G58">
        <f t="shared" si="2"/>
        <v>-4.0009999996982515E-2</v>
      </c>
      <c r="K58">
        <f t="shared" si="6"/>
        <v>-4.0009999996982515E-2</v>
      </c>
      <c r="O58">
        <f t="shared" ca="1" si="5"/>
        <v>-3.9656315432014318E-2</v>
      </c>
      <c r="Q58" s="2">
        <f t="shared" si="3"/>
        <v>44612.924400000004</v>
      </c>
    </row>
    <row r="59" spans="1:17" ht="12.95" customHeight="1" x14ac:dyDescent="0.2">
      <c r="A59" s="65" t="s">
        <v>197</v>
      </c>
      <c r="B59" s="66" t="s">
        <v>35</v>
      </c>
      <c r="C59" s="67">
        <v>59642.296900000001</v>
      </c>
      <c r="D59" s="68">
        <v>6.8999999999999999E-3</v>
      </c>
      <c r="E59">
        <f t="shared" si="0"/>
        <v>49885.93476647856</v>
      </c>
      <c r="F59">
        <f t="shared" si="1"/>
        <v>49886</v>
      </c>
      <c r="G59">
        <f t="shared" si="2"/>
        <v>-3.833199999644421E-2</v>
      </c>
      <c r="K59">
        <f t="shared" si="6"/>
        <v>-3.833199999644421E-2</v>
      </c>
      <c r="O59">
        <f t="shared" ca="1" si="5"/>
        <v>-3.9681487232562949E-2</v>
      </c>
      <c r="Q59" s="2">
        <f t="shared" si="3"/>
        <v>44623.796900000001</v>
      </c>
    </row>
    <row r="60" spans="1:17" ht="12.95" customHeight="1" x14ac:dyDescent="0.2">
      <c r="A60" s="65" t="s">
        <v>197</v>
      </c>
      <c r="B60" s="66" t="s">
        <v>35</v>
      </c>
      <c r="C60" s="67">
        <v>59936.690900000001</v>
      </c>
      <c r="D60" s="68">
        <v>3.5000000000000001E-3</v>
      </c>
      <c r="E60">
        <f t="shared" si="0"/>
        <v>50386.935426778211</v>
      </c>
      <c r="F60">
        <f t="shared" si="1"/>
        <v>50387</v>
      </c>
      <c r="G60">
        <f t="shared" si="2"/>
        <v>-3.7944000003335532E-2</v>
      </c>
      <c r="K60">
        <f t="shared" si="6"/>
        <v>-3.7944000003335532E-2</v>
      </c>
      <c r="O60">
        <f t="shared" ca="1" si="5"/>
        <v>-4.036316680417721E-2</v>
      </c>
      <c r="Q60" s="2">
        <f t="shared" si="3"/>
        <v>44918.190900000001</v>
      </c>
    </row>
    <row r="61" spans="1:17" ht="12.95" customHeight="1" x14ac:dyDescent="0.2">
      <c r="A61" s="68" t="s">
        <v>198</v>
      </c>
      <c r="B61" s="70" t="s">
        <v>35</v>
      </c>
      <c r="C61" s="68">
        <v>59995.451699999998</v>
      </c>
      <c r="D61" s="68">
        <v>3.5000000000000001E-3</v>
      </c>
      <c r="E61">
        <f t="shared" ref="E61" si="7">+(C61-C$7)/C$8</f>
        <v>50486.934746056912</v>
      </c>
      <c r="F61">
        <f t="shared" ref="F61" si="8">ROUND(2*E61,0)/2</f>
        <v>50487</v>
      </c>
      <c r="G61">
        <f t="shared" ref="G61" si="9">+C61-(C$7+F61*C$8)</f>
        <v>-3.8344000007782597E-2</v>
      </c>
      <c r="K61">
        <f t="shared" ref="K61" si="10">+G61</f>
        <v>-3.8344000007782597E-2</v>
      </c>
      <c r="O61">
        <f t="shared" ref="O61" ca="1" si="11">+C$11+C$12*F61</f>
        <v>-4.0499230590926562E-2</v>
      </c>
      <c r="Q61" s="2">
        <f t="shared" ref="Q61" si="12">+C61-15018.5</f>
        <v>44976.951699999998</v>
      </c>
    </row>
    <row r="62" spans="1:17" ht="12.95" customHeight="1" x14ac:dyDescent="0.2">
      <c r="B62" s="15"/>
      <c r="C62" s="16"/>
      <c r="D62" s="16"/>
    </row>
    <row r="63" spans="1:17" ht="12.95" customHeight="1" x14ac:dyDescent="0.2">
      <c r="B63" s="15"/>
      <c r="C63" s="16"/>
      <c r="D63" s="16"/>
    </row>
    <row r="64" spans="1:17" ht="12.95" customHeight="1" x14ac:dyDescent="0.2">
      <c r="B64" s="15"/>
      <c r="C64" s="16"/>
      <c r="D64" s="16"/>
    </row>
    <row r="65" spans="2:4" ht="12.95" customHeight="1" x14ac:dyDescent="0.2">
      <c r="B65" s="15"/>
      <c r="C65" s="16"/>
      <c r="D65" s="16"/>
    </row>
    <row r="66" spans="2:4" x14ac:dyDescent="0.2">
      <c r="B66" s="15"/>
      <c r="C66" s="16"/>
      <c r="D66" s="16"/>
    </row>
    <row r="67" spans="2:4" x14ac:dyDescent="0.2">
      <c r="B67" s="15"/>
      <c r="C67" s="16"/>
      <c r="D67" s="16"/>
    </row>
    <row r="68" spans="2:4" x14ac:dyDescent="0.2">
      <c r="B68" s="15"/>
      <c r="C68" s="16"/>
      <c r="D68" s="16"/>
    </row>
    <row r="69" spans="2:4" x14ac:dyDescent="0.2">
      <c r="B69" s="15"/>
      <c r="C69" s="16"/>
      <c r="D69" s="16"/>
    </row>
    <row r="70" spans="2:4" x14ac:dyDescent="0.2">
      <c r="B70" s="15"/>
      <c r="C70" s="16"/>
      <c r="D70" s="16"/>
    </row>
    <row r="71" spans="2:4" x14ac:dyDescent="0.2">
      <c r="B71" s="15"/>
      <c r="C71" s="16"/>
      <c r="D71" s="16"/>
    </row>
    <row r="72" spans="2:4" x14ac:dyDescent="0.2">
      <c r="B72" s="15"/>
      <c r="C72" s="16"/>
      <c r="D72" s="16"/>
    </row>
    <row r="73" spans="2:4" x14ac:dyDescent="0.2">
      <c r="B73" s="15"/>
      <c r="C73" s="16"/>
      <c r="D73" s="16"/>
    </row>
    <row r="74" spans="2:4" x14ac:dyDescent="0.2">
      <c r="B74" s="15"/>
      <c r="C74" s="16"/>
      <c r="D74" s="16"/>
    </row>
    <row r="75" spans="2:4" x14ac:dyDescent="0.2">
      <c r="B75" s="15"/>
      <c r="C75" s="16"/>
      <c r="D75" s="16"/>
    </row>
    <row r="76" spans="2:4" x14ac:dyDescent="0.2">
      <c r="B76" s="15"/>
      <c r="C76" s="16"/>
      <c r="D76" s="16"/>
    </row>
    <row r="77" spans="2:4" x14ac:dyDescent="0.2">
      <c r="B77" s="15"/>
      <c r="C77" s="16"/>
      <c r="D77" s="16"/>
    </row>
    <row r="78" spans="2:4" x14ac:dyDescent="0.2">
      <c r="B78" s="15"/>
      <c r="C78" s="16"/>
      <c r="D78" s="16"/>
    </row>
    <row r="79" spans="2:4" x14ac:dyDescent="0.2">
      <c r="B79" s="15"/>
      <c r="C79" s="16"/>
      <c r="D79" s="16"/>
    </row>
    <row r="80" spans="2:4" x14ac:dyDescent="0.2">
      <c r="B80" s="15"/>
      <c r="C80" s="16"/>
      <c r="D80" s="16"/>
    </row>
    <row r="81" spans="2:4" x14ac:dyDescent="0.2">
      <c r="B81" s="15"/>
      <c r="C81" s="16"/>
      <c r="D81" s="16"/>
    </row>
    <row r="82" spans="2:4" x14ac:dyDescent="0.2">
      <c r="B82" s="15"/>
      <c r="C82" s="16"/>
      <c r="D82" s="16"/>
    </row>
    <row r="83" spans="2:4" x14ac:dyDescent="0.2">
      <c r="B83" s="15"/>
      <c r="C83" s="16"/>
      <c r="D83" s="16"/>
    </row>
    <row r="84" spans="2:4" x14ac:dyDescent="0.2">
      <c r="B84" s="15"/>
      <c r="C84" s="16"/>
      <c r="D84" s="16"/>
    </row>
    <row r="85" spans="2:4" x14ac:dyDescent="0.2">
      <c r="B85" s="15"/>
      <c r="C85" s="16"/>
      <c r="D85" s="16"/>
    </row>
    <row r="86" spans="2:4" x14ac:dyDescent="0.2">
      <c r="B86" s="15"/>
      <c r="C86" s="16"/>
      <c r="D86" s="16"/>
    </row>
    <row r="87" spans="2:4" x14ac:dyDescent="0.2">
      <c r="B87" s="15"/>
      <c r="C87" s="16"/>
      <c r="D87" s="16"/>
    </row>
    <row r="88" spans="2:4" x14ac:dyDescent="0.2">
      <c r="B88" s="15"/>
      <c r="C88" s="16"/>
      <c r="D88" s="16"/>
    </row>
    <row r="89" spans="2:4" x14ac:dyDescent="0.2">
      <c r="B89" s="15"/>
      <c r="C89" s="16"/>
      <c r="D89" s="16"/>
    </row>
    <row r="90" spans="2:4" x14ac:dyDescent="0.2">
      <c r="C90" s="16"/>
      <c r="D90" s="16"/>
    </row>
    <row r="91" spans="2:4" x14ac:dyDescent="0.2">
      <c r="C91" s="16"/>
      <c r="D91" s="16"/>
    </row>
    <row r="92" spans="2:4" x14ac:dyDescent="0.2">
      <c r="C92" s="16"/>
      <c r="D92" s="16"/>
    </row>
    <row r="93" spans="2:4" x14ac:dyDescent="0.2">
      <c r="C93" s="16"/>
      <c r="D93" s="16"/>
    </row>
    <row r="94" spans="2:4" x14ac:dyDescent="0.2">
      <c r="C94" s="16"/>
      <c r="D94" s="16"/>
    </row>
    <row r="95" spans="2:4" x14ac:dyDescent="0.2">
      <c r="C95" s="16"/>
      <c r="D95" s="16"/>
    </row>
    <row r="96" spans="2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</sheetData>
  <sortState xmlns:xlrd2="http://schemas.microsoft.com/office/spreadsheetml/2017/richdata2" ref="A21:U63">
    <sortCondition ref="C21:C63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1"/>
  <sheetViews>
    <sheetView topLeftCell="A11" workbookViewId="0">
      <selection activeCell="A29" sqref="A29:D34"/>
    </sheetView>
  </sheetViews>
  <sheetFormatPr defaultRowHeight="12.75" x14ac:dyDescent="0.2"/>
  <cols>
    <col min="1" max="1" width="19.7109375" style="16" customWidth="1"/>
    <col min="2" max="2" width="4.42578125" style="14" customWidth="1"/>
    <col min="3" max="3" width="12.7109375" style="1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8" t="s">
        <v>64</v>
      </c>
      <c r="I1" s="49" t="s">
        <v>65</v>
      </c>
      <c r="J1" s="50" t="s">
        <v>66</v>
      </c>
    </row>
    <row r="2" spans="1:16" x14ac:dyDescent="0.2">
      <c r="I2" s="51" t="s">
        <v>67</v>
      </c>
      <c r="J2" s="52" t="s">
        <v>68</v>
      </c>
    </row>
    <row r="3" spans="1:16" x14ac:dyDescent="0.2">
      <c r="A3" s="53" t="s">
        <v>69</v>
      </c>
      <c r="I3" s="51" t="s">
        <v>70</v>
      </c>
      <c r="J3" s="52" t="s">
        <v>71</v>
      </c>
    </row>
    <row r="4" spans="1:16" x14ac:dyDescent="0.2">
      <c r="I4" s="51" t="s">
        <v>72</v>
      </c>
      <c r="J4" s="52" t="s">
        <v>71</v>
      </c>
    </row>
    <row r="5" spans="1:16" ht="13.5" thickBot="1" x14ac:dyDescent="0.25">
      <c r="I5" s="54" t="s">
        <v>73</v>
      </c>
      <c r="J5" s="55" t="s">
        <v>74</v>
      </c>
    </row>
    <row r="10" spans="1:16" ht="13.5" thickBot="1" x14ac:dyDescent="0.25"/>
    <row r="11" spans="1:16" ht="12.75" customHeight="1" thickBot="1" x14ac:dyDescent="0.25">
      <c r="A11" s="16" t="str">
        <f t="shared" ref="A11:A34" si="0">P11</f>
        <v>BAVM 172 </v>
      </c>
      <c r="B11" s="15" t="str">
        <f t="shared" ref="B11:B34" si="1">IF(H11=INT(H11),"I","II")</f>
        <v>I</v>
      </c>
      <c r="C11" s="16">
        <f t="shared" ref="C11:C34" si="2">1*G11</f>
        <v>52279.537300000004</v>
      </c>
      <c r="D11" s="14" t="str">
        <f t="shared" ref="D11:D34" si="3">VLOOKUP(F11,I$1:J$5,2,FALSE)</f>
        <v>vis</v>
      </c>
      <c r="E11" s="56">
        <f>VLOOKUP(C11,Active!C$21:E$972,3,FALSE)</f>
        <v>37355.966692307171</v>
      </c>
      <c r="F11" s="15" t="s">
        <v>73</v>
      </c>
      <c r="G11" s="14" t="str">
        <f t="shared" ref="G11:G34" si="4">MID(I11,3,LEN(I11)-3)</f>
        <v>52279.5373</v>
      </c>
      <c r="H11" s="16">
        <f t="shared" ref="H11:H34" si="5">1*K11</f>
        <v>37356</v>
      </c>
      <c r="I11" s="57" t="s">
        <v>91</v>
      </c>
      <c r="J11" s="58" t="s">
        <v>92</v>
      </c>
      <c r="K11" s="57">
        <v>37356</v>
      </c>
      <c r="L11" s="57" t="s">
        <v>93</v>
      </c>
      <c r="M11" s="58" t="s">
        <v>94</v>
      </c>
      <c r="N11" s="58" t="s">
        <v>95</v>
      </c>
      <c r="O11" s="59" t="s">
        <v>96</v>
      </c>
      <c r="P11" s="60" t="s">
        <v>97</v>
      </c>
    </row>
    <row r="12" spans="1:16" ht="12.75" customHeight="1" thickBot="1" x14ac:dyDescent="0.25">
      <c r="A12" s="16" t="str">
        <f t="shared" si="0"/>
        <v>BAVM 172 </v>
      </c>
      <c r="B12" s="15" t="str">
        <f t="shared" si="1"/>
        <v>I</v>
      </c>
      <c r="C12" s="16">
        <f t="shared" si="2"/>
        <v>52707.321000000004</v>
      </c>
      <c r="D12" s="14" t="str">
        <f t="shared" si="3"/>
        <v>vis</v>
      </c>
      <c r="E12" s="56">
        <f>VLOOKUP(C12,Active!C$21:E$972,3,FALSE)</f>
        <v>38083.970375009361</v>
      </c>
      <c r="F12" s="15" t="s">
        <v>73</v>
      </c>
      <c r="G12" s="14" t="str">
        <f t="shared" si="4"/>
        <v>52707.3210</v>
      </c>
      <c r="H12" s="16">
        <f t="shared" si="5"/>
        <v>38084</v>
      </c>
      <c r="I12" s="57" t="s">
        <v>98</v>
      </c>
      <c r="J12" s="58" t="s">
        <v>99</v>
      </c>
      <c r="K12" s="57" t="s">
        <v>100</v>
      </c>
      <c r="L12" s="57" t="s">
        <v>101</v>
      </c>
      <c r="M12" s="58" t="s">
        <v>94</v>
      </c>
      <c r="N12" s="58" t="s">
        <v>102</v>
      </c>
      <c r="O12" s="59" t="s">
        <v>96</v>
      </c>
      <c r="P12" s="60" t="s">
        <v>97</v>
      </c>
    </row>
    <row r="13" spans="1:16" ht="12.75" customHeight="1" thickBot="1" x14ac:dyDescent="0.25">
      <c r="A13" s="16" t="str">
        <f t="shared" si="0"/>
        <v>IBVS 5741 </v>
      </c>
      <c r="B13" s="15" t="str">
        <f t="shared" si="1"/>
        <v>I</v>
      </c>
      <c r="C13" s="16">
        <f t="shared" si="2"/>
        <v>53465.337099999997</v>
      </c>
      <c r="D13" s="14" t="str">
        <f t="shared" si="3"/>
        <v>vis</v>
      </c>
      <c r="E13" s="56">
        <f>VLOOKUP(C13,Active!C$21:E$972,3,FALSE)</f>
        <v>39373.964622914427</v>
      </c>
      <c r="F13" s="15" t="s">
        <v>73</v>
      </c>
      <c r="G13" s="14" t="str">
        <f t="shared" si="4"/>
        <v>53465.3371</v>
      </c>
      <c r="H13" s="16">
        <f t="shared" si="5"/>
        <v>39374</v>
      </c>
      <c r="I13" s="57" t="s">
        <v>110</v>
      </c>
      <c r="J13" s="58" t="s">
        <v>111</v>
      </c>
      <c r="K13" s="57" t="s">
        <v>112</v>
      </c>
      <c r="L13" s="57" t="s">
        <v>113</v>
      </c>
      <c r="M13" s="58" t="s">
        <v>94</v>
      </c>
      <c r="N13" s="58" t="s">
        <v>107</v>
      </c>
      <c r="O13" s="59" t="s">
        <v>114</v>
      </c>
      <c r="P13" s="60" t="s">
        <v>115</v>
      </c>
    </row>
    <row r="14" spans="1:16" ht="12.75" customHeight="1" thickBot="1" x14ac:dyDescent="0.25">
      <c r="A14" s="16" t="str">
        <f t="shared" si="0"/>
        <v>BAVM 178 </v>
      </c>
      <c r="B14" s="15" t="str">
        <f t="shared" si="1"/>
        <v>II</v>
      </c>
      <c r="C14" s="16">
        <f t="shared" si="2"/>
        <v>53759.427600000003</v>
      </c>
      <c r="D14" s="14" t="str">
        <f t="shared" si="3"/>
        <v>vis</v>
      </c>
      <c r="E14" s="56">
        <f>VLOOKUP(C14,Active!C$21:E$972,3,FALSE)</f>
        <v>39874.448785933579</v>
      </c>
      <c r="F14" s="15" t="s">
        <v>73</v>
      </c>
      <c r="G14" s="14" t="str">
        <f t="shared" si="4"/>
        <v>53759.4276</v>
      </c>
      <c r="H14" s="16">
        <f t="shared" si="5"/>
        <v>39874.5</v>
      </c>
      <c r="I14" s="57" t="s">
        <v>116</v>
      </c>
      <c r="J14" s="58" t="s">
        <v>117</v>
      </c>
      <c r="K14" s="57" t="s">
        <v>118</v>
      </c>
      <c r="L14" s="57" t="s">
        <v>119</v>
      </c>
      <c r="M14" s="58" t="s">
        <v>120</v>
      </c>
      <c r="N14" s="58" t="s">
        <v>95</v>
      </c>
      <c r="O14" s="59" t="s">
        <v>121</v>
      </c>
      <c r="P14" s="60" t="s">
        <v>122</v>
      </c>
    </row>
    <row r="15" spans="1:16" ht="12.75" customHeight="1" thickBot="1" x14ac:dyDescent="0.25">
      <c r="A15" s="16" t="str">
        <f t="shared" si="0"/>
        <v>BAVM 178 </v>
      </c>
      <c r="B15" s="15" t="str">
        <f t="shared" si="1"/>
        <v>II</v>
      </c>
      <c r="C15" s="16">
        <f t="shared" si="2"/>
        <v>53762.368499999997</v>
      </c>
      <c r="D15" s="14" t="str">
        <f t="shared" si="3"/>
        <v>vis</v>
      </c>
      <c r="E15" s="56">
        <f>VLOOKUP(C15,Active!C$21:E$972,3,FALSE)</f>
        <v>39879.453619054737</v>
      </c>
      <c r="F15" s="15" t="s">
        <v>73</v>
      </c>
      <c r="G15" s="14" t="str">
        <f t="shared" si="4"/>
        <v>53762.3685</v>
      </c>
      <c r="H15" s="16">
        <f t="shared" si="5"/>
        <v>39879.5</v>
      </c>
      <c r="I15" s="57" t="s">
        <v>123</v>
      </c>
      <c r="J15" s="58" t="s">
        <v>124</v>
      </c>
      <c r="K15" s="57" t="s">
        <v>125</v>
      </c>
      <c r="L15" s="57" t="s">
        <v>126</v>
      </c>
      <c r="M15" s="58" t="s">
        <v>120</v>
      </c>
      <c r="N15" s="58" t="s">
        <v>95</v>
      </c>
      <c r="O15" s="59" t="s">
        <v>121</v>
      </c>
      <c r="P15" s="60" t="s">
        <v>122</v>
      </c>
    </row>
    <row r="16" spans="1:16" ht="12.75" customHeight="1" thickBot="1" x14ac:dyDescent="0.25">
      <c r="A16" s="16" t="str">
        <f t="shared" si="0"/>
        <v>OEJV 0074 </v>
      </c>
      <c r="B16" s="15" t="str">
        <f t="shared" si="1"/>
        <v>II</v>
      </c>
      <c r="C16" s="16">
        <f t="shared" si="2"/>
        <v>54025.607179999999</v>
      </c>
      <c r="D16" s="14" t="str">
        <f t="shared" si="3"/>
        <v>vis</v>
      </c>
      <c r="E16" s="56">
        <f>VLOOKUP(C16,Active!C$21:E$972,3,FALSE)</f>
        <v>40327.434055124802</v>
      </c>
      <c r="F16" s="15" t="s">
        <v>73</v>
      </c>
      <c r="G16" s="14" t="str">
        <f t="shared" si="4"/>
        <v>54025.60718</v>
      </c>
      <c r="H16" s="16">
        <f t="shared" si="5"/>
        <v>40327.5</v>
      </c>
      <c r="I16" s="57" t="s">
        <v>127</v>
      </c>
      <c r="J16" s="58" t="s">
        <v>128</v>
      </c>
      <c r="K16" s="57" t="s">
        <v>129</v>
      </c>
      <c r="L16" s="57" t="s">
        <v>130</v>
      </c>
      <c r="M16" s="58" t="s">
        <v>120</v>
      </c>
      <c r="N16" s="58" t="s">
        <v>131</v>
      </c>
      <c r="O16" s="59" t="s">
        <v>132</v>
      </c>
      <c r="P16" s="60" t="s">
        <v>133</v>
      </c>
    </row>
    <row r="17" spans="1:16" ht="12.75" customHeight="1" thickBot="1" x14ac:dyDescent="0.25">
      <c r="A17" s="16" t="str">
        <f t="shared" si="0"/>
        <v>OEJV 0074 </v>
      </c>
      <c r="B17" s="15" t="str">
        <f t="shared" si="1"/>
        <v>I</v>
      </c>
      <c r="C17" s="16">
        <f t="shared" si="2"/>
        <v>54080.562019999998</v>
      </c>
      <c r="D17" s="14" t="str">
        <f t="shared" si="3"/>
        <v>vis</v>
      </c>
      <c r="E17" s="56">
        <f>VLOOKUP(C17,Active!C$21:E$972,3,FALSE)</f>
        <v>40420.956379379582</v>
      </c>
      <c r="F17" s="15" t="s">
        <v>73</v>
      </c>
      <c r="G17" s="14" t="str">
        <f t="shared" si="4"/>
        <v>54080.56202</v>
      </c>
      <c r="H17" s="16">
        <f t="shared" si="5"/>
        <v>40421</v>
      </c>
      <c r="I17" s="57" t="s">
        <v>134</v>
      </c>
      <c r="J17" s="58" t="s">
        <v>135</v>
      </c>
      <c r="K17" s="57" t="s">
        <v>136</v>
      </c>
      <c r="L17" s="57" t="s">
        <v>137</v>
      </c>
      <c r="M17" s="58" t="s">
        <v>120</v>
      </c>
      <c r="N17" s="58" t="s">
        <v>131</v>
      </c>
      <c r="O17" s="59" t="s">
        <v>132</v>
      </c>
      <c r="P17" s="60" t="s">
        <v>133</v>
      </c>
    </row>
    <row r="18" spans="1:16" ht="12.75" customHeight="1" thickBot="1" x14ac:dyDescent="0.25">
      <c r="A18" s="16" t="str">
        <f t="shared" si="0"/>
        <v>BAVM 183 </v>
      </c>
      <c r="B18" s="15" t="str">
        <f t="shared" si="1"/>
        <v>I</v>
      </c>
      <c r="C18" s="16">
        <f t="shared" si="2"/>
        <v>54096.4274</v>
      </c>
      <c r="D18" s="14" t="str">
        <f t="shared" si="3"/>
        <v>vis</v>
      </c>
      <c r="E18" s="56">
        <f>VLOOKUP(C18,Active!C$21:E$972,3,FALSE)</f>
        <v>40447.956134319924</v>
      </c>
      <c r="F18" s="15" t="s">
        <v>73</v>
      </c>
      <c r="G18" s="14" t="str">
        <f t="shared" si="4"/>
        <v>54096.4274</v>
      </c>
      <c r="H18" s="16">
        <f t="shared" si="5"/>
        <v>40448</v>
      </c>
      <c r="I18" s="57" t="s">
        <v>138</v>
      </c>
      <c r="J18" s="58" t="s">
        <v>139</v>
      </c>
      <c r="K18" s="57" t="s">
        <v>140</v>
      </c>
      <c r="L18" s="57" t="s">
        <v>141</v>
      </c>
      <c r="M18" s="58" t="s">
        <v>120</v>
      </c>
      <c r="N18" s="58" t="s">
        <v>95</v>
      </c>
      <c r="O18" s="59" t="s">
        <v>121</v>
      </c>
      <c r="P18" s="60" t="s">
        <v>142</v>
      </c>
    </row>
    <row r="19" spans="1:16" ht="12.75" customHeight="1" thickBot="1" x14ac:dyDescent="0.25">
      <c r="A19" s="16" t="str">
        <f t="shared" si="0"/>
        <v>BAVM 186 </v>
      </c>
      <c r="B19" s="15" t="str">
        <f t="shared" si="1"/>
        <v>I</v>
      </c>
      <c r="C19" s="16">
        <f t="shared" si="2"/>
        <v>54116.408900000002</v>
      </c>
      <c r="D19" s="14" t="str">
        <f t="shared" si="3"/>
        <v>vis</v>
      </c>
      <c r="E19" s="56">
        <f>VLOOKUP(C19,Active!C$21:E$972,3,FALSE)</f>
        <v>40481.96071557422</v>
      </c>
      <c r="F19" s="15" t="s">
        <v>73</v>
      </c>
      <c r="G19" s="14" t="str">
        <f t="shared" si="4"/>
        <v>54116.4089</v>
      </c>
      <c r="H19" s="16">
        <f t="shared" si="5"/>
        <v>40482</v>
      </c>
      <c r="I19" s="57" t="s">
        <v>143</v>
      </c>
      <c r="J19" s="58" t="s">
        <v>144</v>
      </c>
      <c r="K19" s="57" t="s">
        <v>145</v>
      </c>
      <c r="L19" s="57" t="s">
        <v>146</v>
      </c>
      <c r="M19" s="58" t="s">
        <v>120</v>
      </c>
      <c r="N19" s="58" t="s">
        <v>95</v>
      </c>
      <c r="O19" s="59" t="s">
        <v>96</v>
      </c>
      <c r="P19" s="60" t="s">
        <v>147</v>
      </c>
    </row>
    <row r="20" spans="1:16" ht="12.75" customHeight="1" thickBot="1" x14ac:dyDescent="0.25">
      <c r="A20" s="16" t="str">
        <f t="shared" si="0"/>
        <v>BAVM 186 </v>
      </c>
      <c r="B20" s="15" t="str">
        <f t="shared" si="1"/>
        <v>I</v>
      </c>
      <c r="C20" s="16">
        <f t="shared" si="2"/>
        <v>54149.315699999999</v>
      </c>
      <c r="D20" s="14" t="str">
        <f t="shared" si="3"/>
        <v>vis</v>
      </c>
      <c r="E20" s="56">
        <f>VLOOKUP(C20,Active!C$21:E$972,3,FALSE)</f>
        <v>40537.961614126325</v>
      </c>
      <c r="F20" s="15" t="s">
        <v>73</v>
      </c>
      <c r="G20" s="14" t="str">
        <f t="shared" si="4"/>
        <v>54149.3157</v>
      </c>
      <c r="H20" s="16">
        <f t="shared" si="5"/>
        <v>40538</v>
      </c>
      <c r="I20" s="57" t="s">
        <v>148</v>
      </c>
      <c r="J20" s="58" t="s">
        <v>149</v>
      </c>
      <c r="K20" s="57" t="s">
        <v>150</v>
      </c>
      <c r="L20" s="57" t="s">
        <v>151</v>
      </c>
      <c r="M20" s="58" t="s">
        <v>120</v>
      </c>
      <c r="N20" s="58" t="s">
        <v>95</v>
      </c>
      <c r="O20" s="59" t="s">
        <v>79</v>
      </c>
      <c r="P20" s="60" t="s">
        <v>147</v>
      </c>
    </row>
    <row r="21" spans="1:16" ht="12.75" customHeight="1" thickBot="1" x14ac:dyDescent="0.25">
      <c r="A21" s="16" t="str">
        <f t="shared" si="0"/>
        <v>IBVS 5871 </v>
      </c>
      <c r="B21" s="15" t="str">
        <f t="shared" si="1"/>
        <v>II</v>
      </c>
      <c r="C21" s="16">
        <f t="shared" si="2"/>
        <v>54811.843099999998</v>
      </c>
      <c r="D21" s="14" t="str">
        <f t="shared" si="3"/>
        <v>vis</v>
      </c>
      <c r="E21" s="56">
        <f>VLOOKUP(C21,Active!C$21:E$972,3,FALSE)</f>
        <v>41665.452883875747</v>
      </c>
      <c r="F21" s="15" t="s">
        <v>73</v>
      </c>
      <c r="G21" s="14" t="str">
        <f t="shared" si="4"/>
        <v>54811.8431</v>
      </c>
      <c r="H21" s="16">
        <f t="shared" si="5"/>
        <v>41665.5</v>
      </c>
      <c r="I21" s="57" t="s">
        <v>152</v>
      </c>
      <c r="J21" s="58" t="s">
        <v>153</v>
      </c>
      <c r="K21" s="57" t="s">
        <v>154</v>
      </c>
      <c r="L21" s="57" t="s">
        <v>155</v>
      </c>
      <c r="M21" s="58" t="s">
        <v>120</v>
      </c>
      <c r="N21" s="58" t="s">
        <v>73</v>
      </c>
      <c r="O21" s="59" t="s">
        <v>156</v>
      </c>
      <c r="P21" s="60" t="s">
        <v>157</v>
      </c>
    </row>
    <row r="22" spans="1:16" ht="12.75" customHeight="1" thickBot="1" x14ac:dyDescent="0.25">
      <c r="A22" s="16" t="str">
        <f t="shared" si="0"/>
        <v>IBVS 5894 </v>
      </c>
      <c r="B22" s="15" t="str">
        <f t="shared" si="1"/>
        <v>II</v>
      </c>
      <c r="C22" s="16">
        <f t="shared" si="2"/>
        <v>54884.705499999996</v>
      </c>
      <c r="D22" s="14" t="str">
        <f t="shared" si="3"/>
        <v>vis</v>
      </c>
      <c r="E22" s="56">
        <f>VLOOKUP(C22,Active!C$21:E$972,3,FALSE)</f>
        <v>41789.450351592539</v>
      </c>
      <c r="F22" s="15" t="s">
        <v>73</v>
      </c>
      <c r="G22" s="14" t="str">
        <f t="shared" si="4"/>
        <v>54884.7055</v>
      </c>
      <c r="H22" s="16">
        <f t="shared" si="5"/>
        <v>41789.5</v>
      </c>
      <c r="I22" s="57" t="s">
        <v>158</v>
      </c>
      <c r="J22" s="58" t="s">
        <v>159</v>
      </c>
      <c r="K22" s="57" t="s">
        <v>160</v>
      </c>
      <c r="L22" s="57" t="s">
        <v>161</v>
      </c>
      <c r="M22" s="58" t="s">
        <v>120</v>
      </c>
      <c r="N22" s="58" t="s">
        <v>73</v>
      </c>
      <c r="O22" s="59" t="s">
        <v>156</v>
      </c>
      <c r="P22" s="60" t="s">
        <v>162</v>
      </c>
    </row>
    <row r="23" spans="1:16" ht="12.75" customHeight="1" thickBot="1" x14ac:dyDescent="0.25">
      <c r="A23" s="16" t="str">
        <f t="shared" si="0"/>
        <v>BAVM 214 </v>
      </c>
      <c r="B23" s="15" t="str">
        <f t="shared" si="1"/>
        <v>I</v>
      </c>
      <c r="C23" s="16">
        <f t="shared" si="2"/>
        <v>55263.423300000002</v>
      </c>
      <c r="D23" s="14" t="str">
        <f t="shared" si="3"/>
        <v>vis</v>
      </c>
      <c r="E23" s="56">
        <f>VLOOKUP(C23,Active!C$21:E$972,3,FALSE)</f>
        <v>42433.953527157377</v>
      </c>
      <c r="F23" s="15" t="s">
        <v>73</v>
      </c>
      <c r="G23" s="14" t="str">
        <f t="shared" si="4"/>
        <v>55263.4233</v>
      </c>
      <c r="H23" s="16">
        <f t="shared" si="5"/>
        <v>42434</v>
      </c>
      <c r="I23" s="57" t="s">
        <v>163</v>
      </c>
      <c r="J23" s="58" t="s">
        <v>164</v>
      </c>
      <c r="K23" s="57" t="s">
        <v>165</v>
      </c>
      <c r="L23" s="57" t="s">
        <v>126</v>
      </c>
      <c r="M23" s="58" t="s">
        <v>120</v>
      </c>
      <c r="N23" s="58" t="s">
        <v>95</v>
      </c>
      <c r="O23" s="59" t="s">
        <v>96</v>
      </c>
      <c r="P23" s="60" t="s">
        <v>166</v>
      </c>
    </row>
    <row r="24" spans="1:16" ht="12.75" customHeight="1" thickBot="1" x14ac:dyDescent="0.25">
      <c r="A24" s="16" t="str">
        <f t="shared" si="0"/>
        <v>BAVM 215 </v>
      </c>
      <c r="B24" s="15" t="str">
        <f t="shared" si="1"/>
        <v>I</v>
      </c>
      <c r="C24" s="16">
        <f t="shared" si="2"/>
        <v>55578.385699999999</v>
      </c>
      <c r="D24" s="14" t="str">
        <f t="shared" si="3"/>
        <v>vis</v>
      </c>
      <c r="E24" s="56">
        <f>VLOOKUP(C24,Active!C$21:E$972,3,FALSE)</f>
        <v>42969.957557027417</v>
      </c>
      <c r="F24" s="15" t="s">
        <v>73</v>
      </c>
      <c r="G24" s="14" t="str">
        <f t="shared" si="4"/>
        <v>55578.3857</v>
      </c>
      <c r="H24" s="16">
        <f t="shared" si="5"/>
        <v>42970</v>
      </c>
      <c r="I24" s="57" t="s">
        <v>167</v>
      </c>
      <c r="J24" s="58" t="s">
        <v>168</v>
      </c>
      <c r="K24" s="57" t="s">
        <v>169</v>
      </c>
      <c r="L24" s="57" t="s">
        <v>170</v>
      </c>
      <c r="M24" s="58" t="s">
        <v>120</v>
      </c>
      <c r="N24" s="58" t="s">
        <v>95</v>
      </c>
      <c r="O24" s="59" t="s">
        <v>96</v>
      </c>
      <c r="P24" s="60" t="s">
        <v>171</v>
      </c>
    </row>
    <row r="25" spans="1:16" ht="12.75" customHeight="1" thickBot="1" x14ac:dyDescent="0.25">
      <c r="A25" s="16" t="str">
        <f t="shared" si="0"/>
        <v>BAVM 220 </v>
      </c>
      <c r="B25" s="15" t="str">
        <f t="shared" si="1"/>
        <v>II</v>
      </c>
      <c r="C25" s="16">
        <f t="shared" si="2"/>
        <v>55590.4231</v>
      </c>
      <c r="D25" s="14" t="str">
        <f t="shared" si="3"/>
        <v>vis</v>
      </c>
      <c r="E25" s="56">
        <f>VLOOKUP(C25,Active!C$21:E$972,3,FALSE)</f>
        <v>42990.442843236691</v>
      </c>
      <c r="F25" s="15" t="s">
        <v>73</v>
      </c>
      <c r="G25" s="14" t="str">
        <f t="shared" si="4"/>
        <v>55590.4231</v>
      </c>
      <c r="H25" s="16">
        <f t="shared" si="5"/>
        <v>42990.5</v>
      </c>
      <c r="I25" s="57" t="s">
        <v>172</v>
      </c>
      <c r="J25" s="58" t="s">
        <v>173</v>
      </c>
      <c r="K25" s="57" t="s">
        <v>174</v>
      </c>
      <c r="L25" s="57" t="s">
        <v>175</v>
      </c>
      <c r="M25" s="58" t="s">
        <v>120</v>
      </c>
      <c r="N25" s="58" t="s">
        <v>95</v>
      </c>
      <c r="O25" s="59" t="s">
        <v>79</v>
      </c>
      <c r="P25" s="60" t="s">
        <v>176</v>
      </c>
    </row>
    <row r="26" spans="1:16" ht="12.75" customHeight="1" thickBot="1" x14ac:dyDescent="0.25">
      <c r="A26" s="16" t="str">
        <f t="shared" si="0"/>
        <v>IBVS 5992 </v>
      </c>
      <c r="B26" s="15" t="str">
        <f t="shared" si="1"/>
        <v>II</v>
      </c>
      <c r="C26" s="16">
        <f t="shared" si="2"/>
        <v>55605.700599999996</v>
      </c>
      <c r="D26" s="14" t="str">
        <f t="shared" si="3"/>
        <v>vis</v>
      </c>
      <c r="E26" s="56">
        <f>VLOOKUP(C26,Active!C$21:E$972,3,FALSE)</f>
        <v>43016.442142093751</v>
      </c>
      <c r="F26" s="15" t="s">
        <v>73</v>
      </c>
      <c r="G26" s="14" t="str">
        <f t="shared" si="4"/>
        <v>55605.7006</v>
      </c>
      <c r="H26" s="16">
        <f t="shared" si="5"/>
        <v>43016.5</v>
      </c>
      <c r="I26" s="57" t="s">
        <v>177</v>
      </c>
      <c r="J26" s="58" t="s">
        <v>178</v>
      </c>
      <c r="K26" s="57" t="s">
        <v>179</v>
      </c>
      <c r="L26" s="57" t="s">
        <v>180</v>
      </c>
      <c r="M26" s="58" t="s">
        <v>120</v>
      </c>
      <c r="N26" s="58" t="s">
        <v>73</v>
      </c>
      <c r="O26" s="59" t="s">
        <v>156</v>
      </c>
      <c r="P26" s="60" t="s">
        <v>181</v>
      </c>
    </row>
    <row r="27" spans="1:16" ht="12.75" customHeight="1" thickBot="1" x14ac:dyDescent="0.25">
      <c r="A27" s="16" t="str">
        <f t="shared" si="0"/>
        <v>BAVM 220 </v>
      </c>
      <c r="B27" s="15" t="str">
        <f t="shared" si="1"/>
        <v>II</v>
      </c>
      <c r="C27" s="16">
        <f t="shared" si="2"/>
        <v>55623.332300000002</v>
      </c>
      <c r="D27" s="14" t="str">
        <f t="shared" si="3"/>
        <v>vis</v>
      </c>
      <c r="E27" s="56">
        <f>VLOOKUP(C27,Active!C$21:E$972,3,FALSE)</f>
        <v>43046.44782611655</v>
      </c>
      <c r="F27" s="15" t="s">
        <v>73</v>
      </c>
      <c r="G27" s="14" t="str">
        <f t="shared" si="4"/>
        <v>55623.3323</v>
      </c>
      <c r="H27" s="16">
        <f t="shared" si="5"/>
        <v>43046.5</v>
      </c>
      <c r="I27" s="57" t="s">
        <v>182</v>
      </c>
      <c r="J27" s="58" t="s">
        <v>183</v>
      </c>
      <c r="K27" s="57" t="s">
        <v>184</v>
      </c>
      <c r="L27" s="57" t="s">
        <v>185</v>
      </c>
      <c r="M27" s="58" t="s">
        <v>120</v>
      </c>
      <c r="N27" s="58" t="s">
        <v>95</v>
      </c>
      <c r="O27" s="59" t="s">
        <v>96</v>
      </c>
      <c r="P27" s="60" t="s">
        <v>176</v>
      </c>
    </row>
    <row r="28" spans="1:16" ht="12.75" customHeight="1" thickBot="1" x14ac:dyDescent="0.25">
      <c r="A28" s="16" t="str">
        <f t="shared" si="0"/>
        <v>IBVS 6029 </v>
      </c>
      <c r="B28" s="15" t="str">
        <f t="shared" si="1"/>
        <v>II</v>
      </c>
      <c r="C28" s="16">
        <f t="shared" si="2"/>
        <v>55984.706100000003</v>
      </c>
      <c r="D28" s="14" t="str">
        <f t="shared" si="3"/>
        <v>vis</v>
      </c>
      <c r="E28" s="56">
        <f>VLOOKUP(C28,Active!C$21:E$972,3,FALSE)</f>
        <v>43661.434926448062</v>
      </c>
      <c r="F28" s="15" t="s">
        <v>73</v>
      </c>
      <c r="G28" s="14" t="str">
        <f t="shared" si="4"/>
        <v>55984.7061</v>
      </c>
      <c r="H28" s="16">
        <f t="shared" si="5"/>
        <v>43661.5</v>
      </c>
      <c r="I28" s="57" t="s">
        <v>191</v>
      </c>
      <c r="J28" s="58" t="s">
        <v>192</v>
      </c>
      <c r="K28" s="57" t="s">
        <v>193</v>
      </c>
      <c r="L28" s="57" t="s">
        <v>194</v>
      </c>
      <c r="M28" s="58" t="s">
        <v>120</v>
      </c>
      <c r="N28" s="58" t="s">
        <v>73</v>
      </c>
      <c r="O28" s="59" t="s">
        <v>156</v>
      </c>
      <c r="P28" s="60" t="s">
        <v>195</v>
      </c>
    </row>
    <row r="29" spans="1:16" ht="12.75" customHeight="1" thickBot="1" x14ac:dyDescent="0.25">
      <c r="A29" s="16" t="str">
        <f t="shared" si="0"/>
        <v>BAVM 179 </v>
      </c>
      <c r="B29" s="15" t="str">
        <f t="shared" si="1"/>
        <v>I</v>
      </c>
      <c r="C29" s="16">
        <f t="shared" si="2"/>
        <v>46467.500999999997</v>
      </c>
      <c r="D29" s="14" t="str">
        <f t="shared" si="3"/>
        <v>vis</v>
      </c>
      <c r="E29" s="56">
        <f>VLOOKUP(C29,Active!C$21:E$972,3,FALSE)</f>
        <v>27465.024540002578</v>
      </c>
      <c r="F29" s="15" t="s">
        <v>73</v>
      </c>
      <c r="G29" s="14" t="str">
        <f t="shared" si="4"/>
        <v>46467.501</v>
      </c>
      <c r="H29" s="16">
        <f t="shared" si="5"/>
        <v>27465</v>
      </c>
      <c r="I29" s="57" t="s">
        <v>76</v>
      </c>
      <c r="J29" s="58" t="s">
        <v>77</v>
      </c>
      <c r="K29" s="57">
        <v>27465</v>
      </c>
      <c r="L29" s="57" t="s">
        <v>78</v>
      </c>
      <c r="M29" s="58" t="s">
        <v>75</v>
      </c>
      <c r="N29" s="58"/>
      <c r="O29" s="59" t="s">
        <v>79</v>
      </c>
      <c r="P29" s="60" t="s">
        <v>80</v>
      </c>
    </row>
    <row r="30" spans="1:16" ht="12.75" customHeight="1" thickBot="1" x14ac:dyDescent="0.25">
      <c r="A30" s="16" t="str">
        <f t="shared" si="0"/>
        <v>BAVM 179 </v>
      </c>
      <c r="B30" s="15" t="str">
        <f t="shared" si="1"/>
        <v>I</v>
      </c>
      <c r="C30" s="16">
        <f t="shared" si="2"/>
        <v>47826.601000000002</v>
      </c>
      <c r="D30" s="14" t="str">
        <f t="shared" si="3"/>
        <v>vis</v>
      </c>
      <c r="E30" s="56">
        <f>VLOOKUP(C30,Active!C$21:E$972,3,FALSE)</f>
        <v>29777.945310851377</v>
      </c>
      <c r="F30" s="15" t="s">
        <v>73</v>
      </c>
      <c r="G30" s="14" t="str">
        <f t="shared" si="4"/>
        <v>47826.601</v>
      </c>
      <c r="H30" s="16">
        <f t="shared" si="5"/>
        <v>29778</v>
      </c>
      <c r="I30" s="57" t="s">
        <v>81</v>
      </c>
      <c r="J30" s="58" t="s">
        <v>82</v>
      </c>
      <c r="K30" s="57">
        <v>29778</v>
      </c>
      <c r="L30" s="57" t="s">
        <v>83</v>
      </c>
      <c r="M30" s="58" t="s">
        <v>75</v>
      </c>
      <c r="N30" s="58"/>
      <c r="O30" s="59" t="s">
        <v>79</v>
      </c>
      <c r="P30" s="60" t="s">
        <v>80</v>
      </c>
    </row>
    <row r="31" spans="1:16" ht="12.75" customHeight="1" thickBot="1" x14ac:dyDescent="0.25">
      <c r="A31" s="16" t="str">
        <f t="shared" si="0"/>
        <v>BAVM 179 </v>
      </c>
      <c r="B31" s="15" t="str">
        <f t="shared" si="1"/>
        <v>I</v>
      </c>
      <c r="C31" s="16">
        <f t="shared" si="2"/>
        <v>48275.561000000002</v>
      </c>
      <c r="D31" s="14" t="str">
        <f t="shared" si="3"/>
        <v>vis</v>
      </c>
      <c r="E31" s="56">
        <f>VLOOKUP(C31,Active!C$21:E$972,3,FALSE)</f>
        <v>30541.986889307907</v>
      </c>
      <c r="F31" s="15" t="s">
        <v>73</v>
      </c>
      <c r="G31" s="14" t="str">
        <f t="shared" si="4"/>
        <v>48275.561</v>
      </c>
      <c r="H31" s="16">
        <f t="shared" si="5"/>
        <v>30542</v>
      </c>
      <c r="I31" s="57" t="s">
        <v>84</v>
      </c>
      <c r="J31" s="58" t="s">
        <v>85</v>
      </c>
      <c r="K31" s="57">
        <v>30542</v>
      </c>
      <c r="L31" s="57" t="s">
        <v>86</v>
      </c>
      <c r="M31" s="58" t="s">
        <v>75</v>
      </c>
      <c r="N31" s="58"/>
      <c r="O31" s="59" t="s">
        <v>79</v>
      </c>
      <c r="P31" s="60" t="s">
        <v>80</v>
      </c>
    </row>
    <row r="32" spans="1:16" ht="12.75" customHeight="1" thickBot="1" x14ac:dyDescent="0.25">
      <c r="A32" s="16" t="str">
        <f t="shared" si="0"/>
        <v>BAVM 68 </v>
      </c>
      <c r="B32" s="15" t="str">
        <f t="shared" si="1"/>
        <v>I</v>
      </c>
      <c r="C32" s="16">
        <f t="shared" si="2"/>
        <v>49311.502</v>
      </c>
      <c r="D32" s="14" t="str">
        <f t="shared" si="3"/>
        <v>vis</v>
      </c>
      <c r="E32" s="56">
        <f>VLOOKUP(C32,Active!C$21:E$972,3,FALSE)</f>
        <v>32304.954629925865</v>
      </c>
      <c r="F32" s="15" t="s">
        <v>73</v>
      </c>
      <c r="G32" s="14" t="str">
        <f t="shared" si="4"/>
        <v>49311.502</v>
      </c>
      <c r="H32" s="16">
        <f t="shared" si="5"/>
        <v>32305</v>
      </c>
      <c r="I32" s="57" t="s">
        <v>87</v>
      </c>
      <c r="J32" s="58" t="s">
        <v>88</v>
      </c>
      <c r="K32" s="57">
        <v>32305</v>
      </c>
      <c r="L32" s="57" t="s">
        <v>89</v>
      </c>
      <c r="M32" s="58" t="s">
        <v>75</v>
      </c>
      <c r="N32" s="58"/>
      <c r="O32" s="59" t="s">
        <v>79</v>
      </c>
      <c r="P32" s="60" t="s">
        <v>90</v>
      </c>
    </row>
    <row r="33" spans="1:16" ht="12.75" customHeight="1" thickBot="1" x14ac:dyDescent="0.25">
      <c r="A33" s="16" t="str">
        <f t="shared" si="0"/>
        <v>IBVS 5672 </v>
      </c>
      <c r="B33" s="15" t="str">
        <f t="shared" si="1"/>
        <v>II</v>
      </c>
      <c r="C33" s="16">
        <f t="shared" si="2"/>
        <v>53442.708599999998</v>
      </c>
      <c r="D33" s="14" t="str">
        <f t="shared" si="3"/>
        <v>vis</v>
      </c>
      <c r="E33" s="56" t="e">
        <f>VLOOKUP(C33,Active!C$21:E$972,3,FALSE)</f>
        <v>#N/A</v>
      </c>
      <c r="F33" s="15" t="s">
        <v>73</v>
      </c>
      <c r="G33" s="14" t="str">
        <f t="shared" si="4"/>
        <v>53442.7086</v>
      </c>
      <c r="H33" s="16">
        <f t="shared" si="5"/>
        <v>39335.5</v>
      </c>
      <c r="I33" s="57" t="s">
        <v>103</v>
      </c>
      <c r="J33" s="58" t="s">
        <v>104</v>
      </c>
      <c r="K33" s="57" t="s">
        <v>105</v>
      </c>
      <c r="L33" s="57" t="s">
        <v>106</v>
      </c>
      <c r="M33" s="58" t="s">
        <v>94</v>
      </c>
      <c r="N33" s="58" t="s">
        <v>107</v>
      </c>
      <c r="O33" s="59" t="s">
        <v>108</v>
      </c>
      <c r="P33" s="60" t="s">
        <v>109</v>
      </c>
    </row>
    <row r="34" spans="1:16" ht="12.75" customHeight="1" thickBot="1" x14ac:dyDescent="0.25">
      <c r="A34" s="16" t="str">
        <f t="shared" si="0"/>
        <v>BAVM 225 </v>
      </c>
      <c r="B34" s="15" t="str">
        <f t="shared" si="1"/>
        <v>II</v>
      </c>
      <c r="C34" s="16">
        <f t="shared" si="2"/>
        <v>55624.498200000002</v>
      </c>
      <c r="D34" s="14" t="str">
        <f t="shared" si="3"/>
        <v>vis</v>
      </c>
      <c r="E34" s="56">
        <f>VLOOKUP(C34,Active!C$21:E$972,3,FALSE)</f>
        <v>43048.431958503228</v>
      </c>
      <c r="F34" s="15" t="s">
        <v>73</v>
      </c>
      <c r="G34" s="14" t="str">
        <f t="shared" si="4"/>
        <v>55624.4982</v>
      </c>
      <c r="H34" s="16">
        <f t="shared" si="5"/>
        <v>43048.5</v>
      </c>
      <c r="I34" s="57" t="s">
        <v>186</v>
      </c>
      <c r="J34" s="58" t="s">
        <v>187</v>
      </c>
      <c r="K34" s="57" t="s">
        <v>188</v>
      </c>
      <c r="L34" s="57" t="s">
        <v>189</v>
      </c>
      <c r="M34" s="58" t="s">
        <v>120</v>
      </c>
      <c r="N34" s="58" t="s">
        <v>95</v>
      </c>
      <c r="O34" s="59" t="s">
        <v>79</v>
      </c>
      <c r="P34" s="60" t="s">
        <v>190</v>
      </c>
    </row>
    <row r="35" spans="1:16" x14ac:dyDescent="0.2">
      <c r="B35" s="15"/>
      <c r="F35" s="15"/>
    </row>
    <row r="36" spans="1:16" x14ac:dyDescent="0.2">
      <c r="B36" s="15"/>
      <c r="F36" s="15"/>
    </row>
    <row r="37" spans="1:16" x14ac:dyDescent="0.2">
      <c r="B37" s="15"/>
      <c r="F37" s="15"/>
    </row>
    <row r="38" spans="1:16" x14ac:dyDescent="0.2">
      <c r="B38" s="15"/>
      <c r="F38" s="15"/>
    </row>
    <row r="39" spans="1:16" x14ac:dyDescent="0.2">
      <c r="B39" s="15"/>
      <c r="F39" s="15"/>
    </row>
    <row r="40" spans="1:16" x14ac:dyDescent="0.2">
      <c r="B40" s="15"/>
      <c r="F40" s="15"/>
    </row>
    <row r="41" spans="1:16" x14ac:dyDescent="0.2">
      <c r="B41" s="15"/>
      <c r="F41" s="15"/>
    </row>
    <row r="42" spans="1:16" x14ac:dyDescent="0.2">
      <c r="B42" s="15"/>
      <c r="F42" s="15"/>
    </row>
    <row r="43" spans="1:16" x14ac:dyDescent="0.2">
      <c r="B43" s="15"/>
      <c r="F43" s="15"/>
    </row>
    <row r="44" spans="1:16" x14ac:dyDescent="0.2">
      <c r="B44" s="15"/>
      <c r="F44" s="15"/>
    </row>
    <row r="45" spans="1:16" x14ac:dyDescent="0.2">
      <c r="B45" s="15"/>
      <c r="F45" s="15"/>
    </row>
    <row r="46" spans="1:16" x14ac:dyDescent="0.2">
      <c r="B46" s="15"/>
      <c r="F46" s="15"/>
    </row>
    <row r="47" spans="1:16" x14ac:dyDescent="0.2">
      <c r="B47" s="15"/>
      <c r="F47" s="15"/>
    </row>
    <row r="48" spans="1:1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</sheetData>
  <phoneticPr fontId="7" type="noConversion"/>
  <hyperlinks>
    <hyperlink ref="P29" r:id="rId1" display="http://www.bav-astro.de/sfs/BAVM_link.php?BAVMnr=179" xr:uid="{00000000-0004-0000-0100-000000000000}"/>
    <hyperlink ref="P30" r:id="rId2" display="http://www.bav-astro.de/sfs/BAVM_link.php?BAVMnr=179" xr:uid="{00000000-0004-0000-0100-000001000000}"/>
    <hyperlink ref="P31" r:id="rId3" display="http://www.bav-astro.de/sfs/BAVM_link.php?BAVMnr=179" xr:uid="{00000000-0004-0000-0100-000002000000}"/>
    <hyperlink ref="P32" r:id="rId4" display="http://www.bav-astro.de/sfs/BAVM_link.php?BAVMnr=68" xr:uid="{00000000-0004-0000-0100-000003000000}"/>
    <hyperlink ref="P11" r:id="rId5" display="http://www.bav-astro.de/sfs/BAVM_link.php?BAVMnr=172" xr:uid="{00000000-0004-0000-0100-000004000000}"/>
    <hyperlink ref="P12" r:id="rId6" display="http://www.bav-astro.de/sfs/BAVM_link.php?BAVMnr=172" xr:uid="{00000000-0004-0000-0100-000005000000}"/>
    <hyperlink ref="P33" r:id="rId7" display="http://www.konkoly.hu/cgi-bin/IBVS?5672" xr:uid="{00000000-0004-0000-0100-000006000000}"/>
    <hyperlink ref="P13" r:id="rId8" display="http://www.konkoly.hu/cgi-bin/IBVS?5741" xr:uid="{00000000-0004-0000-0100-000007000000}"/>
    <hyperlink ref="P14" r:id="rId9" display="http://www.bav-astro.de/sfs/BAVM_link.php?BAVMnr=178" xr:uid="{00000000-0004-0000-0100-000008000000}"/>
    <hyperlink ref="P15" r:id="rId10" display="http://www.bav-astro.de/sfs/BAVM_link.php?BAVMnr=178" xr:uid="{00000000-0004-0000-0100-000009000000}"/>
    <hyperlink ref="P16" r:id="rId11" display="http://var.astro.cz/oejv/issues/oejv0074.pdf" xr:uid="{00000000-0004-0000-0100-00000A000000}"/>
    <hyperlink ref="P17" r:id="rId12" display="http://var.astro.cz/oejv/issues/oejv0074.pdf" xr:uid="{00000000-0004-0000-0100-00000B000000}"/>
    <hyperlink ref="P18" r:id="rId13" display="http://www.bav-astro.de/sfs/BAVM_link.php?BAVMnr=183" xr:uid="{00000000-0004-0000-0100-00000C000000}"/>
    <hyperlink ref="P19" r:id="rId14" display="http://www.bav-astro.de/sfs/BAVM_link.php?BAVMnr=186" xr:uid="{00000000-0004-0000-0100-00000D000000}"/>
    <hyperlink ref="P20" r:id="rId15" display="http://www.bav-astro.de/sfs/BAVM_link.php?BAVMnr=186" xr:uid="{00000000-0004-0000-0100-00000E000000}"/>
    <hyperlink ref="P21" r:id="rId16" display="http://www.konkoly.hu/cgi-bin/IBVS?5871" xr:uid="{00000000-0004-0000-0100-00000F000000}"/>
    <hyperlink ref="P22" r:id="rId17" display="http://www.konkoly.hu/cgi-bin/IBVS?5894" xr:uid="{00000000-0004-0000-0100-000010000000}"/>
    <hyperlink ref="P23" r:id="rId18" display="http://www.bav-astro.de/sfs/BAVM_link.php?BAVMnr=214" xr:uid="{00000000-0004-0000-0100-000011000000}"/>
    <hyperlink ref="P24" r:id="rId19" display="http://www.bav-astro.de/sfs/BAVM_link.php?BAVMnr=215" xr:uid="{00000000-0004-0000-0100-000012000000}"/>
    <hyperlink ref="P25" r:id="rId20" display="http://www.bav-astro.de/sfs/BAVM_link.php?BAVMnr=220" xr:uid="{00000000-0004-0000-0100-000013000000}"/>
    <hyperlink ref="P26" r:id="rId21" display="http://www.konkoly.hu/cgi-bin/IBVS?5992" xr:uid="{00000000-0004-0000-0100-000014000000}"/>
    <hyperlink ref="P27" r:id="rId22" display="http://www.bav-astro.de/sfs/BAVM_link.php?BAVMnr=220" xr:uid="{00000000-0004-0000-0100-000015000000}"/>
    <hyperlink ref="P34" r:id="rId23" display="http://www.bav-astro.de/sfs/BAVM_link.php?BAVMnr=225" xr:uid="{00000000-0004-0000-0100-000016000000}"/>
    <hyperlink ref="P28" r:id="rId24" display="http://www.konkoly.hu/cgi-bin/IBVS?6029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2024-08-24T05:35:13Z</dcterms:modified>
</cp:coreProperties>
</file>