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E781463-D75A-4022-8799-9E3ED15EB6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K25" i="1" l="1"/>
  <c r="Q23" i="1"/>
  <c r="G17" i="2"/>
  <c r="C17" i="2"/>
  <c r="G16" i="2"/>
  <c r="C16" i="2"/>
  <c r="G15" i="2"/>
  <c r="C15" i="2"/>
  <c r="G14" i="2"/>
  <c r="C14" i="2"/>
  <c r="G13" i="2"/>
  <c r="C13" i="2"/>
  <c r="G12" i="2"/>
  <c r="C12" i="2"/>
  <c r="G18" i="2"/>
  <c r="C18" i="2"/>
  <c r="G11" i="2"/>
  <c r="C11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8" i="2"/>
  <c r="B18" i="2"/>
  <c r="D18" i="2"/>
  <c r="A18" i="2"/>
  <c r="H11" i="2"/>
  <c r="B11" i="2"/>
  <c r="D11" i="2"/>
  <c r="A11" i="2"/>
  <c r="F16" i="1"/>
  <c r="F17" i="1" s="1"/>
  <c r="Q31" i="1"/>
  <c r="Q29" i="1"/>
  <c r="Q30" i="1"/>
  <c r="C17" i="1"/>
  <c r="Q27" i="1"/>
  <c r="Q28" i="1"/>
  <c r="Q25" i="1"/>
  <c r="Q24" i="1"/>
  <c r="Q26" i="1"/>
  <c r="Q22" i="1"/>
  <c r="C7" i="1"/>
  <c r="C8" i="1"/>
  <c r="Q21" i="1"/>
  <c r="E11" i="2"/>
  <c r="E27" i="1"/>
  <c r="F27" i="1"/>
  <c r="G27" i="1"/>
  <c r="K27" i="1"/>
  <c r="E21" i="1"/>
  <c r="F21" i="1"/>
  <c r="G26" i="1"/>
  <c r="K26" i="1"/>
  <c r="E22" i="1"/>
  <c r="F22" i="1"/>
  <c r="G22" i="1"/>
  <c r="I22" i="1"/>
  <c r="G31" i="1"/>
  <c r="J31" i="1"/>
  <c r="E29" i="1"/>
  <c r="F29" i="1"/>
  <c r="G29" i="1"/>
  <c r="J29" i="1"/>
  <c r="E26" i="1"/>
  <c r="F26" i="1"/>
  <c r="E31" i="1"/>
  <c r="F31" i="1"/>
  <c r="G25" i="1"/>
  <c r="E28" i="1"/>
  <c r="F28" i="1"/>
  <c r="G28" i="1"/>
  <c r="J28" i="1"/>
  <c r="E23" i="1"/>
  <c r="E25" i="1"/>
  <c r="F25" i="1"/>
  <c r="E24" i="1"/>
  <c r="F24" i="1"/>
  <c r="G24" i="1"/>
  <c r="K24" i="1"/>
  <c r="E30" i="1"/>
  <c r="E18" i="2"/>
  <c r="F23" i="1"/>
  <c r="G23" i="1"/>
  <c r="I23" i="1"/>
  <c r="E17" i="2"/>
  <c r="E16" i="2"/>
  <c r="F30" i="1"/>
  <c r="G30" i="1"/>
  <c r="J30" i="1"/>
  <c r="E13" i="2"/>
  <c r="E14" i="2"/>
  <c r="E15" i="2"/>
  <c r="E12" i="2"/>
  <c r="C12" i="1"/>
  <c r="C16" i="1"/>
  <c r="D18" i="1"/>
  <c r="C11" i="1"/>
  <c r="O29" i="1"/>
  <c r="O24" i="1"/>
  <c r="O27" i="1"/>
  <c r="O21" i="1"/>
  <c r="O23" i="1"/>
  <c r="O28" i="1"/>
  <c r="O26" i="1"/>
  <c r="O30" i="1"/>
  <c r="O31" i="1"/>
  <c r="O25" i="1"/>
  <c r="O22" i="1"/>
  <c r="C15" i="1"/>
  <c r="C18" i="1"/>
  <c r="F18" i="1" l="1"/>
  <c r="F19" i="1" s="1"/>
</calcChain>
</file>

<file path=xl/sharedStrings.xml><?xml version="1.0" encoding="utf-8"?>
<sst xmlns="http://schemas.openxmlformats.org/spreadsheetml/2006/main" count="139" uniqueCount="107">
  <si>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</si>
  <si>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</si>
  <si>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</si>
  <si>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</si>
  <si>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</si>
  <si>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</si>
  <si>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</si>
  <si>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</si>
  <si>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</si>
  <si>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</si>
  <si>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</si>
  <si>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</si>
  <si>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</si>
  <si>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</si>
  <si>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</si>
  <si>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</si>
  <si>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</si>
  <si>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</si>
  <si>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</si>
  <si>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</si>
  <si>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</si>
  <si>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</si>
  <si>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</si>
  <si>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</si>
  <si>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</si>
  <si>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</si>
  <si>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</si>
  <si>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Diethelm R</t>
  </si>
  <si>
    <t>BBSAG Bull.117</t>
  </si>
  <si>
    <t>B</t>
  </si>
  <si>
    <t>ROTSE</t>
  </si>
  <si>
    <t>I?</t>
  </si>
  <si>
    <t>II?</t>
  </si>
  <si>
    <t>EB/DM:</t>
  </si>
  <si>
    <t>IBVS 5592</t>
  </si>
  <si>
    <t xml:space="preserve">GP Gem / GSC 00770-00564 </t>
  </si>
  <si>
    <t>IBVS 5657</t>
  </si>
  <si>
    <t>IBVS</t>
  </si>
  <si>
    <t># of data points:</t>
  </si>
  <si>
    <t>IBVS 5653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</si>
  <si>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</si>
  <si>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</si>
  <si>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</si>
  <si>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</si>
  <si>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</si>
  <si>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</si>
  <si>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</si>
  <si>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IBVS 6118</t>
  </si>
  <si>
    <t>Add cycle</t>
  </si>
  <si>
    <t>Old Cycle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</si>
  <si>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</si>
  <si>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</si>
  <si>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</si>
  <si>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</si>
  <si>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</si>
  <si>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</si>
  <si>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</si>
  <si>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</si>
  <si>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</si>
  <si>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</si>
  <si>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</si>
  <si>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</si>
  <si>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2450901.453 </t>
  </si>
  <si>
    <t> 28.03.1998 22:52 </t>
  </si>
  <si>
    <t> 0.069 </t>
  </si>
  <si>
    <t>E </t>
  </si>
  <si>
    <t>?</t>
  </si>
  <si>
    <t> R.Diethelm </t>
  </si>
  <si>
    <t> BBS 117 </t>
  </si>
  <si>
    <t>2451602.3452 </t>
  </si>
  <si>
    <t> 27.02.2000 20:17 </t>
  </si>
  <si>
    <t> 0.0746 </t>
  </si>
  <si>
    <t> BBS 122 </t>
  </si>
  <si>
    <t>2453106.1880 </t>
  </si>
  <si>
    <t> 10.04.2004 16:30 </t>
  </si>
  <si>
    <t> 0.0813 </t>
  </si>
  <si>
    <t> T.Krajci </t>
  </si>
  <si>
    <t>IBVS 5592 </t>
  </si>
  <si>
    <t>2453385.251 </t>
  </si>
  <si>
    <t> 14.01.2005 18:01 </t>
  </si>
  <si>
    <t> 0.066 </t>
  </si>
  <si>
    <t> E. Blättler </t>
  </si>
  <si>
    <t>IBVS 5653 </t>
  </si>
  <si>
    <t>2453432.3168 </t>
  </si>
  <si>
    <t> 02.03.2005 19:36 </t>
  </si>
  <si>
    <t> 0.0866 </t>
  </si>
  <si>
    <t>o</t>
  </si>
  <si>
    <t> U.Schmidt </t>
  </si>
  <si>
    <t>BAVM 173 </t>
  </si>
  <si>
    <t>2454116.4624 </t>
  </si>
  <si>
    <t> 15.01.2007 23:05 </t>
  </si>
  <si>
    <t> 0.0905 </t>
  </si>
  <si>
    <t>C </t>
  </si>
  <si>
    <t>-I</t>
  </si>
  <si>
    <t> F.Agerer </t>
  </si>
  <si>
    <t>BAVM 186 </t>
  </si>
  <si>
    <t>2454148.3673 </t>
  </si>
  <si>
    <t> 16.02.2007 20:48 </t>
  </si>
  <si>
    <t>14937</t>
  </si>
  <si>
    <t> 0.1007 </t>
  </si>
  <si>
    <t> H.Jungbluth </t>
  </si>
  <si>
    <t>2456642.5314 </t>
  </si>
  <si>
    <t> 16.12.2013 00:45 </t>
  </si>
  <si>
    <t>16501</t>
  </si>
  <si>
    <t> 0.0977 </t>
  </si>
  <si>
    <t> W.Moschner &amp; P.Frank </t>
  </si>
  <si>
    <t>BAVM 234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</si>
</sst>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5" fillId="0" borderId="1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GP Gem - O-C Diagr.</a:t>
            </a:r>
          </a:p>
        </c:rich>
      </c:tx>
      <c:layout>
        <c:manualLayout>
          <c:xMode val="edge"/>
          <c:yMode val="edge"/>
          <c:x val="0.3779163452157904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5857982189492"/>
          <c:y val="0.14769252958613219"/>
          <c:w val="0.81493063439401059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12901</c:v>
                </c:pt>
                <c:pt idx="2">
                  <c:v>13340.5</c:v>
                </c:pt>
                <c:pt idx="3">
                  <c:v>13344.5</c:v>
                </c:pt>
                <c:pt idx="4">
                  <c:v>13357</c:v>
                </c:pt>
                <c:pt idx="5">
                  <c:v>14283.5</c:v>
                </c:pt>
                <c:pt idx="6">
                  <c:v>14458.5</c:v>
                </c:pt>
                <c:pt idx="7">
                  <c:v>14488</c:v>
                </c:pt>
                <c:pt idx="8">
                  <c:v>14917</c:v>
                </c:pt>
                <c:pt idx="9">
                  <c:v>14937</c:v>
                </c:pt>
                <c:pt idx="10">
                  <c:v>16501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EF-427E-8F20-F062DAA4E4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12901</c:v>
                </c:pt>
                <c:pt idx="2">
                  <c:v>13340.5</c:v>
                </c:pt>
                <c:pt idx="3">
                  <c:v>13344.5</c:v>
                </c:pt>
                <c:pt idx="4">
                  <c:v>13357</c:v>
                </c:pt>
                <c:pt idx="5">
                  <c:v>14283.5</c:v>
                </c:pt>
                <c:pt idx="6">
                  <c:v>14458.5</c:v>
                </c:pt>
                <c:pt idx="7">
                  <c:v>14488</c:v>
                </c:pt>
                <c:pt idx="8">
                  <c:v>14917</c:v>
                </c:pt>
                <c:pt idx="9">
                  <c:v>14937</c:v>
                </c:pt>
                <c:pt idx="10">
                  <c:v>16501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6.8864000000758097E-2</c:v>
                </c:pt>
                <c:pt idx="2">
                  <c:v>7.4592000004486181E-2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EF-427E-8F20-F062DAA4E4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12901</c:v>
                </c:pt>
                <c:pt idx="2">
                  <c:v>13340.5</c:v>
                </c:pt>
                <c:pt idx="3">
                  <c:v>13344.5</c:v>
                </c:pt>
                <c:pt idx="4">
                  <c:v>13357</c:v>
                </c:pt>
                <c:pt idx="5">
                  <c:v>14283.5</c:v>
                </c:pt>
                <c:pt idx="6">
                  <c:v>14458.5</c:v>
                </c:pt>
                <c:pt idx="7">
                  <c:v>14488</c:v>
                </c:pt>
                <c:pt idx="8">
                  <c:v>14917</c:v>
                </c:pt>
                <c:pt idx="9">
                  <c:v>14937</c:v>
                </c:pt>
                <c:pt idx="10">
                  <c:v>16501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7">
                  <c:v>8.6632000005920418E-2</c:v>
                </c:pt>
                <c:pt idx="8">
                  <c:v>9.0487999994365964E-2</c:v>
                </c:pt>
                <c:pt idx="9">
                  <c:v>0.10066799999913201</c:v>
                </c:pt>
                <c:pt idx="10">
                  <c:v>9.7664000000804663E-2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EF-427E-8F20-F062DAA4E4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12901</c:v>
                </c:pt>
                <c:pt idx="2">
                  <c:v>13340.5</c:v>
                </c:pt>
                <c:pt idx="3">
                  <c:v>13344.5</c:v>
                </c:pt>
                <c:pt idx="4">
                  <c:v>13357</c:v>
                </c:pt>
                <c:pt idx="5">
                  <c:v>14283.5</c:v>
                </c:pt>
                <c:pt idx="6">
                  <c:v>14458.5</c:v>
                </c:pt>
                <c:pt idx="7">
                  <c:v>14488</c:v>
                </c:pt>
                <c:pt idx="8">
                  <c:v>14917</c:v>
                </c:pt>
                <c:pt idx="9">
                  <c:v>14937</c:v>
                </c:pt>
                <c:pt idx="10">
                  <c:v>16501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3">
                  <c:v>5.4947999997239094E-2</c:v>
                </c:pt>
                <c:pt idx="4">
                  <c:v>7.0548000003327616E-2</c:v>
                </c:pt>
                <c:pt idx="5">
                  <c:v>8.1343999998352956E-2</c:v>
                </c:pt>
                <c:pt idx="6">
                  <c:v>6.554399999731686E-2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EF-427E-8F20-F062DAA4E4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12901</c:v>
                </c:pt>
                <c:pt idx="2">
                  <c:v>13340.5</c:v>
                </c:pt>
                <c:pt idx="3">
                  <c:v>13344.5</c:v>
                </c:pt>
                <c:pt idx="4">
                  <c:v>13357</c:v>
                </c:pt>
                <c:pt idx="5">
                  <c:v>14283.5</c:v>
                </c:pt>
                <c:pt idx="6">
                  <c:v>14458.5</c:v>
                </c:pt>
                <c:pt idx="7">
                  <c:v>14488</c:v>
                </c:pt>
                <c:pt idx="8">
                  <c:v>14917</c:v>
                </c:pt>
                <c:pt idx="9">
                  <c:v>14937</c:v>
                </c:pt>
                <c:pt idx="10">
                  <c:v>16501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EF-427E-8F20-F062DAA4E4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12901</c:v>
                </c:pt>
                <c:pt idx="2">
                  <c:v>13340.5</c:v>
                </c:pt>
                <c:pt idx="3">
                  <c:v>13344.5</c:v>
                </c:pt>
                <c:pt idx="4">
                  <c:v>13357</c:v>
                </c:pt>
                <c:pt idx="5">
                  <c:v>14283.5</c:v>
                </c:pt>
                <c:pt idx="6">
                  <c:v>14458.5</c:v>
                </c:pt>
                <c:pt idx="7">
                  <c:v>14488</c:v>
                </c:pt>
                <c:pt idx="8">
                  <c:v>14917</c:v>
                </c:pt>
                <c:pt idx="9">
                  <c:v>14937</c:v>
                </c:pt>
                <c:pt idx="10">
                  <c:v>16501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EF-427E-8F20-F062DAA4E4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2E-3</c:v>
                  </c:pt>
                  <c:pt idx="2">
                    <c:v>0</c:v>
                  </c:pt>
                  <c:pt idx="5">
                    <c:v>2.0000000000000001E-4</c:v>
                  </c:pt>
                  <c:pt idx="6">
                    <c:v>3.0000000000000001E-3</c:v>
                  </c:pt>
                  <c:pt idx="7">
                    <c:v>3.5000000000000001E-3</c:v>
                  </c:pt>
                  <c:pt idx="8">
                    <c:v>3.3999999999999998E-3</c:v>
                  </c:pt>
                  <c:pt idx="9">
                    <c:v>1E-3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12901</c:v>
                </c:pt>
                <c:pt idx="2">
                  <c:v>13340.5</c:v>
                </c:pt>
                <c:pt idx="3">
                  <c:v>13344.5</c:v>
                </c:pt>
                <c:pt idx="4">
                  <c:v>13357</c:v>
                </c:pt>
                <c:pt idx="5">
                  <c:v>14283.5</c:v>
                </c:pt>
                <c:pt idx="6">
                  <c:v>14458.5</c:v>
                </c:pt>
                <c:pt idx="7">
                  <c:v>14488</c:v>
                </c:pt>
                <c:pt idx="8">
                  <c:v>14917</c:v>
                </c:pt>
                <c:pt idx="9">
                  <c:v>14937</c:v>
                </c:pt>
                <c:pt idx="10">
                  <c:v>16501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EF-427E-8F20-F062DAA4E4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12901</c:v>
                </c:pt>
                <c:pt idx="2">
                  <c:v>13340.5</c:v>
                </c:pt>
                <c:pt idx="3">
                  <c:v>13344.5</c:v>
                </c:pt>
                <c:pt idx="4">
                  <c:v>13357</c:v>
                </c:pt>
                <c:pt idx="5">
                  <c:v>14283.5</c:v>
                </c:pt>
                <c:pt idx="6">
                  <c:v>14458.5</c:v>
                </c:pt>
                <c:pt idx="7">
                  <c:v>14488</c:v>
                </c:pt>
                <c:pt idx="8">
                  <c:v>14917</c:v>
                </c:pt>
                <c:pt idx="9">
                  <c:v>14937</c:v>
                </c:pt>
                <c:pt idx="10">
                  <c:v>16501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-7.3262303324033426E-2</c:v>
                </c:pt>
                <c:pt idx="1">
                  <c:v>6.4675700744328837E-2</c:v>
                </c:pt>
                <c:pt idx="2">
                  <c:v>6.9374852189026545E-2</c:v>
                </c:pt>
                <c:pt idx="3">
                  <c:v>6.9417620347795125E-2</c:v>
                </c:pt>
                <c:pt idx="4">
                  <c:v>6.9551270843946952E-2</c:v>
                </c:pt>
                <c:pt idx="5">
                  <c:v>7.9457445618719272E-2</c:v>
                </c:pt>
                <c:pt idx="6">
                  <c:v>8.1328552564844628E-2</c:v>
                </c:pt>
                <c:pt idx="7">
                  <c:v>8.1643967735762893E-2</c:v>
                </c:pt>
                <c:pt idx="8">
                  <c:v>8.6230852763693092E-2</c:v>
                </c:pt>
                <c:pt idx="9">
                  <c:v>8.6444693557535993E-2</c:v>
                </c:pt>
                <c:pt idx="10">
                  <c:v>0.10316704363605074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EF-427E-8F20-F062DAA4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0202112"/>
        <c:axId val="1"/>
      </c:scatterChart>
      <c:valAx>
        <c:axId val="920202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060808300983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6671850699844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202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772955674475372"/>
          <c:y val="0.92000129214617399"/>
          <c:w val="0.6671855598143544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38100</xdr:rowOff>
    </xdr:from>
    <xdr:to>
      <xdr:col>17</xdr:col>
      <xdr:colOff>66675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2A8BD5-D427-4DAB-5383-8A282A558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73" TargetMode="External"/><Relationship Id="rId2" Type="http://schemas.openxmlformats.org/officeDocument/2006/relationships/hyperlink" Target="http://www.konkoly.hu/cgi-bin/IBVS?5653" TargetMode="External"/><Relationship Id="rId1" Type="http://schemas.openxmlformats.org/officeDocument/2006/relationships/hyperlink" Target="http://www.konkoly.hu/cgi-bin/IBVS?5592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www.bav-astro.de/sfs/BAVM_link.php?BAVMnr=1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77"/>
  <sheetViews>
    <sheetView tabSelected="1" workbookViewId="0">
      <selection activeCell="I23" sqref="I2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24</v>
      </c>
      <c r="B2" s="11" t="s">
        <v>33</v>
      </c>
    </row>
    <row r="4" spans="1:6" ht="14.25" thickTop="1" thickBot="1" x14ac:dyDescent="0.25">
      <c r="A4" s="7" t="s">
        <v>0</v>
      </c>
      <c r="C4" s="3">
        <v>30327.695</v>
      </c>
      <c r="D4" s="4">
        <v>1.5947359999999999</v>
      </c>
    </row>
    <row r="5" spans="1:6" ht="13.5" thickTop="1" x14ac:dyDescent="0.2">
      <c r="A5" s="20" t="s">
        <v>41</v>
      </c>
      <c r="B5" s="21"/>
      <c r="C5" s="22">
        <v>-9.5</v>
      </c>
      <c r="D5" s="21" t="s">
        <v>42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30327.695</v>
      </c>
    </row>
    <row r="8" spans="1:6" x14ac:dyDescent="0.2">
      <c r="A8" t="s">
        <v>3</v>
      </c>
      <c r="C8">
        <f>+D4</f>
        <v>1.5947359999999999</v>
      </c>
    </row>
    <row r="10" spans="1:6" ht="13.5" thickBot="1" x14ac:dyDescent="0.25">
      <c r="A10" s="21"/>
      <c r="B10" s="21"/>
      <c r="C10" s="6" t="s">
        <v>20</v>
      </c>
      <c r="D10" s="6" t="s">
        <v>21</v>
      </c>
      <c r="E10" s="21"/>
    </row>
    <row r="11" spans="1:6" x14ac:dyDescent="0.2">
      <c r="A11" s="21" t="s">
        <v>16</v>
      </c>
      <c r="B11" s="21"/>
      <c r="C11" s="21">
        <f>INTERCEPT(G21:G998,F21:F998)</f>
        <v>-7.3262303324033426E-2</v>
      </c>
      <c r="D11" s="5"/>
      <c r="E11" s="21"/>
    </row>
    <row r="12" spans="1:6" x14ac:dyDescent="0.2">
      <c r="A12" s="21" t="s">
        <v>17</v>
      </c>
      <c r="B12" s="21"/>
      <c r="C12" s="21">
        <f>SLOPE(G21:G998,F21:F998)</f>
        <v>1.069203969214497E-5</v>
      </c>
      <c r="D12" s="5"/>
      <c r="E12" s="21"/>
    </row>
    <row r="13" spans="1:6" x14ac:dyDescent="0.2">
      <c r="A13" s="21" t="s">
        <v>19</v>
      </c>
      <c r="B13" s="21"/>
      <c r="C13" s="5" t="s">
        <v>14</v>
      </c>
    </row>
    <row r="14" spans="1:6" x14ac:dyDescent="0.2">
      <c r="A14" s="21"/>
      <c r="B14" s="21"/>
      <c r="C14" s="21"/>
    </row>
    <row r="15" spans="1:6" x14ac:dyDescent="0.2">
      <c r="A15" s="23" t="s">
        <v>18</v>
      </c>
      <c r="B15" s="21"/>
      <c r="C15" s="24">
        <f>(C7+C11)+(C8+C12)*INT(MAX(F21:F3533))</f>
        <v>56642.536903043627</v>
      </c>
      <c r="E15" s="25" t="s">
        <v>48</v>
      </c>
      <c r="F15" s="22">
        <v>1</v>
      </c>
    </row>
    <row r="16" spans="1:6" x14ac:dyDescent="0.2">
      <c r="A16" s="27" t="s">
        <v>4</v>
      </c>
      <c r="B16" s="21"/>
      <c r="C16" s="28">
        <f>+C8+C12</f>
        <v>1.594746692039692</v>
      </c>
      <c r="E16" s="25" t="s">
        <v>43</v>
      </c>
      <c r="F16" s="26">
        <f ca="1">NOW()+15018.5+$C$5/24</f>
        <v>60351.758986342589</v>
      </c>
    </row>
    <row r="17" spans="1:31" ht="13.5" thickBot="1" x14ac:dyDescent="0.25">
      <c r="A17" s="25" t="s">
        <v>38</v>
      </c>
      <c r="B17" s="21"/>
      <c r="C17" s="21">
        <f>COUNT(C21:C2191)</f>
        <v>11</v>
      </c>
      <c r="E17" s="25" t="s">
        <v>49</v>
      </c>
      <c r="F17" s="26">
        <f ca="1">ROUND(2*(F16-$C$7)/$C$8,0)/2+F15</f>
        <v>18828</v>
      </c>
    </row>
    <row r="18" spans="1:31" ht="14.25" thickTop="1" thickBot="1" x14ac:dyDescent="0.25">
      <c r="A18" s="27" t="s">
        <v>5</v>
      </c>
      <c r="B18" s="21"/>
      <c r="C18" s="30">
        <f>+C15</f>
        <v>56642.536903043627</v>
      </c>
      <c r="D18" s="31">
        <f>+C16</f>
        <v>1.594746692039692</v>
      </c>
      <c r="E18" s="25" t="s">
        <v>44</v>
      </c>
      <c r="F18" s="10">
        <f ca="1">ROUND(2*(F16-$C$15)/$C$16,0)/2+F15</f>
        <v>2327</v>
      </c>
    </row>
    <row r="19" spans="1:31" ht="13.5" thickTop="1" x14ac:dyDescent="0.2">
      <c r="E19" s="25" t="s">
        <v>45</v>
      </c>
      <c r="F19" s="29">
        <f ca="1">+$C$15+$C$16*F18-15018.5-$C$5/24</f>
        <v>45335.408288753322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58</v>
      </c>
      <c r="I20" s="9" t="s">
        <v>61</v>
      </c>
      <c r="J20" s="9" t="s">
        <v>55</v>
      </c>
      <c r="K20" s="9" t="s">
        <v>53</v>
      </c>
      <c r="L20" s="9" t="s">
        <v>37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</row>
    <row r="21" spans="1:31" x14ac:dyDescent="0.2">
      <c r="A21" t="s">
        <v>12</v>
      </c>
      <c r="B21" s="5"/>
      <c r="C21" s="19">
        <v>30327.695</v>
      </c>
      <c r="D21" s="19" t="s">
        <v>14</v>
      </c>
      <c r="E21">
        <f t="shared" ref="E21:E31" si="0">+(C21-C$7)/C$8</f>
        <v>0</v>
      </c>
      <c r="F21">
        <f t="shared" ref="F21:F31" si="1">ROUND(2*E21,0)/2</f>
        <v>0</v>
      </c>
      <c r="H21" s="10">
        <v>0</v>
      </c>
      <c r="O21">
        <f t="shared" ref="O21:O31" si="2">+C$11+C$12*F21</f>
        <v>-7.3262303324033426E-2</v>
      </c>
      <c r="Q21" s="2">
        <f t="shared" ref="Q21:Q31" si="3">+C21-15018.5</f>
        <v>15309.195</v>
      </c>
    </row>
    <row r="22" spans="1:31" x14ac:dyDescent="0.2">
      <c r="A22" t="s">
        <v>28</v>
      </c>
      <c r="B22" s="5"/>
      <c r="C22" s="19">
        <v>50901.453000000001</v>
      </c>
      <c r="D22" s="19">
        <v>2E-3</v>
      </c>
      <c r="E22">
        <f t="shared" si="0"/>
        <v>12901.043182069008</v>
      </c>
      <c r="F22">
        <f t="shared" si="1"/>
        <v>12901</v>
      </c>
      <c r="G22">
        <f t="shared" ref="G22:G31" si="4">+C22-(C$7+F22*C$8)</f>
        <v>6.8864000000758097E-2</v>
      </c>
      <c r="I22">
        <f>+G22</f>
        <v>6.8864000000758097E-2</v>
      </c>
      <c r="O22">
        <f t="shared" si="2"/>
        <v>6.4675700744328837E-2</v>
      </c>
      <c r="Q22" s="2">
        <f t="shared" si="3"/>
        <v>35882.953000000001</v>
      </c>
      <c r="AA22">
        <v>9</v>
      </c>
      <c r="AC22" t="s">
        <v>27</v>
      </c>
      <c r="AE22" t="s">
        <v>29</v>
      </c>
    </row>
    <row r="23" spans="1:31" x14ac:dyDescent="0.2">
      <c r="A23" s="49" t="s">
        <v>72</v>
      </c>
      <c r="B23" s="51" t="s">
        <v>40</v>
      </c>
      <c r="C23" s="50">
        <v>51602.345200000003</v>
      </c>
      <c r="D23" s="50" t="s">
        <v>61</v>
      </c>
      <c r="E23">
        <f t="shared" si="0"/>
        <v>13340.546773886088</v>
      </c>
      <c r="F23">
        <f t="shared" si="1"/>
        <v>13340.5</v>
      </c>
      <c r="G23">
        <f t="shared" si="4"/>
        <v>7.4592000004486181E-2</v>
      </c>
      <c r="I23">
        <f>+G23</f>
        <v>7.4592000004486181E-2</v>
      </c>
      <c r="O23">
        <f t="shared" si="2"/>
        <v>6.9374852189026545E-2</v>
      </c>
      <c r="Q23" s="2">
        <f t="shared" si="3"/>
        <v>36583.845200000003</v>
      </c>
    </row>
    <row r="24" spans="1:31" x14ac:dyDescent="0.2">
      <c r="A24" t="s">
        <v>30</v>
      </c>
      <c r="B24" s="5" t="s">
        <v>32</v>
      </c>
      <c r="C24" s="19">
        <v>51608.7045</v>
      </c>
      <c r="D24" s="19"/>
      <c r="E24">
        <f t="shared" si="0"/>
        <v>13344.534455859779</v>
      </c>
      <c r="F24">
        <f t="shared" si="1"/>
        <v>13344.5</v>
      </c>
      <c r="G24">
        <f t="shared" si="4"/>
        <v>5.4947999997239094E-2</v>
      </c>
      <c r="K24">
        <f>+G24</f>
        <v>5.4947999997239094E-2</v>
      </c>
      <c r="O24">
        <f t="shared" si="2"/>
        <v>6.9417620347795125E-2</v>
      </c>
      <c r="Q24" s="2">
        <f t="shared" si="3"/>
        <v>36590.2045</v>
      </c>
    </row>
    <row r="25" spans="1:31" x14ac:dyDescent="0.2">
      <c r="A25" t="s">
        <v>30</v>
      </c>
      <c r="B25" s="5" t="s">
        <v>31</v>
      </c>
      <c r="C25" s="19">
        <v>51628.654300000002</v>
      </c>
      <c r="D25" s="19"/>
      <c r="E25">
        <f t="shared" si="0"/>
        <v>13357.044238043163</v>
      </c>
      <c r="F25">
        <f t="shared" si="1"/>
        <v>13357</v>
      </c>
      <c r="G25">
        <f t="shared" si="4"/>
        <v>7.0548000003327616E-2</v>
      </c>
      <c r="K25">
        <f>+G25</f>
        <v>7.0548000003327616E-2</v>
      </c>
      <c r="O25">
        <f t="shared" si="2"/>
        <v>6.9551270843946952E-2</v>
      </c>
      <c r="Q25" s="2">
        <f t="shared" si="3"/>
        <v>36610.154300000002</v>
      </c>
    </row>
    <row r="26" spans="1:31" x14ac:dyDescent="0.2">
      <c r="A26" s="12" t="s">
        <v>34</v>
      </c>
      <c r="C26" s="19">
        <v>53106.188000000002</v>
      </c>
      <c r="D26" s="19">
        <v>2.0000000000000001E-4</v>
      </c>
      <c r="E26">
        <f t="shared" si="0"/>
        <v>14283.551007815715</v>
      </c>
      <c r="F26">
        <f t="shared" si="1"/>
        <v>14283.5</v>
      </c>
      <c r="G26">
        <f t="shared" si="4"/>
        <v>8.1343999998352956E-2</v>
      </c>
      <c r="K26">
        <f>+G26</f>
        <v>8.1343999998352956E-2</v>
      </c>
      <c r="O26">
        <f t="shared" si="2"/>
        <v>7.9457445618719272E-2</v>
      </c>
      <c r="Q26" s="2">
        <f t="shared" si="3"/>
        <v>38087.688000000002</v>
      </c>
    </row>
    <row r="27" spans="1:31" x14ac:dyDescent="0.2">
      <c r="A27" s="16" t="s">
        <v>39</v>
      </c>
      <c r="B27" s="17" t="s">
        <v>40</v>
      </c>
      <c r="C27" s="18">
        <v>53385.250999999997</v>
      </c>
      <c r="D27" s="18">
        <v>3.0000000000000001E-3</v>
      </c>
      <c r="E27">
        <f t="shared" si="0"/>
        <v>14458.541100219722</v>
      </c>
      <c r="F27">
        <f t="shared" si="1"/>
        <v>14458.5</v>
      </c>
      <c r="G27">
        <f t="shared" si="4"/>
        <v>6.554399999731686E-2</v>
      </c>
      <c r="K27">
        <f>+G27</f>
        <v>6.554399999731686E-2</v>
      </c>
      <c r="O27">
        <f t="shared" si="2"/>
        <v>8.1328552564844628E-2</v>
      </c>
      <c r="Q27" s="2">
        <f t="shared" si="3"/>
        <v>38366.750999999997</v>
      </c>
    </row>
    <row r="28" spans="1:31" x14ac:dyDescent="0.2">
      <c r="A28" s="13" t="s">
        <v>36</v>
      </c>
      <c r="B28" s="14"/>
      <c r="C28" s="19">
        <v>53432.316800000001</v>
      </c>
      <c r="D28" s="19">
        <v>3.5000000000000001E-3</v>
      </c>
      <c r="E28">
        <f t="shared" si="0"/>
        <v>14488.054323725057</v>
      </c>
      <c r="F28">
        <f t="shared" si="1"/>
        <v>14488</v>
      </c>
      <c r="G28">
        <f t="shared" si="4"/>
        <v>8.6632000005920418E-2</v>
      </c>
      <c r="J28">
        <f>+G28</f>
        <v>8.6632000005920418E-2</v>
      </c>
      <c r="O28">
        <f t="shared" si="2"/>
        <v>8.1643967735762893E-2</v>
      </c>
      <c r="Q28" s="2">
        <f t="shared" si="3"/>
        <v>38413.816800000001</v>
      </c>
    </row>
    <row r="29" spans="1:31" x14ac:dyDescent="0.2">
      <c r="A29" s="18" t="s">
        <v>46</v>
      </c>
      <c r="B29" s="14"/>
      <c r="C29" s="15">
        <v>54116.462399999997</v>
      </c>
      <c r="D29" s="15">
        <v>3.3999999999999998E-3</v>
      </c>
      <c r="E29">
        <f t="shared" si="0"/>
        <v>14917.056741680126</v>
      </c>
      <c r="F29">
        <f t="shared" si="1"/>
        <v>14917</v>
      </c>
      <c r="G29">
        <f t="shared" si="4"/>
        <v>9.0487999994365964E-2</v>
      </c>
      <c r="J29">
        <f>+G29</f>
        <v>9.0487999994365964E-2</v>
      </c>
      <c r="O29">
        <f t="shared" si="2"/>
        <v>8.6230852763693092E-2</v>
      </c>
      <c r="Q29" s="2">
        <f t="shared" si="3"/>
        <v>39097.962399999997</v>
      </c>
    </row>
    <row r="30" spans="1:31" x14ac:dyDescent="0.2">
      <c r="A30" s="18" t="s">
        <v>46</v>
      </c>
      <c r="B30" s="14"/>
      <c r="C30" s="15">
        <v>54148.367299999998</v>
      </c>
      <c r="D30" s="15">
        <v>1E-3</v>
      </c>
      <c r="E30">
        <f t="shared" si="0"/>
        <v>14937.063125181849</v>
      </c>
      <c r="F30">
        <f t="shared" si="1"/>
        <v>14937</v>
      </c>
      <c r="G30">
        <f t="shared" si="4"/>
        <v>0.10066799999913201</v>
      </c>
      <c r="J30">
        <f>+G30</f>
        <v>0.10066799999913201</v>
      </c>
      <c r="O30">
        <f t="shared" si="2"/>
        <v>8.6444693557535993E-2</v>
      </c>
      <c r="Q30" s="2">
        <f t="shared" si="3"/>
        <v>39129.867299999998</v>
      </c>
    </row>
    <row r="31" spans="1:31" x14ac:dyDescent="0.2">
      <c r="A31" s="32" t="s">
        <v>47</v>
      </c>
      <c r="B31" s="33" t="s">
        <v>50</v>
      </c>
      <c r="C31" s="34">
        <v>56642.5314</v>
      </c>
      <c r="D31" s="35">
        <v>5.9999999999999995E-4</v>
      </c>
      <c r="E31">
        <f t="shared" si="0"/>
        <v>16501.061241484484</v>
      </c>
      <c r="F31">
        <f t="shared" si="1"/>
        <v>16501</v>
      </c>
      <c r="G31">
        <f t="shared" si="4"/>
        <v>9.7664000000804663E-2</v>
      </c>
      <c r="J31">
        <f>+G31</f>
        <v>9.7664000000804663E-2</v>
      </c>
      <c r="O31">
        <f t="shared" si="2"/>
        <v>0.10316704363605074</v>
      </c>
      <c r="Q31" s="2">
        <f t="shared" si="3"/>
        <v>41624.0314</v>
      </c>
    </row>
    <row r="32" spans="1:31" x14ac:dyDescent="0.2">
      <c r="C32" s="19"/>
      <c r="D32" s="19"/>
    </row>
    <row r="33" spans="3:4" x14ac:dyDescent="0.2">
      <c r="C33" s="19"/>
      <c r="D33" s="19"/>
    </row>
    <row r="34" spans="3:4" x14ac:dyDescent="0.2">
      <c r="C34" s="19"/>
      <c r="D34" s="19"/>
    </row>
    <row r="35" spans="3:4" x14ac:dyDescent="0.2">
      <c r="C35" s="19"/>
      <c r="D35" s="19"/>
    </row>
    <row r="36" spans="3:4" x14ac:dyDescent="0.2">
      <c r="C36" s="15"/>
      <c r="D36" s="15"/>
    </row>
    <row r="37" spans="3:4" x14ac:dyDescent="0.2">
      <c r="C37" s="15"/>
      <c r="D37" s="15"/>
    </row>
    <row r="38" spans="3:4" x14ac:dyDescent="0.2">
      <c r="C38" s="15"/>
      <c r="D38" s="15"/>
    </row>
    <row r="39" spans="3:4" x14ac:dyDescent="0.2">
      <c r="C39" s="15"/>
      <c r="D39" s="15"/>
    </row>
    <row r="40" spans="3:4" x14ac:dyDescent="0.2">
      <c r="C40" s="15"/>
      <c r="D40" s="15"/>
    </row>
    <row r="41" spans="3:4" x14ac:dyDescent="0.2">
      <c r="C41" s="15"/>
      <c r="D41" s="15"/>
    </row>
    <row r="42" spans="3:4" x14ac:dyDescent="0.2">
      <c r="C42" s="15"/>
      <c r="D42" s="15"/>
    </row>
    <row r="43" spans="3:4" x14ac:dyDescent="0.2">
      <c r="C43" s="15"/>
      <c r="D43" s="15"/>
    </row>
    <row r="44" spans="3:4" x14ac:dyDescent="0.2">
      <c r="C44" s="15"/>
      <c r="D44" s="15"/>
    </row>
    <row r="45" spans="3:4" x14ac:dyDescent="0.2">
      <c r="C45" s="15"/>
      <c r="D45" s="15"/>
    </row>
    <row r="46" spans="3:4" x14ac:dyDescent="0.2">
      <c r="C46" s="15"/>
      <c r="D46" s="15"/>
    </row>
    <row r="47" spans="3:4" x14ac:dyDescent="0.2">
      <c r="C47" s="15"/>
      <c r="D47" s="15"/>
    </row>
    <row r="48" spans="3:4" x14ac:dyDescent="0.2">
      <c r="C48" s="15"/>
      <c r="D48" s="15"/>
    </row>
    <row r="49" spans="3:4" x14ac:dyDescent="0.2">
      <c r="C49" s="15"/>
      <c r="D49" s="15"/>
    </row>
    <row r="50" spans="3:4" x14ac:dyDescent="0.2">
      <c r="C50" s="15"/>
      <c r="D50" s="15"/>
    </row>
    <row r="51" spans="3:4" x14ac:dyDescent="0.2">
      <c r="C51" s="15"/>
      <c r="D51" s="15"/>
    </row>
    <row r="52" spans="3:4" x14ac:dyDescent="0.2">
      <c r="C52" s="15"/>
      <c r="D52" s="15"/>
    </row>
    <row r="53" spans="3:4" x14ac:dyDescent="0.2">
      <c r="C53" s="15"/>
      <c r="D53" s="15"/>
    </row>
    <row r="54" spans="3:4" x14ac:dyDescent="0.2">
      <c r="C54" s="15"/>
      <c r="D54" s="15"/>
    </row>
    <row r="55" spans="3:4" x14ac:dyDescent="0.2">
      <c r="C55" s="15"/>
      <c r="D55" s="15"/>
    </row>
    <row r="56" spans="3:4" x14ac:dyDescent="0.2">
      <c r="C56" s="15"/>
      <c r="D56" s="15"/>
    </row>
    <row r="57" spans="3:4" x14ac:dyDescent="0.2">
      <c r="C57" s="15"/>
      <c r="D57" s="15"/>
    </row>
    <row r="58" spans="3:4" x14ac:dyDescent="0.2">
      <c r="C58" s="15"/>
      <c r="D58" s="15"/>
    </row>
    <row r="59" spans="3:4" x14ac:dyDescent="0.2">
      <c r="C59" s="15"/>
      <c r="D59" s="15"/>
    </row>
    <row r="60" spans="3:4" x14ac:dyDescent="0.2">
      <c r="C60" s="15"/>
      <c r="D60" s="15"/>
    </row>
    <row r="61" spans="3:4" x14ac:dyDescent="0.2">
      <c r="C61" s="15"/>
      <c r="D61" s="15"/>
    </row>
    <row r="62" spans="3:4" x14ac:dyDescent="0.2">
      <c r="C62" s="15"/>
      <c r="D62" s="15"/>
    </row>
    <row r="63" spans="3:4" x14ac:dyDescent="0.2">
      <c r="C63" s="15"/>
      <c r="D63" s="15"/>
    </row>
    <row r="64" spans="3:4" x14ac:dyDescent="0.2">
      <c r="C64" s="15"/>
      <c r="D64" s="15"/>
    </row>
    <row r="65" spans="3:4" x14ac:dyDescent="0.2">
      <c r="C65" s="15"/>
      <c r="D65" s="15"/>
    </row>
    <row r="66" spans="3:4" x14ac:dyDescent="0.2">
      <c r="C66" s="15"/>
      <c r="D66" s="15"/>
    </row>
    <row r="67" spans="3:4" x14ac:dyDescent="0.2">
      <c r="C67" s="15"/>
      <c r="D67" s="15"/>
    </row>
    <row r="68" spans="3:4" x14ac:dyDescent="0.2">
      <c r="C68" s="15"/>
      <c r="D68" s="15"/>
    </row>
    <row r="69" spans="3:4" x14ac:dyDescent="0.2">
      <c r="C69" s="15"/>
      <c r="D69" s="15"/>
    </row>
    <row r="70" spans="3:4" x14ac:dyDescent="0.2">
      <c r="C70" s="15"/>
      <c r="D70" s="15"/>
    </row>
    <row r="71" spans="3:4" x14ac:dyDescent="0.2">
      <c r="C71" s="15"/>
      <c r="D71" s="15"/>
    </row>
    <row r="72" spans="3:4" x14ac:dyDescent="0.2">
      <c r="C72" s="15"/>
      <c r="D72" s="15"/>
    </row>
    <row r="73" spans="3:4" x14ac:dyDescent="0.2">
      <c r="C73" s="15"/>
      <c r="D73" s="15"/>
    </row>
    <row r="74" spans="3:4" x14ac:dyDescent="0.2">
      <c r="C74" s="15"/>
      <c r="D74" s="15"/>
    </row>
    <row r="75" spans="3:4" x14ac:dyDescent="0.2">
      <c r="C75" s="15"/>
      <c r="D75" s="15"/>
    </row>
    <row r="76" spans="3:4" x14ac:dyDescent="0.2">
      <c r="C76" s="15"/>
      <c r="D76" s="15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3:4" x14ac:dyDescent="0.2">
      <c r="C81" s="15"/>
      <c r="D81" s="15"/>
    </row>
    <row r="82" spans="3:4" x14ac:dyDescent="0.2">
      <c r="C82" s="15"/>
      <c r="D82" s="15"/>
    </row>
    <row r="83" spans="3:4" x14ac:dyDescent="0.2">
      <c r="C83" s="15"/>
      <c r="D83" s="15"/>
    </row>
    <row r="84" spans="3:4" x14ac:dyDescent="0.2">
      <c r="C84" s="15"/>
      <c r="D84" s="15"/>
    </row>
    <row r="85" spans="3:4" x14ac:dyDescent="0.2">
      <c r="C85" s="15"/>
      <c r="D85" s="15"/>
    </row>
    <row r="86" spans="3:4" x14ac:dyDescent="0.2">
      <c r="C86" s="15"/>
      <c r="D86" s="15"/>
    </row>
    <row r="87" spans="3:4" x14ac:dyDescent="0.2">
      <c r="C87" s="15"/>
      <c r="D87" s="15"/>
    </row>
    <row r="88" spans="3:4" x14ac:dyDescent="0.2">
      <c r="C88" s="15"/>
      <c r="D88" s="15"/>
    </row>
    <row r="89" spans="3:4" x14ac:dyDescent="0.2">
      <c r="C89" s="15"/>
      <c r="D89" s="15"/>
    </row>
    <row r="90" spans="3:4" x14ac:dyDescent="0.2">
      <c r="C90" s="15"/>
      <c r="D90" s="15"/>
    </row>
    <row r="91" spans="3:4" x14ac:dyDescent="0.2">
      <c r="C91" s="15"/>
      <c r="D91" s="15"/>
    </row>
    <row r="92" spans="3:4" x14ac:dyDescent="0.2">
      <c r="C92" s="15"/>
      <c r="D92" s="15"/>
    </row>
    <row r="93" spans="3:4" x14ac:dyDescent="0.2">
      <c r="C93" s="15"/>
      <c r="D93" s="15"/>
    </row>
    <row r="94" spans="3:4" x14ac:dyDescent="0.2">
      <c r="C94" s="15"/>
      <c r="D94" s="15"/>
    </row>
    <row r="95" spans="3:4" x14ac:dyDescent="0.2">
      <c r="C95" s="15"/>
      <c r="D95" s="15"/>
    </row>
    <row r="96" spans="3:4" x14ac:dyDescent="0.2"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0"/>
  <sheetViews>
    <sheetView workbookViewId="0">
      <selection activeCell="A18" sqref="A18:D18"/>
    </sheetView>
  </sheetViews>
  <sheetFormatPr defaultRowHeight="12.75" x14ac:dyDescent="0.2"/>
  <cols>
    <col min="1" max="1" width="19.7109375" style="15" customWidth="1"/>
    <col min="2" max="2" width="4.42578125" style="21" customWidth="1"/>
    <col min="3" max="3" width="12.7109375" style="15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5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36" t="s">
        <v>51</v>
      </c>
      <c r="I1" s="37" t="s">
        <v>52</v>
      </c>
      <c r="J1" s="38" t="s">
        <v>53</v>
      </c>
    </row>
    <row r="2" spans="1:16" x14ac:dyDescent="0.2">
      <c r="I2" s="39" t="s">
        <v>54</v>
      </c>
      <c r="J2" s="40" t="s">
        <v>55</v>
      </c>
    </row>
    <row r="3" spans="1:16" x14ac:dyDescent="0.2">
      <c r="A3" s="41" t="s">
        <v>56</v>
      </c>
      <c r="I3" s="39" t="s">
        <v>57</v>
      </c>
      <c r="J3" s="40" t="s">
        <v>58</v>
      </c>
    </row>
    <row r="4" spans="1:16" x14ac:dyDescent="0.2">
      <c r="I4" s="39" t="s">
        <v>59</v>
      </c>
      <c r="J4" s="40" t="s">
        <v>58</v>
      </c>
    </row>
    <row r="5" spans="1:16" ht="13.5" thickBot="1" x14ac:dyDescent="0.25">
      <c r="I5" s="42" t="s">
        <v>60</v>
      </c>
      <c r="J5" s="43" t="s">
        <v>61</v>
      </c>
    </row>
    <row r="10" spans="1:16" ht="13.5" thickBot="1" x14ac:dyDescent="0.25"/>
    <row r="11" spans="1:16" ht="12.75" customHeight="1" thickBot="1" x14ac:dyDescent="0.25">
      <c r="A11" s="15" t="str">
        <f t="shared" ref="A11:A18" si="0">P11</f>
        <v> BBS 117 </v>
      </c>
      <c r="B11" s="5" t="str">
        <f t="shared" ref="B11:B18" si="1">IF(H11=INT(H11),"I","II")</f>
        <v>I</v>
      </c>
      <c r="C11" s="15">
        <f t="shared" ref="C11:C18" si="2">1*G11</f>
        <v>50901.453000000001</v>
      </c>
      <c r="D11" s="21" t="str">
        <f t="shared" ref="D11:D18" si="3">VLOOKUP(F11,I$1:J$5,2,FALSE)</f>
        <v>vis</v>
      </c>
      <c r="E11" s="44">
        <f>VLOOKUP(C11,Active!C$21:E$973,3,FALSE)</f>
        <v>12901.043182069008</v>
      </c>
      <c r="F11" s="5" t="s">
        <v>60</v>
      </c>
      <c r="G11" s="21" t="str">
        <f t="shared" ref="G11:G18" si="4">MID(I11,3,LEN(I11)-3)</f>
        <v>50901.453</v>
      </c>
      <c r="H11" s="15">
        <f t="shared" ref="H11:H18" si="5">1*K11</f>
        <v>12901</v>
      </c>
      <c r="I11" s="45" t="s">
        <v>62</v>
      </c>
      <c r="J11" s="46" t="s">
        <v>63</v>
      </c>
      <c r="K11" s="45">
        <v>12901</v>
      </c>
      <c r="L11" s="45" t="s">
        <v>64</v>
      </c>
      <c r="M11" s="46" t="s">
        <v>65</v>
      </c>
      <c r="N11" s="46" t="s">
        <v>66</v>
      </c>
      <c r="O11" s="47" t="s">
        <v>67</v>
      </c>
      <c r="P11" s="47" t="s">
        <v>68</v>
      </c>
    </row>
    <row r="12" spans="1:16" ht="12.75" customHeight="1" thickBot="1" x14ac:dyDescent="0.25">
      <c r="A12" s="15" t="str">
        <f t="shared" si="0"/>
        <v>IBVS 5592 </v>
      </c>
      <c r="B12" s="5" t="str">
        <f t="shared" si="1"/>
        <v>II</v>
      </c>
      <c r="C12" s="15">
        <f t="shared" si="2"/>
        <v>53106.188000000002</v>
      </c>
      <c r="D12" s="21" t="str">
        <f t="shared" si="3"/>
        <v>vis</v>
      </c>
      <c r="E12" s="44">
        <f>VLOOKUP(C12,Active!C$21:E$973,3,FALSE)</f>
        <v>14283.551007815715</v>
      </c>
      <c r="F12" s="5" t="s">
        <v>60</v>
      </c>
      <c r="G12" s="21" t="str">
        <f t="shared" si="4"/>
        <v>53106.1880</v>
      </c>
      <c r="H12" s="15">
        <f t="shared" si="5"/>
        <v>14283.5</v>
      </c>
      <c r="I12" s="45" t="s">
        <v>73</v>
      </c>
      <c r="J12" s="46" t="s">
        <v>74</v>
      </c>
      <c r="K12" s="45">
        <v>14283.5</v>
      </c>
      <c r="L12" s="45" t="s">
        <v>75</v>
      </c>
      <c r="M12" s="46" t="s">
        <v>65</v>
      </c>
      <c r="N12" s="46" t="s">
        <v>66</v>
      </c>
      <c r="O12" s="47" t="s">
        <v>76</v>
      </c>
      <c r="P12" s="48" t="s">
        <v>77</v>
      </c>
    </row>
    <row r="13" spans="1:16" ht="12.75" customHeight="1" thickBot="1" x14ac:dyDescent="0.25">
      <c r="A13" s="15" t="str">
        <f t="shared" si="0"/>
        <v>IBVS 5653 </v>
      </c>
      <c r="B13" s="5" t="str">
        <f t="shared" si="1"/>
        <v>II</v>
      </c>
      <c r="C13" s="15">
        <f t="shared" si="2"/>
        <v>53385.250999999997</v>
      </c>
      <c r="D13" s="21" t="str">
        <f t="shared" si="3"/>
        <v>vis</v>
      </c>
      <c r="E13" s="44">
        <f>VLOOKUP(C13,Active!C$21:E$973,3,FALSE)</f>
        <v>14458.541100219722</v>
      </c>
      <c r="F13" s="5" t="s">
        <v>60</v>
      </c>
      <c r="G13" s="21" t="str">
        <f t="shared" si="4"/>
        <v>53385.251</v>
      </c>
      <c r="H13" s="15">
        <f t="shared" si="5"/>
        <v>14458.5</v>
      </c>
      <c r="I13" s="45" t="s">
        <v>78</v>
      </c>
      <c r="J13" s="46" t="s">
        <v>79</v>
      </c>
      <c r="K13" s="45">
        <v>14458.5</v>
      </c>
      <c r="L13" s="45" t="s">
        <v>80</v>
      </c>
      <c r="M13" s="46" t="s">
        <v>65</v>
      </c>
      <c r="N13" s="46" t="s">
        <v>66</v>
      </c>
      <c r="O13" s="47" t="s">
        <v>81</v>
      </c>
      <c r="P13" s="48" t="s">
        <v>82</v>
      </c>
    </row>
    <row r="14" spans="1:16" ht="12.75" customHeight="1" thickBot="1" x14ac:dyDescent="0.25">
      <c r="A14" s="15" t="str">
        <f t="shared" si="0"/>
        <v>BAVM 173 </v>
      </c>
      <c r="B14" s="5" t="str">
        <f t="shared" si="1"/>
        <v>I</v>
      </c>
      <c r="C14" s="15">
        <f t="shared" si="2"/>
        <v>53432.316800000001</v>
      </c>
      <c r="D14" s="21" t="str">
        <f t="shared" si="3"/>
        <v>vis</v>
      </c>
      <c r="E14" s="44">
        <f>VLOOKUP(C14,Active!C$21:E$973,3,FALSE)</f>
        <v>14488.054323725057</v>
      </c>
      <c r="F14" s="5" t="s">
        <v>60</v>
      </c>
      <c r="G14" s="21" t="str">
        <f t="shared" si="4"/>
        <v>53432.3168</v>
      </c>
      <c r="H14" s="15">
        <f t="shared" si="5"/>
        <v>14488</v>
      </c>
      <c r="I14" s="45" t="s">
        <v>83</v>
      </c>
      <c r="J14" s="46" t="s">
        <v>84</v>
      </c>
      <c r="K14" s="45">
        <v>14488</v>
      </c>
      <c r="L14" s="45" t="s">
        <v>85</v>
      </c>
      <c r="M14" s="46" t="s">
        <v>65</v>
      </c>
      <c r="N14" s="46" t="s">
        <v>86</v>
      </c>
      <c r="O14" s="47" t="s">
        <v>87</v>
      </c>
      <c r="P14" s="48" t="s">
        <v>88</v>
      </c>
    </row>
    <row r="15" spans="1:16" ht="12.75" customHeight="1" thickBot="1" x14ac:dyDescent="0.25">
      <c r="A15" s="15" t="str">
        <f t="shared" si="0"/>
        <v>BAVM 186 </v>
      </c>
      <c r="B15" s="5" t="str">
        <f t="shared" si="1"/>
        <v>I</v>
      </c>
      <c r="C15" s="15">
        <f t="shared" si="2"/>
        <v>54116.462399999997</v>
      </c>
      <c r="D15" s="21" t="str">
        <f t="shared" si="3"/>
        <v>vis</v>
      </c>
      <c r="E15" s="44">
        <f>VLOOKUP(C15,Active!C$21:E$973,3,FALSE)</f>
        <v>14917.056741680126</v>
      </c>
      <c r="F15" s="5" t="s">
        <v>60</v>
      </c>
      <c r="G15" s="21" t="str">
        <f t="shared" si="4"/>
        <v>54116.4624</v>
      </c>
      <c r="H15" s="15">
        <f t="shared" si="5"/>
        <v>14917</v>
      </c>
      <c r="I15" s="45" t="s">
        <v>89</v>
      </c>
      <c r="J15" s="46" t="s">
        <v>90</v>
      </c>
      <c r="K15" s="45">
        <v>14917</v>
      </c>
      <c r="L15" s="45" t="s">
        <v>91</v>
      </c>
      <c r="M15" s="46" t="s">
        <v>92</v>
      </c>
      <c r="N15" s="46" t="s">
        <v>93</v>
      </c>
      <c r="O15" s="47" t="s">
        <v>94</v>
      </c>
      <c r="P15" s="48" t="s">
        <v>95</v>
      </c>
    </row>
    <row r="16" spans="1:16" ht="12.75" customHeight="1" thickBot="1" x14ac:dyDescent="0.25">
      <c r="A16" s="15" t="str">
        <f t="shared" si="0"/>
        <v>BAVM 186 </v>
      </c>
      <c r="B16" s="5" t="str">
        <f t="shared" si="1"/>
        <v>I</v>
      </c>
      <c r="C16" s="15">
        <f t="shared" si="2"/>
        <v>54148.367299999998</v>
      </c>
      <c r="D16" s="21" t="str">
        <f t="shared" si="3"/>
        <v>vis</v>
      </c>
      <c r="E16" s="44">
        <f>VLOOKUP(C16,Active!C$21:E$973,3,FALSE)</f>
        <v>14937.063125181849</v>
      </c>
      <c r="F16" s="5" t="s">
        <v>60</v>
      </c>
      <c r="G16" s="21" t="str">
        <f t="shared" si="4"/>
        <v>54148.3673</v>
      </c>
      <c r="H16" s="15">
        <f t="shared" si="5"/>
        <v>14937</v>
      </c>
      <c r="I16" s="45" t="s">
        <v>96</v>
      </c>
      <c r="J16" s="46" t="s">
        <v>97</v>
      </c>
      <c r="K16" s="45" t="s">
        <v>98</v>
      </c>
      <c r="L16" s="45" t="s">
        <v>99</v>
      </c>
      <c r="M16" s="46" t="s">
        <v>92</v>
      </c>
      <c r="N16" s="46" t="s">
        <v>86</v>
      </c>
      <c r="O16" s="47" t="s">
        <v>100</v>
      </c>
      <c r="P16" s="48" t="s">
        <v>95</v>
      </c>
    </row>
    <row r="17" spans="1:16" ht="12.75" customHeight="1" thickBot="1" x14ac:dyDescent="0.25">
      <c r="A17" s="15" t="str">
        <f t="shared" si="0"/>
        <v>BAVM 234 </v>
      </c>
      <c r="B17" s="5" t="str">
        <f t="shared" si="1"/>
        <v>I</v>
      </c>
      <c r="C17" s="15">
        <f t="shared" si="2"/>
        <v>56642.5314</v>
      </c>
      <c r="D17" s="21" t="str">
        <f t="shared" si="3"/>
        <v>vis</v>
      </c>
      <c r="E17" s="44">
        <f>VLOOKUP(C17,Active!C$21:E$973,3,FALSE)</f>
        <v>16501.061241484484</v>
      </c>
      <c r="F17" s="5" t="s">
        <v>60</v>
      </c>
      <c r="G17" s="21" t="str">
        <f t="shared" si="4"/>
        <v>56642.5314</v>
      </c>
      <c r="H17" s="15">
        <f t="shared" si="5"/>
        <v>16501</v>
      </c>
      <c r="I17" s="45" t="s">
        <v>101</v>
      </c>
      <c r="J17" s="46" t="s">
        <v>102</v>
      </c>
      <c r="K17" s="45" t="s">
        <v>103</v>
      </c>
      <c r="L17" s="45" t="s">
        <v>104</v>
      </c>
      <c r="M17" s="46" t="s">
        <v>92</v>
      </c>
      <c r="N17" s="46" t="s">
        <v>86</v>
      </c>
      <c r="O17" s="47" t="s">
        <v>105</v>
      </c>
      <c r="P17" s="48" t="s">
        <v>106</v>
      </c>
    </row>
    <row r="18" spans="1:16" ht="12.75" customHeight="1" thickBot="1" x14ac:dyDescent="0.25">
      <c r="A18" s="15" t="str">
        <f t="shared" si="0"/>
        <v> BBS 122 </v>
      </c>
      <c r="B18" s="5" t="str">
        <f t="shared" si="1"/>
        <v>II</v>
      </c>
      <c r="C18" s="15">
        <f t="shared" si="2"/>
        <v>51602.345200000003</v>
      </c>
      <c r="D18" s="21" t="str">
        <f t="shared" si="3"/>
        <v>vis</v>
      </c>
      <c r="E18" s="44">
        <f>VLOOKUP(C18,Active!C$21:E$973,3,FALSE)</f>
        <v>13340.546773886088</v>
      </c>
      <c r="F18" s="5" t="s">
        <v>60</v>
      </c>
      <c r="G18" s="21" t="str">
        <f t="shared" si="4"/>
        <v>51602.3452</v>
      </c>
      <c r="H18" s="15">
        <f t="shared" si="5"/>
        <v>13340.5</v>
      </c>
      <c r="I18" s="45" t="s">
        <v>69</v>
      </c>
      <c r="J18" s="46" t="s">
        <v>70</v>
      </c>
      <c r="K18" s="45">
        <v>13340.5</v>
      </c>
      <c r="L18" s="45" t="s">
        <v>71</v>
      </c>
      <c r="M18" s="46" t="s">
        <v>65</v>
      </c>
      <c r="N18" s="46" t="s">
        <v>66</v>
      </c>
      <c r="O18" s="47" t="s">
        <v>67</v>
      </c>
      <c r="P18" s="47" t="s">
        <v>72</v>
      </c>
    </row>
    <row r="19" spans="1:16" x14ac:dyDescent="0.2">
      <c r="B19" s="5"/>
      <c r="E19" s="44"/>
      <c r="F19" s="5"/>
    </row>
    <row r="20" spans="1:16" x14ac:dyDescent="0.2">
      <c r="B20" s="5"/>
      <c r="E20" s="44"/>
      <c r="F20" s="5"/>
    </row>
    <row r="21" spans="1:16" x14ac:dyDescent="0.2">
      <c r="B21" s="5"/>
      <c r="E21" s="44"/>
      <c r="F21" s="5"/>
    </row>
    <row r="22" spans="1:16" x14ac:dyDescent="0.2">
      <c r="B22" s="5"/>
      <c r="E22" s="44"/>
      <c r="F22" s="5"/>
    </row>
    <row r="23" spans="1:16" x14ac:dyDescent="0.2">
      <c r="B23" s="5"/>
      <c r="E23" s="44"/>
      <c r="F23" s="5"/>
    </row>
    <row r="24" spans="1:16" x14ac:dyDescent="0.2">
      <c r="B24" s="5"/>
      <c r="E24" s="44"/>
      <c r="F24" s="5"/>
    </row>
    <row r="25" spans="1:16" x14ac:dyDescent="0.2">
      <c r="B25" s="5"/>
      <c r="E25" s="44"/>
      <c r="F25" s="5"/>
    </row>
    <row r="26" spans="1:16" x14ac:dyDescent="0.2">
      <c r="B26" s="5"/>
      <c r="E26" s="44"/>
      <c r="F26" s="5"/>
    </row>
    <row r="27" spans="1:16" x14ac:dyDescent="0.2">
      <c r="B27" s="5"/>
      <c r="E27" s="44"/>
      <c r="F27" s="5"/>
    </row>
    <row r="28" spans="1:16" x14ac:dyDescent="0.2">
      <c r="B28" s="5"/>
      <c r="E28" s="44"/>
      <c r="F28" s="5"/>
    </row>
    <row r="29" spans="1:16" x14ac:dyDescent="0.2">
      <c r="B29" s="5"/>
      <c r="E29" s="44"/>
      <c r="F29" s="5"/>
    </row>
    <row r="30" spans="1:16" x14ac:dyDescent="0.2">
      <c r="B30" s="5"/>
      <c r="E30" s="44"/>
      <c r="F30" s="5"/>
    </row>
    <row r="31" spans="1:16" x14ac:dyDescent="0.2">
      <c r="B31" s="5"/>
      <c r="E31" s="44"/>
      <c r="F31" s="5"/>
    </row>
    <row r="32" spans="1:16" x14ac:dyDescent="0.2">
      <c r="B32" s="5"/>
      <c r="E32" s="44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</sheetData>
  <phoneticPr fontId="7" type="noConversion"/>
  <hyperlinks>
    <hyperlink ref="P12" r:id="rId1" display="http://www.konkoly.hu/cgi-bin/IBVS?5592"/>
    <hyperlink ref="P13" r:id="rId2" display="http://www.konkoly.hu/cgi-bin/IBVS?5653"/>
    <hyperlink ref="P14" r:id="rId3" display="http://www.bav-astro.de/sfs/BAVM_link.php?BAVMnr=173"/>
    <hyperlink ref="P15" r:id="rId4" display="http://www.bav-astro.de/sfs/BAVM_link.php?BAVMnr=186"/>
    <hyperlink ref="P16" r:id="rId5" display="http://www.bav-astro.de/sfs/BAVM_link.php?BAVMnr=186"/>
    <hyperlink ref="P17" r:id="rId6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2024-02-11T05:12:56Z</dcterms:modified>
</cp:coreProperties>
</file>