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9E6475D-D3A7-4590-BA6E-5489A0AD817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Q23" i="1"/>
  <c r="Q22" i="1"/>
  <c r="E23" i="1"/>
  <c r="F23" i="1" s="1"/>
  <c r="G23" i="1" s="1"/>
  <c r="K23" i="1" s="1"/>
  <c r="C9" i="1"/>
  <c r="D9" i="1"/>
  <c r="F16" i="1"/>
  <c r="C17" i="1"/>
  <c r="Q21" i="1"/>
  <c r="E21" i="1"/>
  <c r="F21" i="1"/>
  <c r="G21" i="1" s="1"/>
  <c r="I21" i="1" s="1"/>
  <c r="E22" i="1"/>
  <c r="F22" i="1" s="1"/>
  <c r="G22" i="1" s="1"/>
  <c r="K22" i="1" s="1"/>
  <c r="C11" i="1"/>
  <c r="C12" i="1"/>
  <c r="C16" i="1" l="1"/>
  <c r="D18" i="1" s="1"/>
  <c r="C15" i="1"/>
  <c r="F18" i="1" s="1"/>
  <c r="O22" i="1"/>
  <c r="O23" i="1"/>
  <c r="O24" i="1"/>
  <c r="O21" i="1"/>
  <c r="F17" i="1"/>
  <c r="C18" i="1" l="1"/>
  <c r="F19" i="1"/>
</calcChain>
</file>

<file path=xl/sharedStrings.xml><?xml version="1.0" encoding="utf-8"?>
<sst xmlns="http://schemas.openxmlformats.org/spreadsheetml/2006/main" count="60" uniqueCount="54">
  <si>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</si>
  <si>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</si>
  <si>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</si>
  <si>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</si>
  <si>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</si>
  <si>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</si>
  <si>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</si>
  <si>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</si>
  <si>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</si>
  <si>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</si>
  <si>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</si>
  <si>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</si>
  <si>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</si>
  <si>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</si>
  <si>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</si>
  <si>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</si>
  <si>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</si>
  <si>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</si>
  <si>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</si>
  <si>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</si>
  <si>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</si>
  <si>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</si>
  <si>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</si>
  <si>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</si>
  <si>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</si>
  <si>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</si>
  <si>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</si>
  <si>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</si>
  <si>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</si>
  <si>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</si>
  <si>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</si>
  <si>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</si>
  <si>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</si>
  <si>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</si>
  <si>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</si>
  <si>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</si>
  <si>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</si>
  <si>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</si>
  <si>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</si>
  <si>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</si>
  <si>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</si>
  <si>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</si>
  <si>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BAD?</t>
  </si>
  <si>
    <t>KK Gem</t>
  </si>
  <si>
    <t>G1332-0569</t>
  </si>
  <si>
    <t>EA</t>
  </si>
  <si>
    <t>pr_7</t>
  </si>
  <si>
    <t>~</t>
  </si>
  <si>
    <t>KK Gem / GSC 1332-0569</t>
  </si>
  <si>
    <t>VSX</t>
  </si>
  <si>
    <t>GCVS</t>
  </si>
  <si>
    <t>OEJV 0179</t>
  </si>
  <si>
    <t>JAVSO..45..121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</si>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</sst>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6" fillId="0" borderId="0"/>
    <xf numFmtId="0" fontId="16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/>
    <xf numFmtId="0" fontId="12" fillId="0" borderId="0" xfId="0" applyFont="1" applyAlignment="1">
      <alignment horizontal="center"/>
    </xf>
    <xf numFmtId="0" fontId="1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25" borderId="5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0" fillId="0" borderId="5" xfId="0" quotePrefix="1" applyBorder="1" applyAlignment="1">
      <alignment horizontal="left"/>
    </xf>
    <xf numFmtId="0" fontId="32" fillId="0" borderId="0" xfId="42" applyFont="1"/>
    <xf numFmtId="0" fontId="32" fillId="0" borderId="0" xfId="42" applyFont="1" applyAlignment="1">
      <alignment horizontal="center"/>
    </xf>
    <xf numFmtId="0" fontId="32" fillId="0" borderId="0" xfId="42" applyFont="1" applyAlignment="1">
      <alignment horizontal="left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left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KK Gem - O-C Diagr.</a:t>
            </a:r>
          </a:p>
        </c:rich>
      </c:tx>
      <c:layout>
        <c:manualLayout>
          <c:xMode val="edge"/>
          <c:yMode val="edge"/>
          <c:x val="0.3804511278195488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7554</c:v>
                </c:pt>
                <c:pt idx="2">
                  <c:v>7574</c:v>
                </c:pt>
                <c:pt idx="3">
                  <c:v>7689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4B-423E-9996-0D9D2357DA5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7554</c:v>
                </c:pt>
                <c:pt idx="2">
                  <c:v>7574</c:v>
                </c:pt>
                <c:pt idx="3">
                  <c:v>7689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4B-423E-9996-0D9D2357DA5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7554</c:v>
                </c:pt>
                <c:pt idx="2">
                  <c:v>7574</c:v>
                </c:pt>
                <c:pt idx="3">
                  <c:v>7689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4B-423E-9996-0D9D2357DA5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7554</c:v>
                </c:pt>
                <c:pt idx="2">
                  <c:v>7574</c:v>
                </c:pt>
                <c:pt idx="3">
                  <c:v>7689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-5.1020000006246846E-2</c:v>
                </c:pt>
                <c:pt idx="2">
                  <c:v>-5.0599999995029066E-2</c:v>
                </c:pt>
                <c:pt idx="3">
                  <c:v>-5.1550000163842924E-2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4B-423E-9996-0D9D2357DA5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7554</c:v>
                </c:pt>
                <c:pt idx="2">
                  <c:v>7574</c:v>
                </c:pt>
                <c:pt idx="3">
                  <c:v>7689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4B-423E-9996-0D9D2357DA5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7554</c:v>
                </c:pt>
                <c:pt idx="2">
                  <c:v>7574</c:v>
                </c:pt>
                <c:pt idx="3">
                  <c:v>7689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4B-423E-9996-0D9D2357DA5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7554</c:v>
                </c:pt>
                <c:pt idx="2">
                  <c:v>7574</c:v>
                </c:pt>
                <c:pt idx="3">
                  <c:v>7689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4B-423E-9996-0D9D2357DA5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7554</c:v>
                </c:pt>
                <c:pt idx="2">
                  <c:v>7574</c:v>
                </c:pt>
                <c:pt idx="3">
                  <c:v>7689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-1.8143556099053937E-6</c:v>
                </c:pt>
                <c:pt idx="1">
                  <c:v>-5.0709241216205021E-2</c:v>
                </c:pt>
                <c:pt idx="2">
                  <c:v>-5.0843494398255848E-2</c:v>
                </c:pt>
                <c:pt idx="3">
                  <c:v>-5.1615450195048068E-2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4B-423E-9996-0D9D2357DA5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7554</c:v>
                </c:pt>
                <c:pt idx="2">
                  <c:v>7574</c:v>
                </c:pt>
                <c:pt idx="3">
                  <c:v>7689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24B-423E-9996-0D9D2357D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928744"/>
        <c:axId val="1"/>
      </c:scatterChart>
      <c:valAx>
        <c:axId val="100928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928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17</xdr:col>
      <xdr:colOff>219075</xdr:colOff>
      <xdr:row>19</xdr:row>
      <xdr:rowOff>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BDEDEC0E-3C00-8694-C315-346876E930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48</v>
      </c>
      <c r="F1" s="39" t="s">
        <v>43</v>
      </c>
      <c r="G1" s="30">
        <v>0</v>
      </c>
      <c r="H1" s="31"/>
      <c r="I1" s="40" t="s">
        <v>44</v>
      </c>
      <c r="J1" s="41" t="s">
        <v>43</v>
      </c>
      <c r="K1" s="42">
        <v>6.3047399999999998</v>
      </c>
      <c r="L1" s="33">
        <v>18.324079999999999</v>
      </c>
      <c r="M1" s="34">
        <v>38410.33</v>
      </c>
      <c r="N1" s="34">
        <v>2.5122</v>
      </c>
      <c r="O1" s="32" t="s">
        <v>45</v>
      </c>
      <c r="P1" s="43">
        <v>12.78</v>
      </c>
      <c r="Q1" s="43">
        <v>14</v>
      </c>
      <c r="R1" s="44" t="s">
        <v>46</v>
      </c>
      <c r="S1" s="45" t="s">
        <v>47</v>
      </c>
    </row>
    <row r="2" spans="1:19" x14ac:dyDescent="0.2">
      <c r="A2" t="s">
        <v>24</v>
      </c>
      <c r="B2" t="s">
        <v>45</v>
      </c>
      <c r="C2" s="29"/>
      <c r="D2" s="3"/>
    </row>
    <row r="3" spans="1:19" ht="13.5" thickBot="1" x14ac:dyDescent="0.25">
      <c r="C3" s="37"/>
      <c r="D3" s="37"/>
    </row>
    <row r="4" spans="1:19" ht="14.25" thickTop="1" thickBot="1" x14ac:dyDescent="0.25">
      <c r="A4" s="5" t="s">
        <v>1</v>
      </c>
      <c r="C4" s="26">
        <v>38410.33</v>
      </c>
      <c r="D4" s="27" t="s">
        <v>37</v>
      </c>
    </row>
    <row r="5" spans="1:19" ht="13.5" thickTop="1" x14ac:dyDescent="0.2">
      <c r="A5" s="9" t="s">
        <v>29</v>
      </c>
      <c r="B5" s="10"/>
      <c r="C5" s="11">
        <v>-9.5</v>
      </c>
      <c r="D5" s="10" t="s">
        <v>30</v>
      </c>
      <c r="E5" s="10"/>
    </row>
    <row r="6" spans="1:19" x14ac:dyDescent="0.2">
      <c r="A6" s="5" t="s">
        <v>2</v>
      </c>
    </row>
    <row r="7" spans="1:19" x14ac:dyDescent="0.2">
      <c r="A7" t="s">
        <v>3</v>
      </c>
      <c r="C7" s="55">
        <v>38410.33</v>
      </c>
      <c r="D7" s="28" t="s">
        <v>50</v>
      </c>
    </row>
    <row r="8" spans="1:19" x14ac:dyDescent="0.2">
      <c r="A8" t="s">
        <v>4</v>
      </c>
      <c r="C8" s="55">
        <v>2.5122</v>
      </c>
      <c r="D8" s="32" t="s">
        <v>49</v>
      </c>
    </row>
    <row r="9" spans="1:19" x14ac:dyDescent="0.2">
      <c r="A9" s="24" t="s">
        <v>33</v>
      </c>
      <c r="B9" s="38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19" x14ac:dyDescent="0.2">
      <c r="A11" s="10" t="s">
        <v>16</v>
      </c>
      <c r="B11" s="10"/>
      <c r="C11" s="21">
        <f ca="1">INTERCEPT(INDIRECT($D$9):G992,INDIRECT($C$9):F992)</f>
        <v>-1.8143556099053937E-6</v>
      </c>
      <c r="D11" s="3"/>
      <c r="E11" s="10"/>
    </row>
    <row r="12" spans="1:19" x14ac:dyDescent="0.2">
      <c r="A12" s="10" t="s">
        <v>17</v>
      </c>
      <c r="B12" s="10"/>
      <c r="C12" s="21">
        <f ca="1">SLOPE(INDIRECT($D$9):G992,INDIRECT($C$9):F992)</f>
        <v>-6.7126591025410535E-6</v>
      </c>
      <c r="D12" s="3"/>
      <c r="E12" s="10"/>
    </row>
    <row r="13" spans="1:19" x14ac:dyDescent="0.2">
      <c r="A13" s="10" t="s">
        <v>19</v>
      </c>
      <c r="B13" s="10"/>
      <c r="C13" s="3" t="s">
        <v>14</v>
      </c>
    </row>
    <row r="14" spans="1:19" x14ac:dyDescent="0.2">
      <c r="A14" s="10"/>
      <c r="B14" s="10"/>
      <c r="C14" s="10"/>
    </row>
    <row r="15" spans="1:19" x14ac:dyDescent="0.2">
      <c r="A15" s="12" t="s">
        <v>18</v>
      </c>
      <c r="B15" s="10"/>
      <c r="C15" s="13">
        <f ca="1">(C7+C11)+(C8+C12)*INT(MAX(F21:F3533))</f>
        <v>57726.584184549807</v>
      </c>
      <c r="E15" s="14" t="s">
        <v>34</v>
      </c>
      <c r="F15" s="35">
        <v>1</v>
      </c>
    </row>
    <row r="16" spans="1:19" x14ac:dyDescent="0.2">
      <c r="A16" s="16" t="s">
        <v>5</v>
      </c>
      <c r="B16" s="10"/>
      <c r="C16" s="17">
        <f ca="1">+C8+C12</f>
        <v>2.5121932873408976</v>
      </c>
      <c r="E16" s="14" t="s">
        <v>31</v>
      </c>
      <c r="F16" s="36">
        <f ca="1">NOW()+15018.5+$C$5/24</f>
        <v>60339.848623032405</v>
      </c>
    </row>
    <row r="17" spans="1:21" ht="13.5" thickBot="1" x14ac:dyDescent="0.25">
      <c r="A17" s="14" t="s">
        <v>28</v>
      </c>
      <c r="B17" s="10"/>
      <c r="C17" s="10">
        <f>COUNT(C21:C2191)</f>
        <v>4</v>
      </c>
      <c r="E17" s="14" t="s">
        <v>35</v>
      </c>
      <c r="F17" s="15">
        <f ca="1">ROUND(2*(F16-$C$7)/$C$8,0)/2+F15</f>
        <v>8730</v>
      </c>
    </row>
    <row r="18" spans="1:21" ht="14.25" thickTop="1" thickBot="1" x14ac:dyDescent="0.25">
      <c r="A18" s="16" t="s">
        <v>6</v>
      </c>
      <c r="B18" s="10"/>
      <c r="C18" s="19">
        <f ca="1">+C15</f>
        <v>57726.584184549807</v>
      </c>
      <c r="D18" s="20">
        <f ca="1">+C16</f>
        <v>2.5121932873408976</v>
      </c>
      <c r="E18" s="14" t="s">
        <v>36</v>
      </c>
      <c r="F18" s="23">
        <f ca="1">ROUND(2*(F16-$C$15)/$C$16,0)/2+F15</f>
        <v>1041</v>
      </c>
    </row>
    <row r="19" spans="1:21" ht="13.5" thickTop="1" x14ac:dyDescent="0.2">
      <c r="E19" s="14" t="s">
        <v>32</v>
      </c>
      <c r="F19" s="18">
        <f ca="1">+$C$15+$C$16*F18-15018.5-$C$5/24</f>
        <v>45323.673230005013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5" t="s">
        <v>42</v>
      </c>
    </row>
    <row r="21" spans="1:21" x14ac:dyDescent="0.2">
      <c r="A21" t="s">
        <v>50</v>
      </c>
      <c r="C21" s="8">
        <v>38410.33</v>
      </c>
      <c r="D21" s="8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-1.8143556099053937E-6</v>
      </c>
      <c r="Q21" s="2">
        <f>+C21-15018.5</f>
        <v>23391.83</v>
      </c>
    </row>
    <row r="22" spans="1:21" x14ac:dyDescent="0.2">
      <c r="A22" s="46" t="s">
        <v>51</v>
      </c>
      <c r="B22" s="47" t="s">
        <v>0</v>
      </c>
      <c r="C22" s="48">
        <v>57387.43778</v>
      </c>
      <c r="D22" s="48">
        <v>5.0000000000000001E-4</v>
      </c>
      <c r="E22">
        <f>+(C22-C$7)/C$8</f>
        <v>7553.9796911073954</v>
      </c>
      <c r="F22">
        <f>ROUND(2*E22,0)/2</f>
        <v>7554</v>
      </c>
      <c r="G22">
        <f>+C22-(C$7+F22*C$8)</f>
        <v>-5.1020000006246846E-2</v>
      </c>
      <c r="K22">
        <f>+G22</f>
        <v>-5.1020000006246846E-2</v>
      </c>
      <c r="O22">
        <f ca="1">+C$11+C$12*$F22</f>
        <v>-5.0709241216205021E-2</v>
      </c>
      <c r="Q22" s="2">
        <f>+C22-15018.5</f>
        <v>42368.93778</v>
      </c>
    </row>
    <row r="23" spans="1:21" x14ac:dyDescent="0.2">
      <c r="A23" s="49" t="s">
        <v>52</v>
      </c>
      <c r="B23" s="50" t="s">
        <v>0</v>
      </c>
      <c r="C23" s="51">
        <v>57437.682200000003</v>
      </c>
      <c r="D23" s="51">
        <v>2.9999999999999997E-4</v>
      </c>
      <c r="E23">
        <f>+(C23-C$7)/C$8</f>
        <v>7573.9798582915382</v>
      </c>
      <c r="F23">
        <f>ROUND(2*E23,0)/2</f>
        <v>7574</v>
      </c>
      <c r="G23">
        <f>+C23-(C$7+F23*C$8)</f>
        <v>-5.0599999995029066E-2</v>
      </c>
      <c r="K23">
        <f>+G23</f>
        <v>-5.0599999995029066E-2</v>
      </c>
      <c r="O23">
        <f ca="1">+C$11+C$12*$F23</f>
        <v>-5.0843494398255848E-2</v>
      </c>
      <c r="Q23" s="2">
        <f>+C23-15018.5</f>
        <v>42419.182200000003</v>
      </c>
    </row>
    <row r="24" spans="1:21" x14ac:dyDescent="0.2">
      <c r="A24" s="52" t="s">
        <v>53</v>
      </c>
      <c r="B24" s="53" t="s">
        <v>0</v>
      </c>
      <c r="C24" s="54">
        <v>57726.58424999984</v>
      </c>
      <c r="D24" s="54">
        <v>2.0000000000000001E-4</v>
      </c>
      <c r="E24">
        <f>+(C24-C$7)/C$8</f>
        <v>7688.9794801368671</v>
      </c>
      <c r="F24">
        <f>ROUND(2*E24,0)/2</f>
        <v>7689</v>
      </c>
      <c r="G24">
        <f>+C24-(C$7+F24*C$8)</f>
        <v>-5.1550000163842924E-2</v>
      </c>
      <c r="K24">
        <f>+G24</f>
        <v>-5.1550000163842924E-2</v>
      </c>
      <c r="O24">
        <f ca="1">+C$11+C$12*$F24</f>
        <v>-5.1615450195048068E-2</v>
      </c>
      <c r="Q24" s="2">
        <f>+C24-15018.5</f>
        <v>42708.08424999984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4:D24" name="Range1"/>
  </protectedRanges>
  <phoneticPr fontId="7" type="noConversion"/>
  <hyperlinks>
    <hyperlink ref="H360" r:id="rId1" display="http://vsolj.cetus-net.org/bulletin.html"/>
    <hyperlink ref="H353" r:id="rId2" display="http://vsolj.cetus-net.org/bulletin.html"/>
  </hyperlinks>
  <pageMargins left="0.75" right="0.75" top="1" bottom="1" header="0.5" footer="0.5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2024-01-30T07:22:01Z</dcterms:modified>
</cp:coreProperties>
</file>