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5BEE8CD-4566-4023-9821-F54BD593744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D9" i="1"/>
  <c r="C9" i="1"/>
  <c r="E21" i="1"/>
  <c r="F21" i="1"/>
  <c r="G21" i="1"/>
  <c r="H21" i="1"/>
  <c r="E36" i="1"/>
  <c r="F36" i="1"/>
  <c r="G36" i="1"/>
  <c r="J36" i="1"/>
  <c r="E37" i="1"/>
  <c r="F37" i="1"/>
  <c r="G37" i="1"/>
  <c r="J37" i="1"/>
  <c r="Q22" i="1"/>
  <c r="Q23" i="1"/>
  <c r="Q24" i="1"/>
  <c r="Q25" i="1"/>
  <c r="Q26" i="1"/>
  <c r="Q27" i="1"/>
  <c r="Q28" i="1"/>
  <c r="Q29" i="1"/>
  <c r="H30" i="1"/>
  <c r="Q30" i="1"/>
  <c r="Q31" i="1"/>
  <c r="Q32" i="1"/>
  <c r="Q33" i="1"/>
  <c r="Q34" i="1"/>
  <c r="Q35" i="1"/>
  <c r="G12" i="2"/>
  <c r="C12" i="2"/>
  <c r="E12" i="2"/>
  <c r="G11" i="2"/>
  <c r="C11" i="2"/>
  <c r="E11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H12" i="2"/>
  <c r="D12" i="2"/>
  <c r="B12" i="2"/>
  <c r="A12" i="2"/>
  <c r="H11" i="2"/>
  <c r="D11" i="2"/>
  <c r="B11" i="2"/>
  <c r="A11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Q37" i="1"/>
  <c r="Q36" i="1"/>
  <c r="F16" i="1"/>
  <c r="F17" i="1" s="1"/>
  <c r="C17" i="1"/>
  <c r="Q21" i="1"/>
  <c r="C12" i="1"/>
  <c r="C11" i="1"/>
  <c r="O28" i="1" l="1"/>
  <c r="O27" i="1"/>
  <c r="O37" i="1"/>
  <c r="O35" i="1"/>
  <c r="O22" i="1"/>
  <c r="O23" i="1"/>
  <c r="O29" i="1"/>
  <c r="O30" i="1"/>
  <c r="O31" i="1"/>
  <c r="O36" i="1"/>
  <c r="O21" i="1"/>
  <c r="O26" i="1"/>
  <c r="O33" i="1"/>
  <c r="O24" i="1"/>
  <c r="O32" i="1"/>
  <c r="C15" i="1"/>
  <c r="O25" i="1"/>
  <c r="O34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<sst xmlns="http://schemas.openxmlformats.org/spreadsheetml/2006/main" count="222" uniqueCount="110">
  <si>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</si>
  <si>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</si>
  <si>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</si>
  <si>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</si>
  <si>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</si>
  <si>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</si>
  <si>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</si>
  <si>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</si>
  <si>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</si>
  <si>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</si>
  <si>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</si>
  <si>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</si>
  <si>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</si>
  <si>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</si>
  <si>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</si>
  <si>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</si>
  <si>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</si>
  <si>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</si>
  <si>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</si>
  <si>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</si>
  <si>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</si>
  <si>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</si>
  <si>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</si>
  <si>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</si>
  <si>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</si>
  <si>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</si>
  <si>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</si>
  <si>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</si>
  <si>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</si>
  <si>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</si>
  <si>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</si>
  <si>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</si>
  <si>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</si>
  <si>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</si>
  <si>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</si>
  <si>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</si>
  <si>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</si>
  <si>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KY Gem</t>
  </si>
  <si>
    <t>KY Gem / GSC na</t>
  </si>
  <si>
    <t>EA</t>
  </si>
  <si>
    <t>Malkov</t>
  </si>
  <si>
    <t>IBVS 5959</t>
  </si>
  <si>
    <t>I</t>
  </si>
  <si>
    <t>IBVS 6048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</si>
  <si>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</si>
  <si>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</si>
  <si>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</si>
  <si>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</si>
  <si>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</si>
  <si>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</si>
  <si>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</si>
  <si>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</si>
  <si>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</si>
  <si>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</si>
  <si>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</si>
  <si>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2427098.37 </t>
  </si>
  <si>
    <t> 25.01.1933 20:52 </t>
  </si>
  <si>
    <t> 0.17 </t>
  </si>
  <si>
    <t>P </t>
  </si>
  <si>
    <t> L.Meinunger </t>
  </si>
  <si>
    <t> MVS 2.158 </t>
  </si>
  <si>
    <t>2427344.59 </t>
  </si>
  <si>
    <t> 29.09.1933 02:09 </t>
  </si>
  <si>
    <t> -0.24 </t>
  </si>
  <si>
    <t>2427369.54 </t>
  </si>
  <si>
    <t> 24.10.1933 00:57 </t>
  </si>
  <si>
    <t> 0.04 </t>
  </si>
  <si>
    <t>2428183.41 </t>
  </si>
  <si>
    <t> 15.01.1936 21:50 </t>
  </si>
  <si>
    <t> 0.02 </t>
  </si>
  <si>
    <t>2428220.30 </t>
  </si>
  <si>
    <t> 21.02.1936 19:12 </t>
  </si>
  <si>
    <t> -0.08 </t>
  </si>
  <si>
    <t>2428245.33 </t>
  </si>
  <si>
    <t> 17.03.1936 19:55 </t>
  </si>
  <si>
    <t> 0.28 </t>
  </si>
  <si>
    <t>2429194.58 </t>
  </si>
  <si>
    <t> 23.10.1938 01:55 </t>
  </si>
  <si>
    <t> -0.01 </t>
  </si>
  <si>
    <t>2429219.51 </t>
  </si>
  <si>
    <t> 17.11.1938 00:14 </t>
  </si>
  <si>
    <t> 0.26 </t>
  </si>
  <si>
    <t>2429231.52 </t>
  </si>
  <si>
    <t> 29.11.1938 00:28 </t>
  </si>
  <si>
    <t> -0.06 </t>
  </si>
  <si>
    <t>2430267.60 </t>
  </si>
  <si>
    <t> 30.09.1941 02:24 </t>
  </si>
  <si>
    <t> 0.15 </t>
  </si>
  <si>
    <t>2433239.49 </t>
  </si>
  <si>
    <t> 18.11.1949 23:45 </t>
  </si>
  <si>
    <t> 0.10 </t>
  </si>
  <si>
    <t>2435187.34 </t>
  </si>
  <si>
    <t> 20.03.1955 20:09 </t>
  </si>
  <si>
    <t> -0.46 </t>
  </si>
  <si>
    <t>2436285.34 </t>
  </si>
  <si>
    <t> 22.03.1958 20:09 </t>
  </si>
  <si>
    <t>2436556.55 </t>
  </si>
  <si>
    <t> 19.12.1958 01:12 </t>
  </si>
  <si>
    <t>2455201.7210 </t>
  </si>
  <si>
    <t> 05.01.2010 05:18 </t>
  </si>
  <si>
    <t> -0.4233 </t>
  </si>
  <si>
    <t>C </t>
  </si>
  <si>
    <t>-I</t>
  </si>
  <si>
    <t> F.Agerer </t>
  </si>
  <si>
    <t>BAVM 214 </t>
  </si>
  <si>
    <t>2455966.266 </t>
  </si>
  <si>
    <t> 08.02.2012 18:23 </t>
  </si>
  <si>
    <t>2341</t>
  </si>
  <si>
    <t> -0.444 </t>
  </si>
  <si>
    <t>BAVM 228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</si>
</sst>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KV Gem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5.0000000000000001E-3</c:v>
                  </c:pt>
                  <c:pt idx="16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5.0000000000000001E-3</c:v>
                  </c:pt>
                  <c:pt idx="16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22</c:v>
                </c:pt>
                <c:pt idx="4">
                  <c:v>88</c:v>
                </c:pt>
                <c:pt idx="5">
                  <c:v>91</c:v>
                </c:pt>
                <c:pt idx="6">
                  <c:v>93</c:v>
                </c:pt>
                <c:pt idx="7">
                  <c:v>170</c:v>
                </c:pt>
                <c:pt idx="8">
                  <c:v>172</c:v>
                </c:pt>
                <c:pt idx="9">
                  <c:v>173</c:v>
                </c:pt>
                <c:pt idx="10">
                  <c:v>257</c:v>
                </c:pt>
                <c:pt idx="11">
                  <c:v>498</c:v>
                </c:pt>
                <c:pt idx="12">
                  <c:v>656</c:v>
                </c:pt>
                <c:pt idx="13">
                  <c:v>745</c:v>
                </c:pt>
                <c:pt idx="14">
                  <c:v>767</c:v>
                </c:pt>
                <c:pt idx="15">
                  <c:v>2279</c:v>
                </c:pt>
                <c:pt idx="16">
                  <c:v>2341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0.16999999999825377</c:v>
                </c:pt>
                <c:pt idx="2">
                  <c:v>-0.24399999999877764</c:v>
                </c:pt>
                <c:pt idx="3">
                  <c:v>4.2600000000675209E-2</c:v>
                </c:pt>
                <c:pt idx="4">
                  <c:v>2.0399999997607665E-2</c:v>
                </c:pt>
                <c:pt idx="5">
                  <c:v>-8.4700000003067544E-2</c:v>
                </c:pt>
                <c:pt idx="6">
                  <c:v>0.28190000000176951</c:v>
                </c:pt>
                <c:pt idx="7">
                  <c:v>-8.9999999981955625E-3</c:v>
                </c:pt>
                <c:pt idx="8">
                  <c:v>0.25759999999718275</c:v>
                </c:pt>
                <c:pt idx="9">
                  <c:v>-6.4099999999598367E-2</c:v>
                </c:pt>
                <c:pt idx="10">
                  <c:v>0.15309999999590218</c:v>
                </c:pt>
                <c:pt idx="11">
                  <c:v>0.10339999999996508</c:v>
                </c:pt>
                <c:pt idx="12">
                  <c:v>-0.45520000000396976</c:v>
                </c:pt>
                <c:pt idx="13">
                  <c:v>2.3499999995692633E-2</c:v>
                </c:pt>
                <c:pt idx="14">
                  <c:v>-6.3899999993736856E-2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E7-427B-9140-46E37B7AD0E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5.0000000000000001E-3</c:v>
                  </c:pt>
                  <c:pt idx="16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5.0000000000000001E-3</c:v>
                  </c:pt>
                  <c:pt idx="16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22</c:v>
                </c:pt>
                <c:pt idx="4">
                  <c:v>88</c:v>
                </c:pt>
                <c:pt idx="5">
                  <c:v>91</c:v>
                </c:pt>
                <c:pt idx="6">
                  <c:v>93</c:v>
                </c:pt>
                <c:pt idx="7">
                  <c:v>170</c:v>
                </c:pt>
                <c:pt idx="8">
                  <c:v>172</c:v>
                </c:pt>
                <c:pt idx="9">
                  <c:v>173</c:v>
                </c:pt>
                <c:pt idx="10">
                  <c:v>257</c:v>
                </c:pt>
                <c:pt idx="11">
                  <c:v>498</c:v>
                </c:pt>
                <c:pt idx="12">
                  <c:v>656</c:v>
                </c:pt>
                <c:pt idx="13">
                  <c:v>745</c:v>
                </c:pt>
                <c:pt idx="14">
                  <c:v>767</c:v>
                </c:pt>
                <c:pt idx="15">
                  <c:v>2279</c:v>
                </c:pt>
                <c:pt idx="16">
                  <c:v>2341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E7-427B-9140-46E37B7AD0E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5.0000000000000001E-3</c:v>
                  </c:pt>
                  <c:pt idx="16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5.0000000000000001E-3</c:v>
                  </c:pt>
                  <c:pt idx="16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22</c:v>
                </c:pt>
                <c:pt idx="4">
                  <c:v>88</c:v>
                </c:pt>
                <c:pt idx="5">
                  <c:v>91</c:v>
                </c:pt>
                <c:pt idx="6">
                  <c:v>93</c:v>
                </c:pt>
                <c:pt idx="7">
                  <c:v>170</c:v>
                </c:pt>
                <c:pt idx="8">
                  <c:v>172</c:v>
                </c:pt>
                <c:pt idx="9">
                  <c:v>173</c:v>
                </c:pt>
                <c:pt idx="10">
                  <c:v>257</c:v>
                </c:pt>
                <c:pt idx="11">
                  <c:v>498</c:v>
                </c:pt>
                <c:pt idx="12">
                  <c:v>656</c:v>
                </c:pt>
                <c:pt idx="13">
                  <c:v>745</c:v>
                </c:pt>
                <c:pt idx="14">
                  <c:v>767</c:v>
                </c:pt>
                <c:pt idx="15">
                  <c:v>2279</c:v>
                </c:pt>
                <c:pt idx="16">
                  <c:v>2341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5">
                  <c:v>-0.42330000000220025</c:v>
                </c:pt>
                <c:pt idx="16">
                  <c:v>-0.44369999999616994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E7-427B-9140-46E37B7AD0E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5.0000000000000001E-3</c:v>
                  </c:pt>
                  <c:pt idx="16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5.0000000000000001E-3</c:v>
                  </c:pt>
                  <c:pt idx="16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22</c:v>
                </c:pt>
                <c:pt idx="4">
                  <c:v>88</c:v>
                </c:pt>
                <c:pt idx="5">
                  <c:v>91</c:v>
                </c:pt>
                <c:pt idx="6">
                  <c:v>93</c:v>
                </c:pt>
                <c:pt idx="7">
                  <c:v>170</c:v>
                </c:pt>
                <c:pt idx="8">
                  <c:v>172</c:v>
                </c:pt>
                <c:pt idx="9">
                  <c:v>173</c:v>
                </c:pt>
                <c:pt idx="10">
                  <c:v>257</c:v>
                </c:pt>
                <c:pt idx="11">
                  <c:v>498</c:v>
                </c:pt>
                <c:pt idx="12">
                  <c:v>656</c:v>
                </c:pt>
                <c:pt idx="13">
                  <c:v>745</c:v>
                </c:pt>
                <c:pt idx="14">
                  <c:v>767</c:v>
                </c:pt>
                <c:pt idx="15">
                  <c:v>2279</c:v>
                </c:pt>
                <c:pt idx="16">
                  <c:v>2341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E7-427B-9140-46E37B7AD0E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5.0000000000000001E-3</c:v>
                  </c:pt>
                  <c:pt idx="16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5.0000000000000001E-3</c:v>
                  </c:pt>
                  <c:pt idx="16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22</c:v>
                </c:pt>
                <c:pt idx="4">
                  <c:v>88</c:v>
                </c:pt>
                <c:pt idx="5">
                  <c:v>91</c:v>
                </c:pt>
                <c:pt idx="6">
                  <c:v>93</c:v>
                </c:pt>
                <c:pt idx="7">
                  <c:v>170</c:v>
                </c:pt>
                <c:pt idx="8">
                  <c:v>172</c:v>
                </c:pt>
                <c:pt idx="9">
                  <c:v>173</c:v>
                </c:pt>
                <c:pt idx="10">
                  <c:v>257</c:v>
                </c:pt>
                <c:pt idx="11">
                  <c:v>498</c:v>
                </c:pt>
                <c:pt idx="12">
                  <c:v>656</c:v>
                </c:pt>
                <c:pt idx="13">
                  <c:v>745</c:v>
                </c:pt>
                <c:pt idx="14">
                  <c:v>767</c:v>
                </c:pt>
                <c:pt idx="15">
                  <c:v>2279</c:v>
                </c:pt>
                <c:pt idx="16">
                  <c:v>2341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E7-427B-9140-46E37B7AD0E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5.0000000000000001E-3</c:v>
                  </c:pt>
                  <c:pt idx="16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5.0000000000000001E-3</c:v>
                  </c:pt>
                  <c:pt idx="16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22</c:v>
                </c:pt>
                <c:pt idx="4">
                  <c:v>88</c:v>
                </c:pt>
                <c:pt idx="5">
                  <c:v>91</c:v>
                </c:pt>
                <c:pt idx="6">
                  <c:v>93</c:v>
                </c:pt>
                <c:pt idx="7">
                  <c:v>170</c:v>
                </c:pt>
                <c:pt idx="8">
                  <c:v>172</c:v>
                </c:pt>
                <c:pt idx="9">
                  <c:v>173</c:v>
                </c:pt>
                <c:pt idx="10">
                  <c:v>257</c:v>
                </c:pt>
                <c:pt idx="11">
                  <c:v>498</c:v>
                </c:pt>
                <c:pt idx="12">
                  <c:v>656</c:v>
                </c:pt>
                <c:pt idx="13">
                  <c:v>745</c:v>
                </c:pt>
                <c:pt idx="14">
                  <c:v>767</c:v>
                </c:pt>
                <c:pt idx="15">
                  <c:v>2279</c:v>
                </c:pt>
                <c:pt idx="16">
                  <c:v>2341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E7-427B-9140-46E37B7AD0E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5.0000000000000001E-3</c:v>
                  </c:pt>
                  <c:pt idx="16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5.0000000000000001E-3</c:v>
                  </c:pt>
                  <c:pt idx="16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22</c:v>
                </c:pt>
                <c:pt idx="4">
                  <c:v>88</c:v>
                </c:pt>
                <c:pt idx="5">
                  <c:v>91</c:v>
                </c:pt>
                <c:pt idx="6">
                  <c:v>93</c:v>
                </c:pt>
                <c:pt idx="7">
                  <c:v>170</c:v>
                </c:pt>
                <c:pt idx="8">
                  <c:v>172</c:v>
                </c:pt>
                <c:pt idx="9">
                  <c:v>173</c:v>
                </c:pt>
                <c:pt idx="10">
                  <c:v>257</c:v>
                </c:pt>
                <c:pt idx="11">
                  <c:v>498</c:v>
                </c:pt>
                <c:pt idx="12">
                  <c:v>656</c:v>
                </c:pt>
                <c:pt idx="13">
                  <c:v>745</c:v>
                </c:pt>
                <c:pt idx="14">
                  <c:v>767</c:v>
                </c:pt>
                <c:pt idx="15">
                  <c:v>2279</c:v>
                </c:pt>
                <c:pt idx="16">
                  <c:v>2341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E7-427B-9140-46E37B7AD0E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22</c:v>
                </c:pt>
                <c:pt idx="4">
                  <c:v>88</c:v>
                </c:pt>
                <c:pt idx="5">
                  <c:v>91</c:v>
                </c:pt>
                <c:pt idx="6">
                  <c:v>93</c:v>
                </c:pt>
                <c:pt idx="7">
                  <c:v>170</c:v>
                </c:pt>
                <c:pt idx="8">
                  <c:v>172</c:v>
                </c:pt>
                <c:pt idx="9">
                  <c:v>173</c:v>
                </c:pt>
                <c:pt idx="10">
                  <c:v>257</c:v>
                </c:pt>
                <c:pt idx="11">
                  <c:v>498</c:v>
                </c:pt>
                <c:pt idx="12">
                  <c:v>656</c:v>
                </c:pt>
                <c:pt idx="13">
                  <c:v>745</c:v>
                </c:pt>
                <c:pt idx="14">
                  <c:v>767</c:v>
                </c:pt>
                <c:pt idx="15">
                  <c:v>2279</c:v>
                </c:pt>
                <c:pt idx="16">
                  <c:v>2341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6.2254210499832263E-2</c:v>
                </c:pt>
                <c:pt idx="1">
                  <c:v>6.2254210499832263E-2</c:v>
                </c:pt>
                <c:pt idx="2">
                  <c:v>5.7969161339522145E-2</c:v>
                </c:pt>
                <c:pt idx="3">
                  <c:v>5.7540656423491134E-2</c:v>
                </c:pt>
                <c:pt idx="4">
                  <c:v>4.3399994194467745E-2</c:v>
                </c:pt>
                <c:pt idx="5">
                  <c:v>4.2757236820421221E-2</c:v>
                </c:pt>
                <c:pt idx="6">
                  <c:v>4.232873190439021E-2</c:v>
                </c:pt>
                <c:pt idx="7">
                  <c:v>2.583129263719626E-2</c:v>
                </c:pt>
                <c:pt idx="8">
                  <c:v>2.5402787721165249E-2</c:v>
                </c:pt>
                <c:pt idx="9">
                  <c:v>2.5188535263149743E-2</c:v>
                </c:pt>
                <c:pt idx="10">
                  <c:v>7.1913287898472469E-3</c:v>
                </c:pt>
                <c:pt idx="11">
                  <c:v>-4.444351359188968E-2</c:v>
                </c:pt>
                <c:pt idx="12">
                  <c:v>-7.8295401958339617E-2</c:v>
                </c:pt>
                <c:pt idx="13">
                  <c:v>-9.736387072171962E-2</c:v>
                </c:pt>
                <c:pt idx="14">
                  <c:v>-0.10207742479806076</c:v>
                </c:pt>
                <c:pt idx="15">
                  <c:v>-0.42602714131750569</c:v>
                </c:pt>
                <c:pt idx="16">
                  <c:v>-0.43931079371446702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E7-427B-9140-46E37B7AD0E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22</c:v>
                </c:pt>
                <c:pt idx="4">
                  <c:v>88</c:v>
                </c:pt>
                <c:pt idx="5">
                  <c:v>91</c:v>
                </c:pt>
                <c:pt idx="6">
                  <c:v>93</c:v>
                </c:pt>
                <c:pt idx="7">
                  <c:v>170</c:v>
                </c:pt>
                <c:pt idx="8">
                  <c:v>172</c:v>
                </c:pt>
                <c:pt idx="9">
                  <c:v>173</c:v>
                </c:pt>
                <c:pt idx="10">
                  <c:v>257</c:v>
                </c:pt>
                <c:pt idx="11">
                  <c:v>498</c:v>
                </c:pt>
                <c:pt idx="12">
                  <c:v>656</c:v>
                </c:pt>
                <c:pt idx="13">
                  <c:v>745</c:v>
                </c:pt>
                <c:pt idx="14">
                  <c:v>767</c:v>
                </c:pt>
                <c:pt idx="15">
                  <c:v>2279</c:v>
                </c:pt>
                <c:pt idx="16">
                  <c:v>2341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E7-427B-9140-46E37B7AD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0289592"/>
        <c:axId val="1"/>
      </c:scatterChart>
      <c:valAx>
        <c:axId val="920289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289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751879699248121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9C2E3A-5DFB-2DF0-E707-21126FB06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28" TargetMode="External"/><Relationship Id="rId1" Type="http://schemas.openxmlformats.org/officeDocument/2006/relationships/hyperlink" Target="http://www.bav-astro.de/sfs/BAVM_link.php?BAVMnr=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9" sqref="F8: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  <c r="E1" s="29" t="s">
        <v>37</v>
      </c>
      <c r="F1" t="s">
        <v>13</v>
      </c>
    </row>
    <row r="2" spans="1:6" x14ac:dyDescent="0.2">
      <c r="A2" t="s">
        <v>23</v>
      </c>
      <c r="B2" t="s">
        <v>39</v>
      </c>
      <c r="C2" s="3"/>
      <c r="D2" s="3"/>
      <c r="E2">
        <v>0</v>
      </c>
    </row>
    <row r="3" spans="1:6" ht="13.5" thickBot="1" x14ac:dyDescent="0.25"/>
    <row r="4" spans="1:6" ht="14.25" thickTop="1" thickBot="1" x14ac:dyDescent="0.25">
      <c r="A4" s="5" t="s">
        <v>0</v>
      </c>
      <c r="C4" s="8">
        <v>27098.2</v>
      </c>
      <c r="D4" s="9">
        <v>12.3317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51">
        <v>27098.2</v>
      </c>
    </row>
    <row r="8" spans="1:6" x14ac:dyDescent="0.2">
      <c r="A8" t="s">
        <v>3</v>
      </c>
      <c r="C8" s="51">
        <v>12.3317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INTERCEPT(INDIRECT($D$9):G992,INDIRECT($C$9):F992)</f>
        <v>6.2254210499832263E-2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SLOPE(INDIRECT($D$9):G992,INDIRECT($C$9):F992)</f>
        <v>-2.142524580155059E-4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55966.270389206285</v>
      </c>
      <c r="E15" s="16" t="s">
        <v>35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12.331485747541985</v>
      </c>
      <c r="E16" s="16" t="s">
        <v>30</v>
      </c>
      <c r="F16" s="17">
        <f ca="1">NOW()+15018.5+$C$5/24</f>
        <v>60351.766671759258</v>
      </c>
    </row>
    <row r="17" spans="1:21" ht="13.5" thickBot="1" x14ac:dyDescent="0.25">
      <c r="A17" s="16" t="s">
        <v>27</v>
      </c>
      <c r="B17" s="12"/>
      <c r="C17" s="12">
        <f>COUNT(C21:C2191)</f>
        <v>17</v>
      </c>
      <c r="E17" s="16" t="s">
        <v>36</v>
      </c>
      <c r="F17" s="17">
        <f ca="1">ROUND(2*(F16-$C$7)/$C$8,0)/2+F15</f>
        <v>2697.5</v>
      </c>
    </row>
    <row r="18" spans="1:21" ht="14.25" thickTop="1" thickBot="1" x14ac:dyDescent="0.25">
      <c r="A18" s="18" t="s">
        <v>5</v>
      </c>
      <c r="B18" s="12"/>
      <c r="C18" s="21">
        <f ca="1">+C15</f>
        <v>55966.270389206285</v>
      </c>
      <c r="D18" s="22">
        <f ca="1">+C16</f>
        <v>12.331485747541985</v>
      </c>
      <c r="E18" s="16" t="s">
        <v>31</v>
      </c>
      <c r="F18" s="25">
        <f ca="1">ROUND(2*(F16-$C$15)/$C$16,0)/2+F15</f>
        <v>356.5</v>
      </c>
    </row>
    <row r="19" spans="1:21" ht="13.5" thickTop="1" x14ac:dyDescent="0.2">
      <c r="E19" s="16" t="s">
        <v>32</v>
      </c>
      <c r="F19" s="20">
        <f ca="1">+$C$15+$C$16*F18-15018.5-$C$5/24</f>
        <v>45344.340891538341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54</v>
      </c>
      <c r="J20" s="7" t="s">
        <v>48</v>
      </c>
      <c r="K20" s="7" t="s">
        <v>46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8" t="s">
        <v>34</v>
      </c>
    </row>
    <row r="21" spans="1:21" x14ac:dyDescent="0.2">
      <c r="A21" t="s">
        <v>40</v>
      </c>
      <c r="C21" s="10">
        <v>27098.2</v>
      </c>
      <c r="D21" s="10" t="s">
        <v>13</v>
      </c>
      <c r="E21">
        <f t="shared" ref="E21:E37" si="0">+(C21-C$7)/C$8</f>
        <v>0</v>
      </c>
      <c r="F21">
        <f t="shared" ref="F21:F37" si="1">ROUND(2*E21,0)/2</f>
        <v>0</v>
      </c>
      <c r="G21">
        <f t="shared" ref="G21:G37" si="2">+C21-(C$7+F21*C$8)</f>
        <v>0</v>
      </c>
      <c r="H21">
        <f t="shared" ref="H21:H35" si="3">+G21</f>
        <v>0</v>
      </c>
      <c r="O21">
        <f t="shared" ref="O21:O37" ca="1" si="4">+C$11+C$12*$F21</f>
        <v>6.2254210499832263E-2</v>
      </c>
      <c r="Q21" s="2">
        <f t="shared" ref="Q21:Q37" si="5">+C21-15018.5</f>
        <v>12079.7</v>
      </c>
    </row>
    <row r="22" spans="1:21" x14ac:dyDescent="0.2">
      <c r="A22" s="48" t="s">
        <v>60</v>
      </c>
      <c r="B22" s="50" t="s">
        <v>42</v>
      </c>
      <c r="C22" s="49">
        <v>27098.37</v>
      </c>
      <c r="D22" s="49" t="s">
        <v>54</v>
      </c>
      <c r="E22">
        <f t="shared" si="0"/>
        <v>1.378560944543362E-2</v>
      </c>
      <c r="F22">
        <f t="shared" si="1"/>
        <v>0</v>
      </c>
      <c r="G22">
        <f t="shared" si="2"/>
        <v>0.16999999999825377</v>
      </c>
      <c r="H22">
        <f t="shared" si="3"/>
        <v>0.16999999999825377</v>
      </c>
      <c r="O22">
        <f t="shared" ca="1" si="4"/>
        <v>6.2254210499832263E-2</v>
      </c>
      <c r="Q22" s="2">
        <f t="shared" si="5"/>
        <v>12079.869999999999</v>
      </c>
    </row>
    <row r="23" spans="1:21" x14ac:dyDescent="0.2">
      <c r="A23" s="48" t="s">
        <v>60</v>
      </c>
      <c r="B23" s="50" t="s">
        <v>42</v>
      </c>
      <c r="C23" s="49">
        <v>27344.59</v>
      </c>
      <c r="D23" s="49" t="s">
        <v>54</v>
      </c>
      <c r="E23">
        <f t="shared" si="0"/>
        <v>19.98021359585454</v>
      </c>
      <c r="F23">
        <f t="shared" si="1"/>
        <v>20</v>
      </c>
      <c r="G23">
        <f t="shared" si="2"/>
        <v>-0.24399999999877764</v>
      </c>
      <c r="H23">
        <f t="shared" si="3"/>
        <v>-0.24399999999877764</v>
      </c>
      <c r="O23">
        <f t="shared" ca="1" si="4"/>
        <v>5.7969161339522145E-2</v>
      </c>
      <c r="Q23" s="2">
        <f t="shared" si="5"/>
        <v>12326.09</v>
      </c>
    </row>
    <row r="24" spans="1:21" x14ac:dyDescent="0.2">
      <c r="A24" s="48" t="s">
        <v>60</v>
      </c>
      <c r="B24" s="50" t="s">
        <v>42</v>
      </c>
      <c r="C24" s="49">
        <v>27369.54</v>
      </c>
      <c r="D24" s="49" t="s">
        <v>54</v>
      </c>
      <c r="E24">
        <f t="shared" si="0"/>
        <v>22.003454511543435</v>
      </c>
      <c r="F24">
        <f t="shared" si="1"/>
        <v>22</v>
      </c>
      <c r="G24">
        <f t="shared" si="2"/>
        <v>4.2600000000675209E-2</v>
      </c>
      <c r="H24">
        <f t="shared" si="3"/>
        <v>4.2600000000675209E-2</v>
      </c>
      <c r="O24">
        <f t="shared" ca="1" si="4"/>
        <v>5.7540656423491134E-2</v>
      </c>
      <c r="Q24" s="2">
        <f t="shared" si="5"/>
        <v>12351.04</v>
      </c>
    </row>
    <row r="25" spans="1:21" x14ac:dyDescent="0.2">
      <c r="A25" s="48" t="s">
        <v>60</v>
      </c>
      <c r="B25" s="50" t="s">
        <v>42</v>
      </c>
      <c r="C25" s="49">
        <v>28183.41</v>
      </c>
      <c r="D25" s="49" t="s">
        <v>54</v>
      </c>
      <c r="E25">
        <f t="shared" si="0"/>
        <v>88.001654273133397</v>
      </c>
      <c r="F25">
        <f t="shared" si="1"/>
        <v>88</v>
      </c>
      <c r="G25">
        <f t="shared" si="2"/>
        <v>2.0399999997607665E-2</v>
      </c>
      <c r="H25">
        <f t="shared" si="3"/>
        <v>2.0399999997607665E-2</v>
      </c>
      <c r="O25">
        <f t="shared" ca="1" si="4"/>
        <v>4.3399994194467745E-2</v>
      </c>
      <c r="Q25" s="2">
        <f t="shared" si="5"/>
        <v>13164.91</v>
      </c>
    </row>
    <row r="26" spans="1:21" x14ac:dyDescent="0.2">
      <c r="A26" s="48" t="s">
        <v>60</v>
      </c>
      <c r="B26" s="50" t="s">
        <v>42</v>
      </c>
      <c r="C26" s="49">
        <v>28220.3</v>
      </c>
      <c r="D26" s="49" t="s">
        <v>54</v>
      </c>
      <c r="E26">
        <f t="shared" si="0"/>
        <v>90.993131522823177</v>
      </c>
      <c r="F26">
        <f t="shared" si="1"/>
        <v>91</v>
      </c>
      <c r="G26">
        <f t="shared" si="2"/>
        <v>-8.4700000003067544E-2</v>
      </c>
      <c r="H26">
        <f t="shared" si="3"/>
        <v>-8.4700000003067544E-2</v>
      </c>
      <c r="O26">
        <f t="shared" ca="1" si="4"/>
        <v>4.2757236820421221E-2</v>
      </c>
      <c r="Q26" s="2">
        <f t="shared" si="5"/>
        <v>13201.8</v>
      </c>
    </row>
    <row r="27" spans="1:21" x14ac:dyDescent="0.2">
      <c r="A27" s="48" t="s">
        <v>60</v>
      </c>
      <c r="B27" s="50" t="s">
        <v>42</v>
      </c>
      <c r="C27" s="49">
        <v>28245.33</v>
      </c>
      <c r="D27" s="49" t="s">
        <v>54</v>
      </c>
      <c r="E27">
        <f t="shared" si="0"/>
        <v>93.022859784133658</v>
      </c>
      <c r="F27">
        <f t="shared" si="1"/>
        <v>93</v>
      </c>
      <c r="G27">
        <f t="shared" si="2"/>
        <v>0.28190000000176951</v>
      </c>
      <c r="H27">
        <f t="shared" si="3"/>
        <v>0.28190000000176951</v>
      </c>
      <c r="O27">
        <f t="shared" ca="1" si="4"/>
        <v>4.232873190439021E-2</v>
      </c>
      <c r="Q27" s="2">
        <f t="shared" si="5"/>
        <v>13226.830000000002</v>
      </c>
    </row>
    <row r="28" spans="1:21" x14ac:dyDescent="0.2">
      <c r="A28" s="48" t="s">
        <v>60</v>
      </c>
      <c r="B28" s="50" t="s">
        <v>42</v>
      </c>
      <c r="C28" s="49">
        <v>29194.58</v>
      </c>
      <c r="D28" s="49" t="s">
        <v>54</v>
      </c>
      <c r="E28">
        <f t="shared" si="0"/>
        <v>169.99927017361767</v>
      </c>
      <c r="F28">
        <f t="shared" si="1"/>
        <v>170</v>
      </c>
      <c r="G28">
        <f t="shared" si="2"/>
        <v>-8.9999999981955625E-3</v>
      </c>
      <c r="H28">
        <f t="shared" si="3"/>
        <v>-8.9999999981955625E-3</v>
      </c>
      <c r="O28">
        <f t="shared" ca="1" si="4"/>
        <v>2.583129263719626E-2</v>
      </c>
      <c r="Q28" s="2">
        <f t="shared" si="5"/>
        <v>14176.080000000002</v>
      </c>
    </row>
    <row r="29" spans="1:21" x14ac:dyDescent="0.2">
      <c r="A29" s="48" t="s">
        <v>60</v>
      </c>
      <c r="B29" s="50" t="s">
        <v>42</v>
      </c>
      <c r="C29" s="49">
        <v>29219.51</v>
      </c>
      <c r="D29" s="49" t="s">
        <v>54</v>
      </c>
      <c r="E29">
        <f t="shared" si="0"/>
        <v>172.02088925290087</v>
      </c>
      <c r="F29">
        <f t="shared" si="1"/>
        <v>172</v>
      </c>
      <c r="G29">
        <f t="shared" si="2"/>
        <v>0.25759999999718275</v>
      </c>
      <c r="H29">
        <f t="shared" si="3"/>
        <v>0.25759999999718275</v>
      </c>
      <c r="O29">
        <f t="shared" ca="1" si="4"/>
        <v>2.5402787721165249E-2</v>
      </c>
      <c r="Q29" s="2">
        <f t="shared" si="5"/>
        <v>14201.009999999998</v>
      </c>
    </row>
    <row r="30" spans="1:21" x14ac:dyDescent="0.2">
      <c r="A30" s="48" t="s">
        <v>60</v>
      </c>
      <c r="B30" s="50" t="s">
        <v>42</v>
      </c>
      <c r="C30" s="49">
        <v>29231.52</v>
      </c>
      <c r="D30" s="49" t="s">
        <v>54</v>
      </c>
      <c r="E30">
        <f t="shared" si="0"/>
        <v>172.99480201432078</v>
      </c>
      <c r="F30">
        <f t="shared" si="1"/>
        <v>173</v>
      </c>
      <c r="G30">
        <f t="shared" si="2"/>
        <v>-6.4099999999598367E-2</v>
      </c>
      <c r="H30">
        <f t="shared" si="3"/>
        <v>-6.4099999999598367E-2</v>
      </c>
      <c r="O30">
        <f t="shared" ca="1" si="4"/>
        <v>2.5188535263149743E-2</v>
      </c>
      <c r="Q30" s="2">
        <f t="shared" si="5"/>
        <v>14213.02</v>
      </c>
    </row>
    <row r="31" spans="1:21" x14ac:dyDescent="0.2">
      <c r="A31" s="48" t="s">
        <v>60</v>
      </c>
      <c r="B31" s="50" t="s">
        <v>42</v>
      </c>
      <c r="C31" s="49">
        <v>30267.599999999999</v>
      </c>
      <c r="D31" s="49" t="s">
        <v>54</v>
      </c>
      <c r="E31">
        <f t="shared" si="0"/>
        <v>257.01241515768288</v>
      </c>
      <c r="F31">
        <f t="shared" si="1"/>
        <v>257</v>
      </c>
      <c r="G31">
        <f t="shared" si="2"/>
        <v>0.15309999999590218</v>
      </c>
      <c r="H31">
        <f t="shared" si="3"/>
        <v>0.15309999999590218</v>
      </c>
      <c r="O31">
        <f t="shared" ca="1" si="4"/>
        <v>7.1913287898472469E-3</v>
      </c>
      <c r="Q31" s="2">
        <f t="shared" si="5"/>
        <v>15249.099999999999</v>
      </c>
    </row>
    <row r="32" spans="1:21" x14ac:dyDescent="0.2">
      <c r="A32" s="48" t="s">
        <v>60</v>
      </c>
      <c r="B32" s="50" t="s">
        <v>42</v>
      </c>
      <c r="C32" s="49">
        <v>33239.49</v>
      </c>
      <c r="D32" s="49" t="s">
        <v>54</v>
      </c>
      <c r="E32">
        <f t="shared" si="0"/>
        <v>498.00838489421551</v>
      </c>
      <c r="F32">
        <f t="shared" si="1"/>
        <v>498</v>
      </c>
      <c r="G32">
        <f t="shared" si="2"/>
        <v>0.10339999999996508</v>
      </c>
      <c r="H32">
        <f t="shared" si="3"/>
        <v>0.10339999999996508</v>
      </c>
      <c r="O32">
        <f t="shared" ca="1" si="4"/>
        <v>-4.444351359188968E-2</v>
      </c>
      <c r="Q32" s="2">
        <f t="shared" si="5"/>
        <v>18220.989999999998</v>
      </c>
    </row>
    <row r="33" spans="1:18" x14ac:dyDescent="0.2">
      <c r="A33" s="48" t="s">
        <v>60</v>
      </c>
      <c r="B33" s="50" t="s">
        <v>42</v>
      </c>
      <c r="C33" s="49">
        <v>35187.339999999997</v>
      </c>
      <c r="D33" s="49" t="s">
        <v>54</v>
      </c>
      <c r="E33">
        <f t="shared" si="0"/>
        <v>655.96308700341365</v>
      </c>
      <c r="F33">
        <f t="shared" si="1"/>
        <v>656</v>
      </c>
      <c r="G33">
        <f t="shared" si="2"/>
        <v>-0.45520000000396976</v>
      </c>
      <c r="H33">
        <f t="shared" si="3"/>
        <v>-0.45520000000396976</v>
      </c>
      <c r="O33">
        <f t="shared" ca="1" si="4"/>
        <v>-7.8295401958339617E-2</v>
      </c>
      <c r="Q33" s="2">
        <f t="shared" si="5"/>
        <v>20168.839999999997</v>
      </c>
    </row>
    <row r="34" spans="1:18" x14ac:dyDescent="0.2">
      <c r="A34" s="48" t="s">
        <v>60</v>
      </c>
      <c r="B34" s="50" t="s">
        <v>42</v>
      </c>
      <c r="C34" s="49">
        <v>36285.339999999997</v>
      </c>
      <c r="D34" s="49" t="s">
        <v>54</v>
      </c>
      <c r="E34">
        <f t="shared" si="0"/>
        <v>745.00190565777598</v>
      </c>
      <c r="F34">
        <f t="shared" si="1"/>
        <v>745</v>
      </c>
      <c r="G34">
        <f t="shared" si="2"/>
        <v>2.3499999995692633E-2</v>
      </c>
      <c r="H34">
        <f t="shared" si="3"/>
        <v>2.3499999995692633E-2</v>
      </c>
      <c r="O34">
        <f t="shared" ca="1" si="4"/>
        <v>-9.736387072171962E-2</v>
      </c>
      <c r="Q34" s="2">
        <f t="shared" si="5"/>
        <v>21266.839999999997</v>
      </c>
    </row>
    <row r="35" spans="1:18" x14ac:dyDescent="0.2">
      <c r="A35" s="48" t="s">
        <v>60</v>
      </c>
      <c r="B35" s="50" t="s">
        <v>42</v>
      </c>
      <c r="C35" s="49">
        <v>36556.550000000003</v>
      </c>
      <c r="D35" s="49" t="s">
        <v>54</v>
      </c>
      <c r="E35">
        <f t="shared" si="0"/>
        <v>766.99481823268502</v>
      </c>
      <c r="F35">
        <f t="shared" si="1"/>
        <v>767</v>
      </c>
      <c r="G35">
        <f t="shared" si="2"/>
        <v>-6.3899999993736856E-2</v>
      </c>
      <c r="H35">
        <f t="shared" si="3"/>
        <v>-6.3899999993736856E-2</v>
      </c>
      <c r="O35">
        <f t="shared" ca="1" si="4"/>
        <v>-0.10207742479806076</v>
      </c>
      <c r="Q35" s="2">
        <f t="shared" si="5"/>
        <v>21538.050000000003</v>
      </c>
    </row>
    <row r="36" spans="1:18" x14ac:dyDescent="0.2">
      <c r="A36" s="30" t="s">
        <v>41</v>
      </c>
      <c r="B36" s="31" t="s">
        <v>42</v>
      </c>
      <c r="C36" s="30">
        <v>55201.720999999998</v>
      </c>
      <c r="D36" s="30">
        <v>5.0000000000000001E-3</v>
      </c>
      <c r="E36">
        <f t="shared" si="0"/>
        <v>2278.9656738324802</v>
      </c>
      <c r="F36">
        <f t="shared" si="1"/>
        <v>2279</v>
      </c>
      <c r="G36">
        <f t="shared" si="2"/>
        <v>-0.42330000000220025</v>
      </c>
      <c r="J36">
        <f>+G36</f>
        <v>-0.42330000000220025</v>
      </c>
      <c r="O36">
        <f t="shared" ca="1" si="4"/>
        <v>-0.42602714131750569</v>
      </c>
      <c r="Q36" s="2">
        <f t="shared" si="5"/>
        <v>40183.220999999998</v>
      </c>
      <c r="R36" t="s">
        <v>48</v>
      </c>
    </row>
    <row r="37" spans="1:18" x14ac:dyDescent="0.2">
      <c r="A37" s="32" t="s">
        <v>43</v>
      </c>
      <c r="B37" s="33" t="s">
        <v>42</v>
      </c>
      <c r="C37" s="34">
        <v>55966.266000000003</v>
      </c>
      <c r="D37" s="34">
        <v>0.02</v>
      </c>
      <c r="E37">
        <f t="shared" si="0"/>
        <v>2340.9640195593474</v>
      </c>
      <c r="F37">
        <f t="shared" si="1"/>
        <v>2341</v>
      </c>
      <c r="G37">
        <f t="shared" si="2"/>
        <v>-0.44369999999616994</v>
      </c>
      <c r="J37">
        <f>+G37</f>
        <v>-0.44369999999616994</v>
      </c>
      <c r="O37">
        <f t="shared" ca="1" si="4"/>
        <v>-0.43931079371446702</v>
      </c>
      <c r="Q37" s="2">
        <f t="shared" si="5"/>
        <v>40947.766000000003</v>
      </c>
      <c r="R37" t="s">
        <v>48</v>
      </c>
    </row>
    <row r="38" spans="1:18" x14ac:dyDescent="0.2">
      <c r="B38" s="3"/>
      <c r="C38" s="10"/>
      <c r="D38" s="10"/>
    </row>
    <row r="39" spans="1:18" x14ac:dyDescent="0.2">
      <c r="B39" s="3"/>
      <c r="C39" s="10"/>
      <c r="D39" s="10"/>
    </row>
    <row r="40" spans="1:18" x14ac:dyDescent="0.2">
      <c r="B40" s="3"/>
      <c r="C40" s="10"/>
      <c r="D40" s="10"/>
    </row>
    <row r="41" spans="1:18" x14ac:dyDescent="0.2">
      <c r="C41" s="10"/>
      <c r="D41" s="10"/>
    </row>
    <row r="42" spans="1:18" x14ac:dyDescent="0.2">
      <c r="C42" s="10"/>
      <c r="D42" s="10"/>
    </row>
    <row r="43" spans="1:18" x14ac:dyDescent="0.2">
      <c r="C43" s="10"/>
      <c r="D43" s="10"/>
    </row>
    <row r="44" spans="1:18" x14ac:dyDescent="0.2">
      <c r="C44" s="10"/>
      <c r="D44" s="10"/>
    </row>
    <row r="45" spans="1:18" x14ac:dyDescent="0.2">
      <c r="C45" s="10"/>
      <c r="D45" s="10"/>
    </row>
    <row r="46" spans="1:18" x14ac:dyDescent="0.2">
      <c r="C46" s="10"/>
      <c r="D46" s="10"/>
    </row>
    <row r="47" spans="1:18" x14ac:dyDescent="0.2">
      <c r="C47" s="10"/>
      <c r="D47" s="10"/>
    </row>
    <row r="48" spans="1:18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2"/>
  <sheetViews>
    <sheetView workbookViewId="0">
      <selection activeCell="A13" sqref="A13:D2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5" t="s">
        <v>44</v>
      </c>
      <c r="I1" s="36" t="s">
        <v>45</v>
      </c>
      <c r="J1" s="37" t="s">
        <v>46</v>
      </c>
    </row>
    <row r="2" spans="1:16" x14ac:dyDescent="0.2">
      <c r="I2" s="38" t="s">
        <v>47</v>
      </c>
      <c r="J2" s="39" t="s">
        <v>48</v>
      </c>
    </row>
    <row r="3" spans="1:16" x14ac:dyDescent="0.2">
      <c r="A3" s="40" t="s">
        <v>49</v>
      </c>
      <c r="I3" s="38" t="s">
        <v>50</v>
      </c>
      <c r="J3" s="39" t="s">
        <v>51</v>
      </c>
    </row>
    <row r="4" spans="1:16" x14ac:dyDescent="0.2">
      <c r="I4" s="38" t="s">
        <v>52</v>
      </c>
      <c r="J4" s="39" t="s">
        <v>51</v>
      </c>
    </row>
    <row r="5" spans="1:16" ht="13.5" thickBot="1" x14ac:dyDescent="0.25">
      <c r="I5" s="41" t="s">
        <v>53</v>
      </c>
      <c r="J5" s="42" t="s">
        <v>54</v>
      </c>
    </row>
    <row r="10" spans="1:16" ht="13.5" thickBot="1" x14ac:dyDescent="0.25"/>
    <row r="11" spans="1:16" ht="12.75" customHeight="1" thickBot="1" x14ac:dyDescent="0.25">
      <c r="A11" s="10" t="str">
        <f t="shared" ref="A11:A26" si="0">P11</f>
        <v>BAVM 214 </v>
      </c>
      <c r="B11" s="3" t="str">
        <f t="shared" ref="B11:B26" si="1">IF(H11=INT(H11),"I","II")</f>
        <v>I</v>
      </c>
      <c r="C11" s="10">
        <f t="shared" ref="C11:C26" si="2">1*G11</f>
        <v>55201.720999999998</v>
      </c>
      <c r="D11" s="12" t="str">
        <f t="shared" ref="D11:D26" si="3">VLOOKUP(F11,I$1:J$5,2,FALSE)</f>
        <v>vis</v>
      </c>
      <c r="E11" s="43">
        <f>VLOOKUP(C11,Active!C$21:E$973,3,FALSE)</f>
        <v>2278.9656738324802</v>
      </c>
      <c r="F11" s="3" t="s">
        <v>53</v>
      </c>
      <c r="G11" s="12" t="str">
        <f t="shared" ref="G11:G26" si="4">MID(I11,3,LEN(I11)-3)</f>
        <v>55201.7210</v>
      </c>
      <c r="H11" s="10">
        <f t="shared" ref="H11:H26" si="5">1*K11</f>
        <v>2279</v>
      </c>
      <c r="I11" s="44" t="s">
        <v>98</v>
      </c>
      <c r="J11" s="45" t="s">
        <v>99</v>
      </c>
      <c r="K11" s="44">
        <v>2279</v>
      </c>
      <c r="L11" s="44" t="s">
        <v>100</v>
      </c>
      <c r="M11" s="45" t="s">
        <v>101</v>
      </c>
      <c r="N11" s="45" t="s">
        <v>102</v>
      </c>
      <c r="O11" s="46" t="s">
        <v>103</v>
      </c>
      <c r="P11" s="47" t="s">
        <v>104</v>
      </c>
    </row>
    <row r="12" spans="1:16" ht="12.75" customHeight="1" thickBot="1" x14ac:dyDescent="0.25">
      <c r="A12" s="10" t="str">
        <f t="shared" si="0"/>
        <v>BAVM 228 </v>
      </c>
      <c r="B12" s="3" t="str">
        <f t="shared" si="1"/>
        <v>I</v>
      </c>
      <c r="C12" s="10">
        <f t="shared" si="2"/>
        <v>55966.266000000003</v>
      </c>
      <c r="D12" s="12" t="str">
        <f t="shared" si="3"/>
        <v>vis</v>
      </c>
      <c r="E12" s="43">
        <f>VLOOKUP(C12,Active!C$21:E$973,3,FALSE)</f>
        <v>2340.9640195593474</v>
      </c>
      <c r="F12" s="3" t="s">
        <v>53</v>
      </c>
      <c r="G12" s="12" t="str">
        <f t="shared" si="4"/>
        <v>55966.266</v>
      </c>
      <c r="H12" s="10">
        <f t="shared" si="5"/>
        <v>2341</v>
      </c>
      <c r="I12" s="44" t="s">
        <v>105</v>
      </c>
      <c r="J12" s="45" t="s">
        <v>106</v>
      </c>
      <c r="K12" s="44" t="s">
        <v>107</v>
      </c>
      <c r="L12" s="44" t="s">
        <v>108</v>
      </c>
      <c r="M12" s="45" t="s">
        <v>101</v>
      </c>
      <c r="N12" s="45" t="s">
        <v>102</v>
      </c>
      <c r="O12" s="46" t="s">
        <v>103</v>
      </c>
      <c r="P12" s="47" t="s">
        <v>109</v>
      </c>
    </row>
    <row r="13" spans="1:16" ht="12.75" customHeight="1" thickBot="1" x14ac:dyDescent="0.25">
      <c r="A13" s="10" t="str">
        <f t="shared" si="0"/>
        <v> MVS 2.158 </v>
      </c>
      <c r="B13" s="3" t="str">
        <f t="shared" si="1"/>
        <v>I</v>
      </c>
      <c r="C13" s="10">
        <f t="shared" si="2"/>
        <v>27098.37</v>
      </c>
      <c r="D13" s="12" t="str">
        <f t="shared" si="3"/>
        <v>vis</v>
      </c>
      <c r="E13" s="43">
        <f>VLOOKUP(C13,Active!C$21:E$973,3,FALSE)</f>
        <v>1.378560944543362E-2</v>
      </c>
      <c r="F13" s="3" t="s">
        <v>53</v>
      </c>
      <c r="G13" s="12" t="str">
        <f t="shared" si="4"/>
        <v>27098.37</v>
      </c>
      <c r="H13" s="10">
        <f t="shared" si="5"/>
        <v>0</v>
      </c>
      <c r="I13" s="44" t="s">
        <v>55</v>
      </c>
      <c r="J13" s="45" t="s">
        <v>56</v>
      </c>
      <c r="K13" s="44">
        <v>0</v>
      </c>
      <c r="L13" s="44" t="s">
        <v>57</v>
      </c>
      <c r="M13" s="45" t="s">
        <v>58</v>
      </c>
      <c r="N13" s="45"/>
      <c r="O13" s="46" t="s">
        <v>59</v>
      </c>
      <c r="P13" s="46" t="s">
        <v>60</v>
      </c>
    </row>
    <row r="14" spans="1:16" ht="12.75" customHeight="1" thickBot="1" x14ac:dyDescent="0.25">
      <c r="A14" s="10" t="str">
        <f t="shared" si="0"/>
        <v> MVS 2.158 </v>
      </c>
      <c r="B14" s="3" t="str">
        <f t="shared" si="1"/>
        <v>I</v>
      </c>
      <c r="C14" s="10">
        <f t="shared" si="2"/>
        <v>27344.59</v>
      </c>
      <c r="D14" s="12" t="str">
        <f t="shared" si="3"/>
        <v>vis</v>
      </c>
      <c r="E14" s="43">
        <f>VLOOKUP(C14,Active!C$21:E$973,3,FALSE)</f>
        <v>19.98021359585454</v>
      </c>
      <c r="F14" s="3" t="s">
        <v>53</v>
      </c>
      <c r="G14" s="12" t="str">
        <f t="shared" si="4"/>
        <v>27344.59</v>
      </c>
      <c r="H14" s="10">
        <f t="shared" si="5"/>
        <v>20</v>
      </c>
      <c r="I14" s="44" t="s">
        <v>61</v>
      </c>
      <c r="J14" s="45" t="s">
        <v>62</v>
      </c>
      <c r="K14" s="44">
        <v>20</v>
      </c>
      <c r="L14" s="44" t="s">
        <v>63</v>
      </c>
      <c r="M14" s="45" t="s">
        <v>58</v>
      </c>
      <c r="N14" s="45"/>
      <c r="O14" s="46" t="s">
        <v>59</v>
      </c>
      <c r="P14" s="46" t="s">
        <v>60</v>
      </c>
    </row>
    <row r="15" spans="1:16" ht="12.75" customHeight="1" thickBot="1" x14ac:dyDescent="0.25">
      <c r="A15" s="10" t="str">
        <f t="shared" si="0"/>
        <v> MVS 2.158 </v>
      </c>
      <c r="B15" s="3" t="str">
        <f t="shared" si="1"/>
        <v>I</v>
      </c>
      <c r="C15" s="10">
        <f t="shared" si="2"/>
        <v>27369.54</v>
      </c>
      <c r="D15" s="12" t="str">
        <f t="shared" si="3"/>
        <v>vis</v>
      </c>
      <c r="E15" s="43">
        <f>VLOOKUP(C15,Active!C$21:E$973,3,FALSE)</f>
        <v>22.003454511543435</v>
      </c>
      <c r="F15" s="3" t="s">
        <v>53</v>
      </c>
      <c r="G15" s="12" t="str">
        <f t="shared" si="4"/>
        <v>27369.54</v>
      </c>
      <c r="H15" s="10">
        <f t="shared" si="5"/>
        <v>22</v>
      </c>
      <c r="I15" s="44" t="s">
        <v>64</v>
      </c>
      <c r="J15" s="45" t="s">
        <v>65</v>
      </c>
      <c r="K15" s="44">
        <v>22</v>
      </c>
      <c r="L15" s="44" t="s">
        <v>66</v>
      </c>
      <c r="M15" s="45" t="s">
        <v>58</v>
      </c>
      <c r="N15" s="45"/>
      <c r="O15" s="46" t="s">
        <v>59</v>
      </c>
      <c r="P15" s="46" t="s">
        <v>60</v>
      </c>
    </row>
    <row r="16" spans="1:16" ht="12.75" customHeight="1" thickBot="1" x14ac:dyDescent="0.25">
      <c r="A16" s="10" t="str">
        <f t="shared" si="0"/>
        <v> MVS 2.158 </v>
      </c>
      <c r="B16" s="3" t="str">
        <f t="shared" si="1"/>
        <v>I</v>
      </c>
      <c r="C16" s="10">
        <f t="shared" si="2"/>
        <v>28183.41</v>
      </c>
      <c r="D16" s="12" t="str">
        <f t="shared" si="3"/>
        <v>vis</v>
      </c>
      <c r="E16" s="43">
        <f>VLOOKUP(C16,Active!C$21:E$973,3,FALSE)</f>
        <v>88.001654273133397</v>
      </c>
      <c r="F16" s="3" t="s">
        <v>53</v>
      </c>
      <c r="G16" s="12" t="str">
        <f t="shared" si="4"/>
        <v>28183.41</v>
      </c>
      <c r="H16" s="10">
        <f t="shared" si="5"/>
        <v>88</v>
      </c>
      <c r="I16" s="44" t="s">
        <v>67</v>
      </c>
      <c r="J16" s="45" t="s">
        <v>68</v>
      </c>
      <c r="K16" s="44">
        <v>88</v>
      </c>
      <c r="L16" s="44" t="s">
        <v>69</v>
      </c>
      <c r="M16" s="45" t="s">
        <v>58</v>
      </c>
      <c r="N16" s="45"/>
      <c r="O16" s="46" t="s">
        <v>59</v>
      </c>
      <c r="P16" s="46" t="s">
        <v>60</v>
      </c>
    </row>
    <row r="17" spans="1:16" ht="12.75" customHeight="1" thickBot="1" x14ac:dyDescent="0.25">
      <c r="A17" s="10" t="str">
        <f t="shared" si="0"/>
        <v> MVS 2.158 </v>
      </c>
      <c r="B17" s="3" t="str">
        <f t="shared" si="1"/>
        <v>I</v>
      </c>
      <c r="C17" s="10">
        <f t="shared" si="2"/>
        <v>28220.3</v>
      </c>
      <c r="D17" s="12" t="str">
        <f t="shared" si="3"/>
        <v>vis</v>
      </c>
      <c r="E17" s="43">
        <f>VLOOKUP(C17,Active!C$21:E$973,3,FALSE)</f>
        <v>90.993131522823177</v>
      </c>
      <c r="F17" s="3" t="s">
        <v>53</v>
      </c>
      <c r="G17" s="12" t="str">
        <f t="shared" si="4"/>
        <v>28220.30</v>
      </c>
      <c r="H17" s="10">
        <f t="shared" si="5"/>
        <v>91</v>
      </c>
      <c r="I17" s="44" t="s">
        <v>70</v>
      </c>
      <c r="J17" s="45" t="s">
        <v>71</v>
      </c>
      <c r="K17" s="44">
        <v>91</v>
      </c>
      <c r="L17" s="44" t="s">
        <v>72</v>
      </c>
      <c r="M17" s="45" t="s">
        <v>58</v>
      </c>
      <c r="N17" s="45"/>
      <c r="O17" s="46" t="s">
        <v>59</v>
      </c>
      <c r="P17" s="46" t="s">
        <v>60</v>
      </c>
    </row>
    <row r="18" spans="1:16" ht="12.75" customHeight="1" thickBot="1" x14ac:dyDescent="0.25">
      <c r="A18" s="10" t="str">
        <f t="shared" si="0"/>
        <v> MVS 2.158 </v>
      </c>
      <c r="B18" s="3" t="str">
        <f t="shared" si="1"/>
        <v>I</v>
      </c>
      <c r="C18" s="10">
        <f t="shared" si="2"/>
        <v>28245.33</v>
      </c>
      <c r="D18" s="12" t="str">
        <f t="shared" si="3"/>
        <v>vis</v>
      </c>
      <c r="E18" s="43">
        <f>VLOOKUP(C18,Active!C$21:E$973,3,FALSE)</f>
        <v>93.022859784133658</v>
      </c>
      <c r="F18" s="3" t="s">
        <v>53</v>
      </c>
      <c r="G18" s="12" t="str">
        <f t="shared" si="4"/>
        <v>28245.33</v>
      </c>
      <c r="H18" s="10">
        <f t="shared" si="5"/>
        <v>93</v>
      </c>
      <c r="I18" s="44" t="s">
        <v>73</v>
      </c>
      <c r="J18" s="45" t="s">
        <v>74</v>
      </c>
      <c r="K18" s="44">
        <v>93</v>
      </c>
      <c r="L18" s="44" t="s">
        <v>75</v>
      </c>
      <c r="M18" s="45" t="s">
        <v>58</v>
      </c>
      <c r="N18" s="45"/>
      <c r="O18" s="46" t="s">
        <v>59</v>
      </c>
      <c r="P18" s="46" t="s">
        <v>60</v>
      </c>
    </row>
    <row r="19" spans="1:16" ht="12.75" customHeight="1" thickBot="1" x14ac:dyDescent="0.25">
      <c r="A19" s="10" t="str">
        <f t="shared" si="0"/>
        <v> MVS 2.158 </v>
      </c>
      <c r="B19" s="3" t="str">
        <f t="shared" si="1"/>
        <v>I</v>
      </c>
      <c r="C19" s="10">
        <f t="shared" si="2"/>
        <v>29194.58</v>
      </c>
      <c r="D19" s="12" t="str">
        <f t="shared" si="3"/>
        <v>vis</v>
      </c>
      <c r="E19" s="43">
        <f>VLOOKUP(C19,Active!C$21:E$973,3,FALSE)</f>
        <v>169.99927017361767</v>
      </c>
      <c r="F19" s="3" t="s">
        <v>53</v>
      </c>
      <c r="G19" s="12" t="str">
        <f t="shared" si="4"/>
        <v>29194.58</v>
      </c>
      <c r="H19" s="10">
        <f t="shared" si="5"/>
        <v>170</v>
      </c>
      <c r="I19" s="44" t="s">
        <v>76</v>
      </c>
      <c r="J19" s="45" t="s">
        <v>77</v>
      </c>
      <c r="K19" s="44">
        <v>170</v>
      </c>
      <c r="L19" s="44" t="s">
        <v>78</v>
      </c>
      <c r="M19" s="45" t="s">
        <v>58</v>
      </c>
      <c r="N19" s="45"/>
      <c r="O19" s="46" t="s">
        <v>59</v>
      </c>
      <c r="P19" s="46" t="s">
        <v>60</v>
      </c>
    </row>
    <row r="20" spans="1:16" ht="12.75" customHeight="1" thickBot="1" x14ac:dyDescent="0.25">
      <c r="A20" s="10" t="str">
        <f t="shared" si="0"/>
        <v> MVS 2.158 </v>
      </c>
      <c r="B20" s="3" t="str">
        <f t="shared" si="1"/>
        <v>I</v>
      </c>
      <c r="C20" s="10">
        <f t="shared" si="2"/>
        <v>29219.51</v>
      </c>
      <c r="D20" s="12" t="str">
        <f t="shared" si="3"/>
        <v>vis</v>
      </c>
      <c r="E20" s="43">
        <f>VLOOKUP(C20,Active!C$21:E$973,3,FALSE)</f>
        <v>172.02088925290087</v>
      </c>
      <c r="F20" s="3" t="s">
        <v>53</v>
      </c>
      <c r="G20" s="12" t="str">
        <f t="shared" si="4"/>
        <v>29219.51</v>
      </c>
      <c r="H20" s="10">
        <f t="shared" si="5"/>
        <v>172</v>
      </c>
      <c r="I20" s="44" t="s">
        <v>79</v>
      </c>
      <c r="J20" s="45" t="s">
        <v>80</v>
      </c>
      <c r="K20" s="44">
        <v>172</v>
      </c>
      <c r="L20" s="44" t="s">
        <v>81</v>
      </c>
      <c r="M20" s="45" t="s">
        <v>58</v>
      </c>
      <c r="N20" s="45"/>
      <c r="O20" s="46" t="s">
        <v>59</v>
      </c>
      <c r="P20" s="46" t="s">
        <v>60</v>
      </c>
    </row>
    <row r="21" spans="1:16" ht="12.75" customHeight="1" thickBot="1" x14ac:dyDescent="0.25">
      <c r="A21" s="10" t="str">
        <f t="shared" si="0"/>
        <v> MVS 2.158 </v>
      </c>
      <c r="B21" s="3" t="str">
        <f t="shared" si="1"/>
        <v>I</v>
      </c>
      <c r="C21" s="10">
        <f t="shared" si="2"/>
        <v>29231.52</v>
      </c>
      <c r="D21" s="12" t="str">
        <f t="shared" si="3"/>
        <v>vis</v>
      </c>
      <c r="E21" s="43">
        <f>VLOOKUP(C21,Active!C$21:E$973,3,FALSE)</f>
        <v>172.99480201432078</v>
      </c>
      <c r="F21" s="3" t="s">
        <v>53</v>
      </c>
      <c r="G21" s="12" t="str">
        <f t="shared" si="4"/>
        <v>29231.52</v>
      </c>
      <c r="H21" s="10">
        <f t="shared" si="5"/>
        <v>173</v>
      </c>
      <c r="I21" s="44" t="s">
        <v>82</v>
      </c>
      <c r="J21" s="45" t="s">
        <v>83</v>
      </c>
      <c r="K21" s="44">
        <v>173</v>
      </c>
      <c r="L21" s="44" t="s">
        <v>84</v>
      </c>
      <c r="M21" s="45" t="s">
        <v>58</v>
      </c>
      <c r="N21" s="45"/>
      <c r="O21" s="46" t="s">
        <v>59</v>
      </c>
      <c r="P21" s="46" t="s">
        <v>60</v>
      </c>
    </row>
    <row r="22" spans="1:16" ht="12.75" customHeight="1" thickBot="1" x14ac:dyDescent="0.25">
      <c r="A22" s="10" t="str">
        <f t="shared" si="0"/>
        <v> MVS 2.158 </v>
      </c>
      <c r="B22" s="3" t="str">
        <f t="shared" si="1"/>
        <v>I</v>
      </c>
      <c r="C22" s="10">
        <f t="shared" si="2"/>
        <v>30267.599999999999</v>
      </c>
      <c r="D22" s="12" t="str">
        <f t="shared" si="3"/>
        <v>vis</v>
      </c>
      <c r="E22" s="43">
        <f>VLOOKUP(C22,Active!C$21:E$973,3,FALSE)</f>
        <v>257.01241515768288</v>
      </c>
      <c r="F22" s="3" t="s">
        <v>53</v>
      </c>
      <c r="G22" s="12" t="str">
        <f t="shared" si="4"/>
        <v>30267.60</v>
      </c>
      <c r="H22" s="10">
        <f t="shared" si="5"/>
        <v>257</v>
      </c>
      <c r="I22" s="44" t="s">
        <v>85</v>
      </c>
      <c r="J22" s="45" t="s">
        <v>86</v>
      </c>
      <c r="K22" s="44">
        <v>257</v>
      </c>
      <c r="L22" s="44" t="s">
        <v>87</v>
      </c>
      <c r="M22" s="45" t="s">
        <v>58</v>
      </c>
      <c r="N22" s="45"/>
      <c r="O22" s="46" t="s">
        <v>59</v>
      </c>
      <c r="P22" s="46" t="s">
        <v>60</v>
      </c>
    </row>
    <row r="23" spans="1:16" ht="12.75" customHeight="1" thickBot="1" x14ac:dyDescent="0.25">
      <c r="A23" s="10" t="str">
        <f t="shared" si="0"/>
        <v> MVS 2.158 </v>
      </c>
      <c r="B23" s="3" t="str">
        <f t="shared" si="1"/>
        <v>I</v>
      </c>
      <c r="C23" s="10">
        <f t="shared" si="2"/>
        <v>33239.49</v>
      </c>
      <c r="D23" s="12" t="str">
        <f t="shared" si="3"/>
        <v>vis</v>
      </c>
      <c r="E23" s="43">
        <f>VLOOKUP(C23,Active!C$21:E$973,3,FALSE)</f>
        <v>498.00838489421551</v>
      </c>
      <c r="F23" s="3" t="s">
        <v>53</v>
      </c>
      <c r="G23" s="12" t="str">
        <f t="shared" si="4"/>
        <v>33239.49</v>
      </c>
      <c r="H23" s="10">
        <f t="shared" si="5"/>
        <v>498</v>
      </c>
      <c r="I23" s="44" t="s">
        <v>88</v>
      </c>
      <c r="J23" s="45" t="s">
        <v>89</v>
      </c>
      <c r="K23" s="44">
        <v>498</v>
      </c>
      <c r="L23" s="44" t="s">
        <v>90</v>
      </c>
      <c r="M23" s="45" t="s">
        <v>58</v>
      </c>
      <c r="N23" s="45"/>
      <c r="O23" s="46" t="s">
        <v>59</v>
      </c>
      <c r="P23" s="46" t="s">
        <v>60</v>
      </c>
    </row>
    <row r="24" spans="1:16" ht="12.75" customHeight="1" thickBot="1" x14ac:dyDescent="0.25">
      <c r="A24" s="10" t="str">
        <f t="shared" si="0"/>
        <v> MVS 2.158 </v>
      </c>
      <c r="B24" s="3" t="str">
        <f t="shared" si="1"/>
        <v>I</v>
      </c>
      <c r="C24" s="10">
        <f t="shared" si="2"/>
        <v>35187.339999999997</v>
      </c>
      <c r="D24" s="12" t="str">
        <f t="shared" si="3"/>
        <v>vis</v>
      </c>
      <c r="E24" s="43">
        <f>VLOOKUP(C24,Active!C$21:E$973,3,FALSE)</f>
        <v>655.96308700341365</v>
      </c>
      <c r="F24" s="3" t="s">
        <v>53</v>
      </c>
      <c r="G24" s="12" t="str">
        <f t="shared" si="4"/>
        <v>35187.34</v>
      </c>
      <c r="H24" s="10">
        <f t="shared" si="5"/>
        <v>656</v>
      </c>
      <c r="I24" s="44" t="s">
        <v>91</v>
      </c>
      <c r="J24" s="45" t="s">
        <v>92</v>
      </c>
      <c r="K24" s="44">
        <v>656</v>
      </c>
      <c r="L24" s="44" t="s">
        <v>93</v>
      </c>
      <c r="M24" s="45" t="s">
        <v>58</v>
      </c>
      <c r="N24" s="45"/>
      <c r="O24" s="46" t="s">
        <v>59</v>
      </c>
      <c r="P24" s="46" t="s">
        <v>60</v>
      </c>
    </row>
    <row r="25" spans="1:16" ht="12.75" customHeight="1" thickBot="1" x14ac:dyDescent="0.25">
      <c r="A25" s="10" t="str">
        <f t="shared" si="0"/>
        <v> MVS 2.158 </v>
      </c>
      <c r="B25" s="3" t="str">
        <f t="shared" si="1"/>
        <v>I</v>
      </c>
      <c r="C25" s="10">
        <f t="shared" si="2"/>
        <v>36285.339999999997</v>
      </c>
      <c r="D25" s="12" t="str">
        <f t="shared" si="3"/>
        <v>vis</v>
      </c>
      <c r="E25" s="43">
        <f>VLOOKUP(C25,Active!C$21:E$973,3,FALSE)</f>
        <v>745.00190565777598</v>
      </c>
      <c r="F25" s="3" t="s">
        <v>53</v>
      </c>
      <c r="G25" s="12" t="str">
        <f t="shared" si="4"/>
        <v>36285.34</v>
      </c>
      <c r="H25" s="10">
        <f t="shared" si="5"/>
        <v>745</v>
      </c>
      <c r="I25" s="44" t="s">
        <v>94</v>
      </c>
      <c r="J25" s="45" t="s">
        <v>95</v>
      </c>
      <c r="K25" s="44">
        <v>745</v>
      </c>
      <c r="L25" s="44" t="s">
        <v>69</v>
      </c>
      <c r="M25" s="45" t="s">
        <v>58</v>
      </c>
      <c r="N25" s="45"/>
      <c r="O25" s="46" t="s">
        <v>59</v>
      </c>
      <c r="P25" s="46" t="s">
        <v>60</v>
      </c>
    </row>
    <row r="26" spans="1:16" ht="12.75" customHeight="1" thickBot="1" x14ac:dyDescent="0.25">
      <c r="A26" s="10" t="str">
        <f t="shared" si="0"/>
        <v> MVS 2.158 </v>
      </c>
      <c r="B26" s="3" t="str">
        <f t="shared" si="1"/>
        <v>I</v>
      </c>
      <c r="C26" s="10">
        <f t="shared" si="2"/>
        <v>36556.550000000003</v>
      </c>
      <c r="D26" s="12" t="str">
        <f t="shared" si="3"/>
        <v>vis</v>
      </c>
      <c r="E26" s="43">
        <f>VLOOKUP(C26,Active!C$21:E$973,3,FALSE)</f>
        <v>766.99481823268502</v>
      </c>
      <c r="F26" s="3" t="s">
        <v>53</v>
      </c>
      <c r="G26" s="12" t="str">
        <f t="shared" si="4"/>
        <v>36556.55</v>
      </c>
      <c r="H26" s="10">
        <f t="shared" si="5"/>
        <v>767</v>
      </c>
      <c r="I26" s="44" t="s">
        <v>96</v>
      </c>
      <c r="J26" s="45" t="s">
        <v>97</v>
      </c>
      <c r="K26" s="44">
        <v>767</v>
      </c>
      <c r="L26" s="44" t="s">
        <v>84</v>
      </c>
      <c r="M26" s="45" t="s">
        <v>58</v>
      </c>
      <c r="N26" s="45"/>
      <c r="O26" s="46" t="s">
        <v>59</v>
      </c>
      <c r="P26" s="46" t="s">
        <v>60</v>
      </c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</sheetData>
  <phoneticPr fontId="7" type="noConversion"/>
  <hyperlinks>
    <hyperlink ref="P11" r:id="rId1" display="http://www.bav-astro.de/sfs/BAVM_link.php?BAVMnr=214"/>
    <hyperlink ref="P12" r:id="rId2" display="http://www.bav-astro.de/sfs/BAVM_link.php?BAVMnr=22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2024-02-11T05:24:00Z</dcterms:modified>
</cp:coreProperties>
</file>