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2396A8F-E178-4B0B-BF0B-618A80AA4F5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3" i="1" l="1"/>
  <c r="F14" i="1" s="1"/>
  <c r="E22" i="1"/>
  <c r="F22" i="1" s="1"/>
  <c r="G22" i="1" s="1"/>
  <c r="J22" i="1" s="1"/>
  <c r="Q22" i="1"/>
  <c r="G14" i="2"/>
  <c r="C14" i="2"/>
  <c r="G13" i="2"/>
  <c r="C13" i="2"/>
  <c r="G12" i="2"/>
  <c r="C12" i="2"/>
  <c r="G15" i="2"/>
  <c r="C15" i="2"/>
  <c r="E15" i="2"/>
  <c r="G11" i="2"/>
  <c r="C11" i="2"/>
  <c r="H14" i="2"/>
  <c r="B14" i="2"/>
  <c r="D14" i="2"/>
  <c r="A14" i="2"/>
  <c r="H13" i="2"/>
  <c r="D13" i="2"/>
  <c r="B13" i="2"/>
  <c r="A13" i="2"/>
  <c r="H12" i="2"/>
  <c r="B12" i="2"/>
  <c r="D12" i="2"/>
  <c r="A12" i="2"/>
  <c r="H15" i="2"/>
  <c r="D15" i="2"/>
  <c r="B15" i="2"/>
  <c r="A15" i="2"/>
  <c r="H11" i="2"/>
  <c r="B11" i="2"/>
  <c r="D11" i="2"/>
  <c r="A11" i="2"/>
  <c r="C17" i="1"/>
  <c r="E23" i="1"/>
  <c r="F23" i="1" s="1"/>
  <c r="G23" i="1" s="1"/>
  <c r="I23" i="1" s="1"/>
  <c r="E24" i="1"/>
  <c r="E12" i="2" s="1"/>
  <c r="E25" i="1"/>
  <c r="E13" i="2" s="1"/>
  <c r="E26" i="1"/>
  <c r="E14" i="2" s="1"/>
  <c r="E21" i="1"/>
  <c r="E11" i="2" s="1"/>
  <c r="Q23" i="1"/>
  <c r="Q24" i="1"/>
  <c r="Q25" i="1"/>
  <c r="Q26" i="1"/>
  <c r="Q21" i="1"/>
  <c r="F21" i="1" l="1"/>
  <c r="G21" i="1" s="1"/>
  <c r="I21" i="1" s="1"/>
  <c r="F26" i="1"/>
  <c r="G26" i="1" s="1"/>
  <c r="I26" i="1" s="1"/>
  <c r="F25" i="1"/>
  <c r="G25" i="1" s="1"/>
  <c r="I25" i="1" s="1"/>
  <c r="F24" i="1"/>
  <c r="G24" i="1" s="1"/>
  <c r="I24" i="1" s="1"/>
  <c r="C11" i="1" l="1"/>
  <c r="C12" i="1"/>
  <c r="C16" i="1" s="1"/>
  <c r="D18" i="1" s="1"/>
  <c r="O21" i="1" l="1"/>
  <c r="C15" i="1"/>
  <c r="O26" i="1"/>
  <c r="O25" i="1"/>
  <c r="O22" i="1"/>
  <c r="O23" i="1"/>
  <c r="O24" i="1"/>
  <c r="C18" i="1" l="1"/>
  <c r="F15" i="1"/>
  <c r="F16" i="1" s="1"/>
</calcChain>
</file>

<file path=xl/sharedStrings.xml><?xml version="1.0" encoding="utf-8"?>
<sst xmlns="http://schemas.openxmlformats.org/spreadsheetml/2006/main" count="111" uniqueCount="83">
  <si>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</si>
  <si>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</si>
  <si>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</si>
  <si>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</si>
  <si>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</si>
  <si>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</si>
  <si>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</si>
  <si>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</si>
  <si>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</si>
  <si>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</si>
  <si>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</si>
  <si>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</si>
  <si>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</si>
  <si>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</si>
  <si>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</si>
  <si>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</si>
  <si>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</si>
  <si>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</si>
  <si>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</si>
  <si>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</si>
  <si>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</si>
  <si>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</si>
  <si>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</si>
  <si>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</si>
  <si>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</si>
  <si>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</si>
  <si>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</si>
  <si>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</si>
  <si>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</si>
  <si>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IBVS</t>
  </si>
  <si>
    <t>IBVS 5484</t>
  </si>
  <si>
    <t>IBVS 5657</t>
  </si>
  <si>
    <t>not avail.</t>
  </si>
  <si>
    <t>-- VERY provisional</t>
  </si>
  <si>
    <t>MR Gem / na</t>
  </si>
  <si>
    <t>EA?</t>
  </si>
  <si>
    <t># of data points:</t>
  </si>
  <si>
    <t>06 55 24.17 +16 17 18.2</t>
  </si>
  <si>
    <t>Ref:  IBVS 4764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</si>
  <si>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</si>
  <si>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</si>
  <si>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</si>
  <si>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</si>
  <si>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</si>
  <si>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</si>
  <si>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</si>
  <si>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</si>
  <si>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</si>
  <si>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</si>
  <si>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</si>
  <si>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2451925.5685 </t>
  </si>
  <si>
    <t> 16.01.2001 01:38 </t>
  </si>
  <si>
    <t> 0.0000 </t>
  </si>
  <si>
    <t>E </t>
  </si>
  <si>
    <t>o</t>
  </si>
  <si>
    <t> P.Frank </t>
  </si>
  <si>
    <t>BAVM 173 </t>
  </si>
  <si>
    <t>2452680.3851 </t>
  </si>
  <si>
    <t> 09.02.2003 21:14 </t>
  </si>
  <si>
    <t> -0.1834 </t>
  </si>
  <si>
    <t>BAVM 158 </t>
  </si>
  <si>
    <t>2453386.2962 </t>
  </si>
  <si>
    <t> 15.01.2005 19:06 </t>
  </si>
  <si>
    <t> -0.2723 </t>
  </si>
  <si>
    <t>-I</t>
  </si>
  <si>
    <t>2453387.3964 </t>
  </si>
  <si>
    <t> 16.01.2005 21:30 </t>
  </si>
  <si>
    <t>1462</t>
  </si>
  <si>
    <t> -0.1721 </t>
  </si>
  <si>
    <t>2453408.5357 </t>
  </si>
  <si>
    <t> 07.02.2005 00:51 </t>
  </si>
  <si>
    <t>1483</t>
  </si>
  <si>
    <t> -0.0328 </t>
  </si>
  <si>
    <t>I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</si>
  <si>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</si>
  <si>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</si>
  <si>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</si>
  <si>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</si>
  <si>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</si>
  <si>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</si>
  <si>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</si>
  <si>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Vis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</si>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</sst>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0" fontId="11" fillId="0" borderId="0" xfId="0" quotePrefix="1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>
      <alignment vertical="top"/>
    </xf>
    <xf numFmtId="0" fontId="12" fillId="0" borderId="0" xfId="0" applyFont="1" applyAlignment="1"/>
    <xf numFmtId="22" fontId="12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21" fillId="0" borderId="0" xfId="0" applyFont="1" applyAlignment="1"/>
    <xf numFmtId="0" fontId="0" fillId="0" borderId="0" xfId="0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Gem - O-C Diagr.</a:t>
            </a:r>
          </a:p>
        </c:rich>
      </c:tx>
      <c:layout>
        <c:manualLayout>
          <c:xMode val="edge"/>
          <c:yMode val="edge"/>
          <c:x val="0.3715673828332040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906854902912253"/>
          <c:w val="0.80452405950567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-1334</c:v>
                </c:pt>
                <c:pt idx="1">
                  <c:v>-655</c:v>
                </c:pt>
                <c:pt idx="2">
                  <c:v>-655</c:v>
                </c:pt>
                <c:pt idx="3">
                  <c:v>-20</c:v>
                </c:pt>
                <c:pt idx="4">
                  <c:v>-19</c:v>
                </c:pt>
                <c:pt idx="5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16-4AB3-84FC-A634EFC0B0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3.5999999999999999E-3</c:v>
                  </c:pt>
                  <c:pt idx="1">
                    <c:v>0</c:v>
                  </c:pt>
                  <c:pt idx="2">
                    <c:v>2.3E-3</c:v>
                  </c:pt>
                  <c:pt idx="3">
                    <c:v>1.2999999999999999E-3</c:v>
                  </c:pt>
                  <c:pt idx="4">
                    <c:v>2.0999999999999999E-3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3.5999999999999999E-3</c:v>
                  </c:pt>
                  <c:pt idx="1">
                    <c:v>0</c:v>
                  </c:pt>
                  <c:pt idx="2">
                    <c:v>2.3E-3</c:v>
                  </c:pt>
                  <c:pt idx="3">
                    <c:v>1.2999999999999999E-3</c:v>
                  </c:pt>
                  <c:pt idx="4">
                    <c:v>2.0999999999999999E-3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-1334</c:v>
                </c:pt>
                <c:pt idx="1">
                  <c:v>-655</c:v>
                </c:pt>
                <c:pt idx="2">
                  <c:v>-655</c:v>
                </c:pt>
                <c:pt idx="3">
                  <c:v>-20</c:v>
                </c:pt>
                <c:pt idx="4">
                  <c:v>-19</c:v>
                </c:pt>
                <c:pt idx="5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-7.4239999958081171E-3</c:v>
                </c:pt>
                <c:pt idx="2">
                  <c:v>-1.0580000001937151E-2</c:v>
                </c:pt>
                <c:pt idx="3">
                  <c:v>-6.220000002940651E-3</c:v>
                </c:pt>
                <c:pt idx="4">
                  <c:v>-1.7684000005829148E-2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16-4AB3-84FC-A634EFC0B0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3.5999999999999999E-3</c:v>
                  </c:pt>
                  <c:pt idx="1">
                    <c:v>0</c:v>
                  </c:pt>
                  <c:pt idx="2">
                    <c:v>2.3E-3</c:v>
                  </c:pt>
                  <c:pt idx="3">
                    <c:v>1.2999999999999999E-3</c:v>
                  </c:pt>
                  <c:pt idx="4">
                    <c:v>2.0999999999999999E-3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3.5999999999999999E-3</c:v>
                  </c:pt>
                  <c:pt idx="1">
                    <c:v>0</c:v>
                  </c:pt>
                  <c:pt idx="2">
                    <c:v>2.3E-3</c:v>
                  </c:pt>
                  <c:pt idx="3">
                    <c:v>1.2999999999999999E-3</c:v>
                  </c:pt>
                  <c:pt idx="4">
                    <c:v>2.0999999999999999E-3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-1334</c:v>
                </c:pt>
                <c:pt idx="1">
                  <c:v>-655</c:v>
                </c:pt>
                <c:pt idx="2">
                  <c:v>-655</c:v>
                </c:pt>
                <c:pt idx="3">
                  <c:v>-20</c:v>
                </c:pt>
                <c:pt idx="4">
                  <c:v>-19</c:v>
                </c:pt>
                <c:pt idx="5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-1.0679999999410938E-2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16-4AB3-84FC-A634EFC0B0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3.5999999999999999E-3</c:v>
                  </c:pt>
                  <c:pt idx="1">
                    <c:v>0</c:v>
                  </c:pt>
                  <c:pt idx="2">
                    <c:v>2.3E-3</c:v>
                  </c:pt>
                  <c:pt idx="3">
                    <c:v>1.2999999999999999E-3</c:v>
                  </c:pt>
                  <c:pt idx="4">
                    <c:v>2.0999999999999999E-3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3.5999999999999999E-3</c:v>
                  </c:pt>
                  <c:pt idx="1">
                    <c:v>0</c:v>
                  </c:pt>
                  <c:pt idx="2">
                    <c:v>2.3E-3</c:v>
                  </c:pt>
                  <c:pt idx="3">
                    <c:v>1.2999999999999999E-3</c:v>
                  </c:pt>
                  <c:pt idx="4">
                    <c:v>2.0999999999999999E-3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-1334</c:v>
                </c:pt>
                <c:pt idx="1">
                  <c:v>-655</c:v>
                </c:pt>
                <c:pt idx="2">
                  <c:v>-655</c:v>
                </c:pt>
                <c:pt idx="3">
                  <c:v>-20</c:v>
                </c:pt>
                <c:pt idx="4">
                  <c:v>-19</c:v>
                </c:pt>
                <c:pt idx="5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16-4AB3-84FC-A634EFC0B0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3.5999999999999999E-3</c:v>
                  </c:pt>
                  <c:pt idx="1">
                    <c:v>0</c:v>
                  </c:pt>
                  <c:pt idx="2">
                    <c:v>2.3E-3</c:v>
                  </c:pt>
                  <c:pt idx="3">
                    <c:v>1.2999999999999999E-3</c:v>
                  </c:pt>
                  <c:pt idx="4">
                    <c:v>2.0999999999999999E-3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3.5999999999999999E-3</c:v>
                  </c:pt>
                  <c:pt idx="1">
                    <c:v>0</c:v>
                  </c:pt>
                  <c:pt idx="2">
                    <c:v>2.3E-3</c:v>
                  </c:pt>
                  <c:pt idx="3">
                    <c:v>1.2999999999999999E-3</c:v>
                  </c:pt>
                  <c:pt idx="4">
                    <c:v>2.0999999999999999E-3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-1334</c:v>
                </c:pt>
                <c:pt idx="1">
                  <c:v>-655</c:v>
                </c:pt>
                <c:pt idx="2">
                  <c:v>-655</c:v>
                </c:pt>
                <c:pt idx="3">
                  <c:v>-20</c:v>
                </c:pt>
                <c:pt idx="4">
                  <c:v>-19</c:v>
                </c:pt>
                <c:pt idx="5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16-4AB3-84FC-A634EFC0B0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3.5999999999999999E-3</c:v>
                  </c:pt>
                  <c:pt idx="1">
                    <c:v>0</c:v>
                  </c:pt>
                  <c:pt idx="2">
                    <c:v>2.3E-3</c:v>
                  </c:pt>
                  <c:pt idx="3">
                    <c:v>1.2999999999999999E-3</c:v>
                  </c:pt>
                  <c:pt idx="4">
                    <c:v>2.0999999999999999E-3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3.5999999999999999E-3</c:v>
                  </c:pt>
                  <c:pt idx="1">
                    <c:v>0</c:v>
                  </c:pt>
                  <c:pt idx="2">
                    <c:v>2.3E-3</c:v>
                  </c:pt>
                  <c:pt idx="3">
                    <c:v>1.2999999999999999E-3</c:v>
                  </c:pt>
                  <c:pt idx="4">
                    <c:v>2.0999999999999999E-3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-1334</c:v>
                </c:pt>
                <c:pt idx="1">
                  <c:v>-655</c:v>
                </c:pt>
                <c:pt idx="2">
                  <c:v>-655</c:v>
                </c:pt>
                <c:pt idx="3">
                  <c:v>-20</c:v>
                </c:pt>
                <c:pt idx="4">
                  <c:v>-19</c:v>
                </c:pt>
                <c:pt idx="5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16-4AB3-84FC-A634EFC0B0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3.5999999999999999E-3</c:v>
                  </c:pt>
                  <c:pt idx="1">
                    <c:v>0</c:v>
                  </c:pt>
                  <c:pt idx="2">
                    <c:v>2.3E-3</c:v>
                  </c:pt>
                  <c:pt idx="3">
                    <c:v>1.2999999999999999E-3</c:v>
                  </c:pt>
                  <c:pt idx="4">
                    <c:v>2.0999999999999999E-3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3.5999999999999999E-3</c:v>
                  </c:pt>
                  <c:pt idx="1">
                    <c:v>0</c:v>
                  </c:pt>
                  <c:pt idx="2">
                    <c:v>2.3E-3</c:v>
                  </c:pt>
                  <c:pt idx="3">
                    <c:v>1.2999999999999999E-3</c:v>
                  </c:pt>
                  <c:pt idx="4">
                    <c:v>2.0999999999999999E-3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-1334</c:v>
                </c:pt>
                <c:pt idx="1">
                  <c:v>-655</c:v>
                </c:pt>
                <c:pt idx="2">
                  <c:v>-655</c:v>
                </c:pt>
                <c:pt idx="3">
                  <c:v>-20</c:v>
                </c:pt>
                <c:pt idx="4">
                  <c:v>-19</c:v>
                </c:pt>
                <c:pt idx="5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16-4AB3-84FC-A634EFC0B0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-1334</c:v>
                </c:pt>
                <c:pt idx="1">
                  <c:v>-655</c:v>
                </c:pt>
                <c:pt idx="2">
                  <c:v>-655</c:v>
                </c:pt>
                <c:pt idx="3">
                  <c:v>-20</c:v>
                </c:pt>
                <c:pt idx="4">
                  <c:v>-19</c:v>
                </c:pt>
                <c:pt idx="5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-9.2416192686516456E-3</c:v>
                </c:pt>
                <c:pt idx="1">
                  <c:v>-8.8764426295869885E-3</c:v>
                </c:pt>
                <c:pt idx="2">
                  <c:v>-8.8764426295869885E-3</c:v>
                </c:pt>
                <c:pt idx="3">
                  <c:v>-8.5349298669860196E-3</c:v>
                </c:pt>
                <c:pt idx="4">
                  <c:v>-8.5343920516118433E-3</c:v>
                </c:pt>
                <c:pt idx="5">
                  <c:v>-8.5241735595025236E-3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16-4AB3-84FC-A634EFC0B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297440"/>
        <c:axId val="1"/>
      </c:scatterChart>
      <c:valAx>
        <c:axId val="87429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97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70776249899294"/>
          <c:y val="0.91925596256989606"/>
          <c:w val="0.7237484894355895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0</xdr:row>
      <xdr:rowOff>76200</xdr:rowOff>
    </xdr:from>
    <xdr:to>
      <xdr:col>17</xdr:col>
      <xdr:colOff>457201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A0487C-1F9C-C828-2378-658104FD4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3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www.bav-astro.de/sfs/BAVM_link.php?BAVMnr=173" TargetMode="External"/><Relationship Id="rId5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8"/>
  <sheetViews>
    <sheetView tabSelected="1" workbookViewId="0">
      <selection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  <c r="C1" s="24" t="s">
        <v>37</v>
      </c>
    </row>
    <row r="2" spans="1:6">
      <c r="A2" t="s">
        <v>25</v>
      </c>
      <c r="B2" t="s">
        <v>35</v>
      </c>
      <c r="C2" s="25" t="s">
        <v>38</v>
      </c>
    </row>
    <row r="4" spans="1:6">
      <c r="A4" s="8" t="s">
        <v>0</v>
      </c>
      <c r="C4" s="17" t="s">
        <v>32</v>
      </c>
      <c r="D4" s="18" t="s">
        <v>32</v>
      </c>
    </row>
    <row r="5" spans="1:6">
      <c r="A5" s="3" t="s">
        <v>80</v>
      </c>
      <c r="C5" s="50">
        <v>-9.5</v>
      </c>
    </row>
    <row r="6" spans="1:6">
      <c r="A6" s="8" t="s">
        <v>1</v>
      </c>
    </row>
    <row r="7" spans="1:6">
      <c r="A7" t="s">
        <v>2</v>
      </c>
      <c r="C7" s="51">
        <v>53408.5357</v>
      </c>
      <c r="D7" s="52" t="s">
        <v>82</v>
      </c>
    </row>
    <row r="8" spans="1:6">
      <c r="A8" t="s">
        <v>3</v>
      </c>
      <c r="C8" s="51">
        <v>1.111664</v>
      </c>
      <c r="D8" s="19" t="s">
        <v>82</v>
      </c>
    </row>
    <row r="9" spans="1:6">
      <c r="C9" s="20" t="s">
        <v>33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>
        <f>INTERCEPT(G21:G998,$F21:$F998)</f>
        <v>-8.5241735595025236E-3</v>
      </c>
      <c r="D11" s="6"/>
    </row>
    <row r="12" spans="1:6">
      <c r="A12" t="s">
        <v>17</v>
      </c>
      <c r="C12">
        <f>SLOPE(G21:G998,$F21:$F998)</f>
        <v>5.3781537417475416E-7</v>
      </c>
      <c r="D12" s="6"/>
      <c r="E12" s="43" t="s">
        <v>74</v>
      </c>
      <c r="F12" s="44">
        <v>1</v>
      </c>
    </row>
    <row r="13" spans="1:6">
      <c r="A13" t="s">
        <v>19</v>
      </c>
      <c r="C13" s="6" t="s">
        <v>14</v>
      </c>
      <c r="D13" s="6"/>
      <c r="E13" s="43" t="s">
        <v>75</v>
      </c>
      <c r="F13" s="45">
        <f ca="1">NOW()+15018.5+$C$5/24</f>
        <v>60351.771871064811</v>
      </c>
    </row>
    <row r="14" spans="1:6">
      <c r="A14" t="s">
        <v>24</v>
      </c>
      <c r="E14" s="43" t="s">
        <v>76</v>
      </c>
      <c r="F14" s="46">
        <f ca="1">ROUND(2*(F13-$C$7)/$C$8,0)/2+F12</f>
        <v>6247</v>
      </c>
    </row>
    <row r="15" spans="1:6">
      <c r="A15" s="3" t="s">
        <v>18</v>
      </c>
      <c r="C15" s="21">
        <f>(C7+C11)+(C8+C12)*INT(MAX(F21:F3533))</f>
        <v>53408.527175826443</v>
      </c>
      <c r="E15" s="43" t="s">
        <v>77</v>
      </c>
      <c r="F15" s="47">
        <f ca="1">ROUND(2*(F13-$C$15)/$C$16,0)/2+F12</f>
        <v>6247</v>
      </c>
    </row>
    <row r="16" spans="1:6">
      <c r="A16" s="8" t="s">
        <v>4</v>
      </c>
      <c r="C16" s="22">
        <f>+C8+C12</f>
        <v>1.1116645378153742</v>
      </c>
      <c r="E16" s="43" t="s">
        <v>78</v>
      </c>
      <c r="F16" s="48">
        <f ca="1">+$C$15+$C$16*F15-15018.5-$C$5/24</f>
        <v>45334.991376892423</v>
      </c>
    </row>
    <row r="17" spans="1:17" ht="13.5" thickBot="1">
      <c r="A17" s="23" t="s">
        <v>36</v>
      </c>
      <c r="C17">
        <f>COUNT(C21:C2191)</f>
        <v>6</v>
      </c>
      <c r="F17" s="49" t="s">
        <v>79</v>
      </c>
    </row>
    <row r="18" spans="1:17">
      <c r="A18" s="8" t="s">
        <v>5</v>
      </c>
      <c r="C18" s="4">
        <f>+C15</f>
        <v>53408.527175826443</v>
      </c>
      <c r="D18" s="5">
        <f>+C16</f>
        <v>1.1116645378153742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29</v>
      </c>
      <c r="J20" s="10" t="s">
        <v>81</v>
      </c>
      <c r="K20" s="10" t="s">
        <v>41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>
      <c r="A21" s="13" t="s">
        <v>31</v>
      </c>
      <c r="B21" s="14"/>
      <c r="C21" s="15">
        <v>51925.568500000001</v>
      </c>
      <c r="D21" s="15">
        <v>3.5999999999999999E-3</v>
      </c>
      <c r="E21">
        <f>+(C21-C$7)/C$8</f>
        <v>-1334.0066782768886</v>
      </c>
      <c r="F21">
        <f>ROUND(2*E21,0)/2</f>
        <v>-1334</v>
      </c>
      <c r="G21">
        <f>+C21-(C$7+F21*C$8)</f>
        <v>-7.4239999958081171E-3</v>
      </c>
      <c r="I21">
        <f>+G21</f>
        <v>-7.4239999958081171E-3</v>
      </c>
      <c r="O21">
        <f>+C$11+C$12*$F21</f>
        <v>-9.2416192686516456E-3</v>
      </c>
      <c r="Q21" s="2">
        <f>+C21-15018.5</f>
        <v>36907.068500000001</v>
      </c>
    </row>
    <row r="22" spans="1:17">
      <c r="A22" s="40" t="s">
        <v>60</v>
      </c>
      <c r="B22" s="42" t="s">
        <v>73</v>
      </c>
      <c r="C22" s="41">
        <v>52680.3851</v>
      </c>
      <c r="D22" s="41" t="s">
        <v>49</v>
      </c>
      <c r="E22">
        <f>+(C22-C$7)/C$8</f>
        <v>-655.00960721944841</v>
      </c>
      <c r="F22">
        <f>ROUND(2*E22,0)/2</f>
        <v>-655</v>
      </c>
      <c r="G22">
        <f>+C22-(C$7+F22*C$8)</f>
        <v>-1.0679999999410938E-2</v>
      </c>
      <c r="J22">
        <f>+G22</f>
        <v>-1.0679999999410938E-2</v>
      </c>
      <c r="O22">
        <f>+C$11+C$12*$F22</f>
        <v>-8.8764426295869885E-3</v>
      </c>
      <c r="Q22" s="2">
        <f>+C22-15018.5</f>
        <v>37661.8851</v>
      </c>
    </row>
    <row r="23" spans="1:17">
      <c r="A23" s="16" t="s">
        <v>30</v>
      </c>
      <c r="B23" s="11"/>
      <c r="C23" s="12">
        <v>52680.385199999997</v>
      </c>
      <c r="D23" s="12">
        <v>2.3E-3</v>
      </c>
      <c r="E23">
        <f>+(C23-C$7)/C$8</f>
        <v>-655.00951726421238</v>
      </c>
      <c r="F23">
        <f>ROUND(2*E23,0)/2</f>
        <v>-655</v>
      </c>
      <c r="G23">
        <f>+C23-(C$7+F23*C$8)</f>
        <v>-1.0580000001937151E-2</v>
      </c>
      <c r="I23">
        <f>+G23</f>
        <v>-1.0580000001937151E-2</v>
      </c>
      <c r="O23">
        <f>+C$11+C$12*$F23</f>
        <v>-8.8764426295869885E-3</v>
      </c>
      <c r="Q23" s="2">
        <f>+C23-15018.5</f>
        <v>37661.885199999997</v>
      </c>
    </row>
    <row r="24" spans="1:17">
      <c r="A24" s="13" t="s">
        <v>31</v>
      </c>
      <c r="B24" s="14"/>
      <c r="C24" s="15">
        <v>53386.296199999997</v>
      </c>
      <c r="D24" s="15">
        <v>1.2999999999999999E-3</v>
      </c>
      <c r="E24">
        <f>+(C24-C$7)/C$8</f>
        <v>-20.005595215823593</v>
      </c>
      <c r="F24">
        <f>ROUND(2*E24,0)/2</f>
        <v>-20</v>
      </c>
      <c r="G24">
        <f>+C24-(C$7+F24*C$8)</f>
        <v>-6.220000002940651E-3</v>
      </c>
      <c r="I24">
        <f>+G24</f>
        <v>-6.220000002940651E-3</v>
      </c>
      <c r="O24">
        <f>+C$11+C$12*$F24</f>
        <v>-8.5349298669860196E-3</v>
      </c>
      <c r="Q24" s="2">
        <f>+C24-15018.5</f>
        <v>38367.796199999997</v>
      </c>
    </row>
    <row r="25" spans="1:17">
      <c r="A25" s="13" t="s">
        <v>31</v>
      </c>
      <c r="B25" s="14"/>
      <c r="C25" s="15">
        <v>53387.396399999998</v>
      </c>
      <c r="D25" s="15">
        <v>2.0999999999999999E-3</v>
      </c>
      <c r="E25">
        <f>+(C25-C$7)/C$8</f>
        <v>-19.015907684338568</v>
      </c>
      <c r="F25">
        <f>ROUND(2*E25,0)/2</f>
        <v>-19</v>
      </c>
      <c r="G25">
        <f>+C25-(C$7+F25*C$8)</f>
        <v>-1.7684000005829148E-2</v>
      </c>
      <c r="I25">
        <f>+G25</f>
        <v>-1.7684000005829148E-2</v>
      </c>
      <c r="O25">
        <f>+C$11+C$12*$F25</f>
        <v>-8.5343920516118433E-3</v>
      </c>
      <c r="Q25" s="2">
        <f>+C25-15018.5</f>
        <v>38368.896399999998</v>
      </c>
    </row>
    <row r="26" spans="1:17">
      <c r="A26" s="53" t="s">
        <v>82</v>
      </c>
      <c r="B26" s="14"/>
      <c r="C26" s="15">
        <v>53408.5357</v>
      </c>
      <c r="D26" s="15">
        <v>8.9999999999999998E-4</v>
      </c>
      <c r="E26">
        <f>+(C26-C$7)/C$8</f>
        <v>0</v>
      </c>
      <c r="F26">
        <f>ROUND(2*E26,0)/2</f>
        <v>0</v>
      </c>
      <c r="G26">
        <f>+C26-(C$7+F26*C$8)</f>
        <v>0</v>
      </c>
      <c r="I26">
        <f>+G26</f>
        <v>0</v>
      </c>
      <c r="O26">
        <f>+C$11+C$12*$F26</f>
        <v>-8.5241735595025236E-3</v>
      </c>
      <c r="Q26" s="2">
        <f>+C26-15018.5</f>
        <v>38390.0357</v>
      </c>
    </row>
    <row r="27" spans="1:17">
      <c r="C27" s="15"/>
      <c r="D27" s="15"/>
      <c r="Q27" s="2"/>
    </row>
    <row r="28" spans="1:17">
      <c r="C28" s="15"/>
      <c r="D28" s="15"/>
      <c r="Q28" s="2"/>
    </row>
    <row r="29" spans="1:17">
      <c r="C29" s="15"/>
      <c r="D29" s="15"/>
      <c r="Q29" s="2"/>
    </row>
    <row r="30" spans="1:17">
      <c r="C30" s="15"/>
      <c r="D30" s="15"/>
      <c r="Q30" s="2"/>
    </row>
    <row r="31" spans="1:17">
      <c r="C31" s="15"/>
      <c r="D31" s="15"/>
      <c r="Q31" s="2"/>
    </row>
    <row r="32" spans="1:17">
      <c r="C32" s="15"/>
      <c r="D32" s="15"/>
      <c r="Q32" s="2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</sheetData>
  <sortState xmlns:xlrd2="http://schemas.microsoft.com/office/spreadsheetml/2017/richdata2" ref="A21:Q38">
    <sortCondition ref="C21:C38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5"/>
  <sheetViews>
    <sheetView workbookViewId="0">
      <selection activeCell="A15" sqref="A15:D15"/>
    </sheetView>
  </sheetViews>
  <sheetFormatPr defaultRowHeight="12.75"/>
  <cols>
    <col min="1" max="1" width="19.7109375" style="15" customWidth="1"/>
    <col min="2" max="2" width="4.42578125" style="27" customWidth="1"/>
    <col min="3" max="3" width="12.7109375" style="15" customWidth="1"/>
    <col min="4" max="4" width="5.42578125" style="27" customWidth="1"/>
    <col min="5" max="5" width="14.85546875" style="27" customWidth="1"/>
    <col min="6" max="6" width="9.140625" style="27"/>
    <col min="7" max="7" width="12" style="27" customWidth="1"/>
    <col min="8" max="8" width="14.140625" style="15" customWidth="1"/>
    <col min="9" max="9" width="22.5703125" style="27" customWidth="1"/>
    <col min="10" max="10" width="25.140625" style="27" customWidth="1"/>
    <col min="11" max="11" width="15.7109375" style="27" customWidth="1"/>
    <col min="12" max="12" width="14.140625" style="27" customWidth="1"/>
    <col min="13" max="13" width="9.5703125" style="27" customWidth="1"/>
    <col min="14" max="14" width="14.140625" style="27" customWidth="1"/>
    <col min="15" max="15" width="23.42578125" style="27" customWidth="1"/>
    <col min="16" max="16" width="16.5703125" style="27" customWidth="1"/>
    <col min="17" max="17" width="41" style="27" customWidth="1"/>
    <col min="18" max="16384" width="9.140625" style="27"/>
  </cols>
  <sheetData>
    <row r="1" spans="1:16" ht="15.75">
      <c r="A1" s="26" t="s">
        <v>39</v>
      </c>
      <c r="I1" s="28" t="s">
        <v>40</v>
      </c>
      <c r="J1" s="29" t="s">
        <v>41</v>
      </c>
    </row>
    <row r="2" spans="1:16">
      <c r="I2" s="30" t="s">
        <v>42</v>
      </c>
      <c r="J2" s="31" t="s">
        <v>43</v>
      </c>
    </row>
    <row r="3" spans="1:16">
      <c r="A3" s="32" t="s">
        <v>44</v>
      </c>
      <c r="I3" s="30" t="s">
        <v>45</v>
      </c>
      <c r="J3" s="31" t="s">
        <v>46</v>
      </c>
    </row>
    <row r="4" spans="1:16">
      <c r="I4" s="30" t="s">
        <v>47</v>
      </c>
      <c r="J4" s="31" t="s">
        <v>46</v>
      </c>
    </row>
    <row r="5" spans="1:16" ht="13.5" thickBot="1">
      <c r="I5" s="33" t="s">
        <v>48</v>
      </c>
      <c r="J5" s="34" t="s">
        <v>49</v>
      </c>
    </row>
    <row r="10" spans="1:16" ht="13.5" thickBot="1"/>
    <row r="11" spans="1:16" ht="12.75" customHeight="1" thickBot="1">
      <c r="A11" s="15" t="str">
        <f>P11</f>
        <v>BAVM 173 </v>
      </c>
      <c r="B11" s="6" t="str">
        <f>IF(H11=INT(H11),"I","II")</f>
        <v>I</v>
      </c>
      <c r="C11" s="15">
        <f>1*G11</f>
        <v>51925.568500000001</v>
      </c>
      <c r="D11" s="27" t="str">
        <f>VLOOKUP(F11,I$1:J$5,2,FALSE)</f>
        <v>vis</v>
      </c>
      <c r="E11" s="35">
        <f>VLOOKUP(C11,Active!C$21:E$973,3,FALSE)</f>
        <v>-1334.0066782768886</v>
      </c>
      <c r="F11" s="6" t="s">
        <v>48</v>
      </c>
      <c r="G11" s="27" t="str">
        <f>MID(I11,3,LEN(I11)-3)</f>
        <v>51925.5685</v>
      </c>
      <c r="H11" s="15">
        <f>1*K11</f>
        <v>0</v>
      </c>
      <c r="I11" s="36" t="s">
        <v>50</v>
      </c>
      <c r="J11" s="37" t="s">
        <v>51</v>
      </c>
      <c r="K11" s="36">
        <v>0</v>
      </c>
      <c r="L11" s="36" t="s">
        <v>52</v>
      </c>
      <c r="M11" s="37" t="s">
        <v>53</v>
      </c>
      <c r="N11" s="37" t="s">
        <v>54</v>
      </c>
      <c r="O11" s="38" t="s">
        <v>55</v>
      </c>
      <c r="P11" s="39" t="s">
        <v>56</v>
      </c>
    </row>
    <row r="12" spans="1:16" ht="12.75" customHeight="1" thickBot="1">
      <c r="A12" s="15" t="str">
        <f>P12</f>
        <v>BAVM 173 </v>
      </c>
      <c r="B12" s="6" t="str">
        <f>IF(H12=INT(H12),"I","II")</f>
        <v>I</v>
      </c>
      <c r="C12" s="15">
        <f>1*G12</f>
        <v>53386.296199999997</v>
      </c>
      <c r="D12" s="27" t="str">
        <f>VLOOKUP(F12,I$1:J$5,2,FALSE)</f>
        <v>vis</v>
      </c>
      <c r="E12" s="35">
        <f>VLOOKUP(C12,Active!C$21:E$973,3,FALSE)</f>
        <v>-20.005595215823593</v>
      </c>
      <c r="F12" s="6" t="s">
        <v>48</v>
      </c>
      <c r="G12" s="27" t="str">
        <f>MID(I12,3,LEN(I12)-3)</f>
        <v>53386.2962</v>
      </c>
      <c r="H12" s="15">
        <f>1*K12</f>
        <v>1461</v>
      </c>
      <c r="I12" s="36" t="s">
        <v>61</v>
      </c>
      <c r="J12" s="37" t="s">
        <v>62</v>
      </c>
      <c r="K12" s="36">
        <v>1461</v>
      </c>
      <c r="L12" s="36" t="s">
        <v>63</v>
      </c>
      <c r="M12" s="37" t="s">
        <v>53</v>
      </c>
      <c r="N12" s="37" t="s">
        <v>64</v>
      </c>
      <c r="O12" s="38" t="s">
        <v>55</v>
      </c>
      <c r="P12" s="39" t="s">
        <v>56</v>
      </c>
    </row>
    <row r="13" spans="1:16" ht="12.75" customHeight="1" thickBot="1">
      <c r="A13" s="15" t="str">
        <f>P13</f>
        <v>BAVM 173 </v>
      </c>
      <c r="B13" s="6" t="str">
        <f>IF(H13=INT(H13),"I","II")</f>
        <v>I</v>
      </c>
      <c r="C13" s="15">
        <f>1*G13</f>
        <v>53387.396399999998</v>
      </c>
      <c r="D13" s="27" t="str">
        <f>VLOOKUP(F13,I$1:J$5,2,FALSE)</f>
        <v>vis</v>
      </c>
      <c r="E13" s="35">
        <f>VLOOKUP(C13,Active!C$21:E$973,3,FALSE)</f>
        <v>-19.015907684338568</v>
      </c>
      <c r="F13" s="6" t="s">
        <v>48</v>
      </c>
      <c r="G13" s="27" t="str">
        <f>MID(I13,3,LEN(I13)-3)</f>
        <v>53387.3964</v>
      </c>
      <c r="H13" s="15">
        <f>1*K13</f>
        <v>1462</v>
      </c>
      <c r="I13" s="36" t="s">
        <v>65</v>
      </c>
      <c r="J13" s="37" t="s">
        <v>66</v>
      </c>
      <c r="K13" s="36" t="s">
        <v>67</v>
      </c>
      <c r="L13" s="36" t="s">
        <v>68</v>
      </c>
      <c r="M13" s="37" t="s">
        <v>53</v>
      </c>
      <c r="N13" s="37" t="s">
        <v>64</v>
      </c>
      <c r="O13" s="38" t="s">
        <v>55</v>
      </c>
      <c r="P13" s="39" t="s">
        <v>56</v>
      </c>
    </row>
    <row r="14" spans="1:16" ht="12.75" customHeight="1" thickBot="1">
      <c r="A14" s="15" t="str">
        <f>P14</f>
        <v>BAVM 173 </v>
      </c>
      <c r="B14" s="6" t="str">
        <f>IF(H14=INT(H14),"I","II")</f>
        <v>I</v>
      </c>
      <c r="C14" s="15">
        <f>1*G14</f>
        <v>53408.5357</v>
      </c>
      <c r="D14" s="27" t="str">
        <f>VLOOKUP(F14,I$1:J$5,2,FALSE)</f>
        <v>vis</v>
      </c>
      <c r="E14" s="35">
        <f>VLOOKUP(C14,Active!C$21:E$973,3,FALSE)</f>
        <v>0</v>
      </c>
      <c r="F14" s="6" t="s">
        <v>48</v>
      </c>
      <c r="G14" s="27" t="str">
        <f>MID(I14,3,LEN(I14)-3)</f>
        <v>53408.5357</v>
      </c>
      <c r="H14" s="15">
        <f>1*K14</f>
        <v>1483</v>
      </c>
      <c r="I14" s="36" t="s">
        <v>69</v>
      </c>
      <c r="J14" s="37" t="s">
        <v>70</v>
      </c>
      <c r="K14" s="36" t="s">
        <v>71</v>
      </c>
      <c r="L14" s="36" t="s">
        <v>72</v>
      </c>
      <c r="M14" s="37" t="s">
        <v>53</v>
      </c>
      <c r="N14" s="37" t="s">
        <v>64</v>
      </c>
      <c r="O14" s="38" t="s">
        <v>55</v>
      </c>
      <c r="P14" s="39" t="s">
        <v>56</v>
      </c>
    </row>
    <row r="15" spans="1:16" ht="12.75" customHeight="1" thickBot="1">
      <c r="A15" s="15" t="str">
        <f>P15</f>
        <v>BAVM 158 </v>
      </c>
      <c r="B15" s="6" t="str">
        <f>IF(H15=INT(H15),"I","II")</f>
        <v>I</v>
      </c>
      <c r="C15" s="15">
        <f>1*G15</f>
        <v>52680.3851</v>
      </c>
      <c r="D15" s="27" t="str">
        <f>VLOOKUP(F15,I$1:J$5,2,FALSE)</f>
        <v>vis</v>
      </c>
      <c r="E15" s="35">
        <f>VLOOKUP(C15,Active!C$21:E$973,3,FALSE)</f>
        <v>-655.00960721944841</v>
      </c>
      <c r="F15" s="6" t="s">
        <v>48</v>
      </c>
      <c r="G15" s="27" t="str">
        <f>MID(I15,3,LEN(I15)-3)</f>
        <v>52680.3851</v>
      </c>
      <c r="H15" s="15">
        <f>1*K15</f>
        <v>755</v>
      </c>
      <c r="I15" s="36" t="s">
        <v>57</v>
      </c>
      <c r="J15" s="37" t="s">
        <v>58</v>
      </c>
      <c r="K15" s="36">
        <v>755</v>
      </c>
      <c r="L15" s="36" t="s">
        <v>59</v>
      </c>
      <c r="M15" s="37" t="s">
        <v>53</v>
      </c>
      <c r="N15" s="37" t="s">
        <v>54</v>
      </c>
      <c r="O15" s="38" t="s">
        <v>55</v>
      </c>
      <c r="P15" s="39" t="s">
        <v>60</v>
      </c>
    </row>
    <row r="16" spans="1:16">
      <c r="B16" s="6"/>
      <c r="E16" s="35"/>
      <c r="F16" s="6"/>
    </row>
    <row r="17" spans="2:6">
      <c r="B17" s="6"/>
      <c r="E17" s="35"/>
      <c r="F17" s="6"/>
    </row>
    <row r="18" spans="2:6">
      <c r="B18" s="6"/>
      <c r="E18" s="35"/>
      <c r="F18" s="6"/>
    </row>
    <row r="19" spans="2:6">
      <c r="B19" s="6"/>
      <c r="E19" s="35"/>
      <c r="F19" s="6"/>
    </row>
    <row r="20" spans="2:6">
      <c r="B20" s="6"/>
      <c r="E20" s="35"/>
      <c r="F20" s="6"/>
    </row>
    <row r="21" spans="2:6">
      <c r="B21" s="6"/>
      <c r="E21" s="35"/>
      <c r="F21" s="6"/>
    </row>
    <row r="22" spans="2:6">
      <c r="B22" s="6"/>
      <c r="E22" s="35"/>
      <c r="F22" s="6"/>
    </row>
    <row r="23" spans="2:6">
      <c r="B23" s="6"/>
      <c r="E23" s="35"/>
      <c r="F23" s="6"/>
    </row>
    <row r="24" spans="2:6">
      <c r="B24" s="6"/>
      <c r="E24" s="35"/>
      <c r="F24" s="6"/>
    </row>
    <row r="25" spans="2:6">
      <c r="B25" s="6"/>
      <c r="E25" s="35"/>
      <c r="F25" s="6"/>
    </row>
    <row r="26" spans="2:6">
      <c r="B26" s="6"/>
      <c r="E26" s="35"/>
      <c r="F26" s="6"/>
    </row>
    <row r="27" spans="2:6">
      <c r="B27" s="6"/>
      <c r="E27" s="35"/>
      <c r="F27" s="6"/>
    </row>
    <row r="28" spans="2:6">
      <c r="B28" s="6"/>
      <c r="E28" s="35"/>
      <c r="F28" s="6"/>
    </row>
    <row r="29" spans="2:6">
      <c r="B29" s="6"/>
      <c r="E29" s="35"/>
      <c r="F29" s="6"/>
    </row>
    <row r="30" spans="2:6">
      <c r="B30" s="6"/>
      <c r="E30" s="35"/>
      <c r="F30" s="6"/>
    </row>
    <row r="31" spans="2:6">
      <c r="B31" s="6"/>
      <c r="E31" s="35"/>
      <c r="F31" s="6"/>
    </row>
    <row r="32" spans="2:6">
      <c r="B32" s="6"/>
      <c r="E32" s="35"/>
      <c r="F32" s="6"/>
    </row>
    <row r="33" spans="2:6">
      <c r="B33" s="6"/>
      <c r="E33" s="35"/>
      <c r="F33" s="6"/>
    </row>
    <row r="34" spans="2:6">
      <c r="B34" s="6"/>
      <c r="E34" s="35"/>
      <c r="F34" s="6"/>
    </row>
    <row r="35" spans="2:6">
      <c r="B35" s="6"/>
      <c r="E35" s="35"/>
      <c r="F35" s="6"/>
    </row>
    <row r="36" spans="2:6">
      <c r="B36" s="6"/>
      <c r="E36" s="35"/>
      <c r="F36" s="6"/>
    </row>
    <row r="37" spans="2:6">
      <c r="B37" s="6"/>
      <c r="E37" s="35"/>
      <c r="F37" s="6"/>
    </row>
    <row r="38" spans="2:6">
      <c r="B38" s="6"/>
      <c r="E38" s="35"/>
      <c r="F38" s="6"/>
    </row>
    <row r="39" spans="2:6">
      <c r="B39" s="6"/>
      <c r="E39" s="35"/>
      <c r="F39" s="6"/>
    </row>
    <row r="40" spans="2:6">
      <c r="B40" s="6"/>
      <c r="E40" s="35"/>
      <c r="F40" s="6"/>
    </row>
    <row r="41" spans="2:6">
      <c r="B41" s="6"/>
      <c r="E41" s="35"/>
      <c r="F41" s="6"/>
    </row>
    <row r="42" spans="2:6">
      <c r="B42" s="6"/>
      <c r="E42" s="35"/>
      <c r="F42" s="6"/>
    </row>
    <row r="43" spans="2:6">
      <c r="B43" s="6"/>
      <c r="E43" s="35"/>
      <c r="F43" s="6"/>
    </row>
    <row r="44" spans="2:6">
      <c r="B44" s="6"/>
      <c r="E44" s="35"/>
      <c r="F44" s="6"/>
    </row>
    <row r="45" spans="2:6">
      <c r="B45" s="6"/>
      <c r="E45" s="35"/>
      <c r="F45" s="6"/>
    </row>
    <row r="46" spans="2:6">
      <c r="B46" s="6"/>
      <c r="E46" s="35"/>
      <c r="F46" s="6"/>
    </row>
    <row r="47" spans="2:6">
      <c r="B47" s="6"/>
      <c r="E47" s="35"/>
      <c r="F47" s="6"/>
    </row>
    <row r="48" spans="2:6">
      <c r="B48" s="6"/>
      <c r="E48" s="35"/>
      <c r="F48" s="6"/>
    </row>
    <row r="49" spans="2:6">
      <c r="B49" s="6"/>
      <c r="E49" s="35"/>
      <c r="F49" s="6"/>
    </row>
    <row r="50" spans="2:6">
      <c r="B50" s="6"/>
      <c r="E50" s="35"/>
      <c r="F50" s="6"/>
    </row>
    <row r="51" spans="2:6">
      <c r="B51" s="6"/>
      <c r="E51" s="35"/>
      <c r="F51" s="6"/>
    </row>
    <row r="52" spans="2:6">
      <c r="B52" s="6"/>
      <c r="E52" s="35"/>
      <c r="F52" s="6"/>
    </row>
    <row r="53" spans="2:6">
      <c r="B53" s="6"/>
      <c r="E53" s="35"/>
      <c r="F53" s="6"/>
    </row>
    <row r="54" spans="2:6">
      <c r="B54" s="6"/>
      <c r="E54" s="35"/>
      <c r="F54" s="6"/>
    </row>
    <row r="55" spans="2:6">
      <c r="B55" s="6"/>
      <c r="E55" s="35"/>
      <c r="F55" s="6"/>
    </row>
    <row r="56" spans="2:6">
      <c r="B56" s="6"/>
      <c r="E56" s="35"/>
      <c r="F56" s="6"/>
    </row>
    <row r="57" spans="2:6">
      <c r="B57" s="6"/>
      <c r="E57" s="35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</sheetData>
  <phoneticPr fontId="8" type="noConversion"/>
  <hyperlinks>
    <hyperlink ref="P11" r:id="rId1" display="http://www.bav-astro.de/sfs/BAVM_link.php?BAVMnr=173"/>
    <hyperlink ref="P15" r:id="rId2" display="http://www.bav-astro.de/sfs/BAVM_link.php?BAVMnr=158"/>
    <hyperlink ref="P12" r:id="rId3" display="http://www.bav-astro.de/sfs/BAVM_link.php?BAVMnr=173"/>
    <hyperlink ref="P13" r:id="rId4" display="http://www.bav-astro.de/sfs/BAVM_link.php?BAVMnr=173"/>
    <hyperlink ref="P14" r:id="rId5" display="http://www.bav-astro.de/sfs/BAVM_link.php?BAVMnr=17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2024-02-11T05:31:29Z</dcterms:modified>
</cp:coreProperties>
</file>