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5947EE3-983E-4423-95D6-AEFC03B8C7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101" i="1" l="1"/>
  <c r="Q102" i="1"/>
  <c r="Q103" i="1"/>
  <c r="Q104" i="1"/>
  <c r="V102" i="1"/>
  <c r="V103" i="1"/>
  <c r="V104" i="1"/>
  <c r="V101" i="1"/>
  <c r="E97" i="1"/>
  <c r="F97" i="1"/>
  <c r="Q97" i="1"/>
  <c r="E98" i="1"/>
  <c r="F98" i="1"/>
  <c r="Q98" i="1"/>
  <c r="E99" i="1"/>
  <c r="F99" i="1"/>
  <c r="Q99" i="1"/>
  <c r="E100" i="1"/>
  <c r="F100" i="1"/>
  <c r="P100" i="1"/>
  <c r="S100" i="1" s="1"/>
  <c r="U100" i="1" s="1"/>
  <c r="Q100" i="1"/>
  <c r="E101" i="1"/>
  <c r="F101" i="1"/>
  <c r="E102" i="1"/>
  <c r="F102" i="1"/>
  <c r="E103" i="1"/>
  <c r="F103" i="1"/>
  <c r="E104" i="1"/>
  <c r="F104" i="1"/>
  <c r="E72" i="1"/>
  <c r="F72" i="1"/>
  <c r="D11" i="1"/>
  <c r="P101" i="1" s="1"/>
  <c r="S101" i="1" s="1"/>
  <c r="U101" i="1" s="1"/>
  <c r="X9" i="1"/>
  <c r="P49" i="1"/>
  <c r="S49" i="1" s="1"/>
  <c r="U49" i="1" s="1"/>
  <c r="D12" i="1"/>
  <c r="Q84" i="1"/>
  <c r="Q85" i="1"/>
  <c r="Q86" i="1"/>
  <c r="Q87" i="1"/>
  <c r="Q88" i="1"/>
  <c r="Q89" i="1"/>
  <c r="Q90" i="1"/>
  <c r="Q91" i="1"/>
  <c r="Q92" i="1"/>
  <c r="Q93" i="1"/>
  <c r="Q94" i="1"/>
  <c r="Q95" i="1"/>
  <c r="D13" i="1"/>
  <c r="E27" i="1"/>
  <c r="F27" i="1"/>
  <c r="E49" i="1"/>
  <c r="F49" i="1"/>
  <c r="I21" i="1"/>
  <c r="C21" i="1"/>
  <c r="X19" i="1"/>
  <c r="X80" i="1"/>
  <c r="X10" i="1"/>
  <c r="Q21" i="1"/>
  <c r="D9" i="1"/>
  <c r="C9" i="1"/>
  <c r="Q96" i="1"/>
  <c r="Q36" i="1"/>
  <c r="G49" i="2"/>
  <c r="C49" i="2"/>
  <c r="G48" i="2"/>
  <c r="C48" i="2"/>
  <c r="G47" i="2"/>
  <c r="C47" i="2"/>
  <c r="G46" i="2"/>
  <c r="C46" i="2"/>
  <c r="E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50" i="2"/>
  <c r="C5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50" i="2"/>
  <c r="D50" i="2"/>
  <c r="B50" i="2"/>
  <c r="A5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61" i="1"/>
  <c r="Q71" i="1"/>
  <c r="Q63" i="1"/>
  <c r="Q69" i="1"/>
  <c r="Q62" i="1"/>
  <c r="Q60" i="1"/>
  <c r="Q70" i="1"/>
  <c r="Q68" i="1"/>
  <c r="Q80" i="1"/>
  <c r="Q81" i="1"/>
  <c r="Q82" i="1"/>
  <c r="Q83" i="1"/>
  <c r="Q76" i="1"/>
  <c r="Q77" i="1"/>
  <c r="Q78" i="1"/>
  <c r="Q79" i="1"/>
  <c r="Q75" i="1"/>
  <c r="Q74" i="1"/>
  <c r="Q73" i="1"/>
  <c r="Q72" i="1"/>
  <c r="Q67" i="1"/>
  <c r="Q66" i="1"/>
  <c r="Q65" i="1"/>
  <c r="Q64" i="1"/>
  <c r="Q59" i="1"/>
  <c r="Q58" i="1"/>
  <c r="Q57" i="1"/>
  <c r="Q56" i="1"/>
  <c r="Q55" i="1"/>
  <c r="Q54" i="1"/>
  <c r="Q53" i="1"/>
  <c r="Q52" i="1"/>
  <c r="Q50" i="1"/>
  <c r="Q49" i="1"/>
  <c r="Q48" i="1"/>
  <c r="Q47" i="1"/>
  <c r="Q46" i="1"/>
  <c r="Q45" i="1"/>
  <c r="Q44" i="1"/>
  <c r="Q43" i="1"/>
  <c r="C7" i="1"/>
  <c r="E64" i="1"/>
  <c r="F64" i="1"/>
  <c r="C8" i="1"/>
  <c r="Q39" i="1"/>
  <c r="F16" i="1"/>
  <c r="F17" i="1" s="1"/>
  <c r="C17" i="1"/>
  <c r="Q22" i="1"/>
  <c r="Q23" i="1"/>
  <c r="Q24" i="1"/>
  <c r="Q27" i="1"/>
  <c r="Q25" i="1"/>
  <c r="Q26" i="1"/>
  <c r="Q28" i="1"/>
  <c r="Q29" i="1"/>
  <c r="Q30" i="1"/>
  <c r="Q31" i="1"/>
  <c r="Q32" i="1"/>
  <c r="Q33" i="1"/>
  <c r="Q34" i="1"/>
  <c r="Q35" i="1"/>
  <c r="Q37" i="1"/>
  <c r="Q38" i="1"/>
  <c r="Q40" i="1"/>
  <c r="Q41" i="1"/>
  <c r="Q42" i="1"/>
  <c r="Q51" i="1"/>
  <c r="G99" i="1"/>
  <c r="K99" i="1"/>
  <c r="G98" i="1"/>
  <c r="K98" i="1"/>
  <c r="G97" i="1"/>
  <c r="K97" i="1"/>
  <c r="P97" i="1"/>
  <c r="S97" i="1"/>
  <c r="U97" i="1" s="1"/>
  <c r="G100" i="1"/>
  <c r="K100" i="1"/>
  <c r="G92" i="1"/>
  <c r="K92" i="1"/>
  <c r="E52" i="1"/>
  <c r="F52" i="1"/>
  <c r="G88" i="1"/>
  <c r="K88" i="1"/>
  <c r="E47" i="1"/>
  <c r="F47" i="1"/>
  <c r="E82" i="1"/>
  <c r="F82" i="1"/>
  <c r="E21" i="2"/>
  <c r="E42" i="2"/>
  <c r="E43" i="2"/>
  <c r="E30" i="1"/>
  <c r="F30" i="1"/>
  <c r="P30" i="1"/>
  <c r="S30" i="1" s="1"/>
  <c r="U30" i="1" s="1"/>
  <c r="D14" i="1"/>
  <c r="E33" i="2"/>
  <c r="E26" i="1"/>
  <c r="F26" i="1"/>
  <c r="E80" i="1"/>
  <c r="F80" i="1"/>
  <c r="P80" i="1"/>
  <c r="S80" i="1" s="1"/>
  <c r="U80" i="1" s="1"/>
  <c r="G57" i="1"/>
  <c r="K57" i="1"/>
  <c r="G64" i="1"/>
  <c r="K64" i="1"/>
  <c r="E70" i="1"/>
  <c r="F70" i="1"/>
  <c r="G72" i="1"/>
  <c r="K72" i="1"/>
  <c r="G27" i="1"/>
  <c r="K27" i="1"/>
  <c r="G30" i="1"/>
  <c r="K30" i="1"/>
  <c r="G49" i="1"/>
  <c r="K49" i="1"/>
  <c r="G52" i="1"/>
  <c r="K52" i="1"/>
  <c r="E55" i="1"/>
  <c r="F55" i="1"/>
  <c r="E28" i="1"/>
  <c r="F28" i="1"/>
  <c r="E21" i="1"/>
  <c r="F21" i="1"/>
  <c r="G77" i="1"/>
  <c r="K77" i="1"/>
  <c r="E83" i="1"/>
  <c r="F83" i="1"/>
  <c r="E86" i="1"/>
  <c r="F86" i="1"/>
  <c r="P86" i="1"/>
  <c r="E90" i="1"/>
  <c r="F90" i="1"/>
  <c r="P90" i="1"/>
  <c r="S90" i="1"/>
  <c r="U90" i="1"/>
  <c r="E94" i="1"/>
  <c r="F94" i="1"/>
  <c r="E65" i="1"/>
  <c r="F65" i="1"/>
  <c r="E73" i="1"/>
  <c r="F73" i="1"/>
  <c r="G75" i="1"/>
  <c r="K75" i="1"/>
  <c r="E59" i="1"/>
  <c r="F59" i="1"/>
  <c r="G39" i="1"/>
  <c r="K39" i="1"/>
  <c r="E78" i="1"/>
  <c r="F78" i="1"/>
  <c r="G80" i="1"/>
  <c r="K80" i="1"/>
  <c r="G86" i="1"/>
  <c r="K86" i="1"/>
  <c r="G90" i="1"/>
  <c r="K90" i="1"/>
  <c r="G94" i="1"/>
  <c r="K94" i="1"/>
  <c r="G58" i="1"/>
  <c r="K58" i="1"/>
  <c r="E68" i="1"/>
  <c r="F68" i="1"/>
  <c r="P68" i="1"/>
  <c r="S68" i="1" s="1"/>
  <c r="U68" i="1" s="1"/>
  <c r="G70" i="1"/>
  <c r="K70" i="1"/>
  <c r="E76" i="1"/>
  <c r="F76" i="1"/>
  <c r="P76" i="1"/>
  <c r="S76" i="1" s="1"/>
  <c r="U76" i="1" s="1"/>
  <c r="E31" i="1"/>
  <c r="F31" i="1"/>
  <c r="P31" i="1"/>
  <c r="S31" i="1"/>
  <c r="U31" i="1" s="1"/>
  <c r="E25" i="1"/>
  <c r="F25" i="1"/>
  <c r="E38" i="1"/>
  <c r="F38" i="1"/>
  <c r="E46" i="1"/>
  <c r="F46" i="1"/>
  <c r="E48" i="1"/>
  <c r="E50" i="1"/>
  <c r="F50" i="1"/>
  <c r="P50" i="1"/>
  <c r="E53" i="1"/>
  <c r="F53" i="1"/>
  <c r="P53" i="1"/>
  <c r="S53" i="1"/>
  <c r="U53" i="1"/>
  <c r="E81" i="1"/>
  <c r="F81" i="1"/>
  <c r="G83" i="1"/>
  <c r="K83" i="1"/>
  <c r="E87" i="1"/>
  <c r="F87" i="1"/>
  <c r="E91" i="1"/>
  <c r="F91" i="1"/>
  <c r="G91" i="1"/>
  <c r="K91" i="1"/>
  <c r="E95" i="1"/>
  <c r="F95" i="1"/>
  <c r="E63" i="1"/>
  <c r="F63" i="1"/>
  <c r="G65" i="1"/>
  <c r="K65" i="1"/>
  <c r="E71" i="1"/>
  <c r="F71" i="1"/>
  <c r="G73" i="1"/>
  <c r="K73" i="1"/>
  <c r="G53" i="1"/>
  <c r="K53" i="1"/>
  <c r="E56" i="1"/>
  <c r="E60" i="1"/>
  <c r="F60" i="1"/>
  <c r="E23" i="1"/>
  <c r="F23" i="1"/>
  <c r="E33" i="1"/>
  <c r="F33" i="1"/>
  <c r="E37" i="1"/>
  <c r="F37" i="1"/>
  <c r="P37" i="1"/>
  <c r="S37" i="1" s="1"/>
  <c r="U37" i="1" s="1"/>
  <c r="E40" i="1"/>
  <c r="E51" i="1"/>
  <c r="F51" i="1"/>
  <c r="E43" i="1"/>
  <c r="F43" i="1"/>
  <c r="E45" i="1"/>
  <c r="F45" i="1"/>
  <c r="E36" i="1"/>
  <c r="F36" i="1"/>
  <c r="E84" i="1"/>
  <c r="F84" i="1"/>
  <c r="P84" i="1"/>
  <c r="S84" i="1"/>
  <c r="U84" i="1"/>
  <c r="G78" i="1"/>
  <c r="K78" i="1"/>
  <c r="E96" i="1"/>
  <c r="F96" i="1"/>
  <c r="G87" i="1"/>
  <c r="K87" i="1"/>
  <c r="G95" i="1"/>
  <c r="K95" i="1"/>
  <c r="G59" i="1"/>
  <c r="K59" i="1"/>
  <c r="E66" i="1"/>
  <c r="F66" i="1"/>
  <c r="E74" i="1"/>
  <c r="F74" i="1"/>
  <c r="G76" i="1"/>
  <c r="K76" i="1"/>
  <c r="G31" i="1"/>
  <c r="K31" i="1"/>
  <c r="G25" i="1"/>
  <c r="J25" i="1"/>
  <c r="G38" i="1"/>
  <c r="J38" i="1"/>
  <c r="G84" i="1"/>
  <c r="K84" i="1"/>
  <c r="E79" i="1"/>
  <c r="F79" i="1"/>
  <c r="G81" i="1"/>
  <c r="K81" i="1"/>
  <c r="E88" i="1"/>
  <c r="F88" i="1"/>
  <c r="E92" i="1"/>
  <c r="F92" i="1"/>
  <c r="P92" i="1"/>
  <c r="S92" i="1"/>
  <c r="U92" i="1" s="1"/>
  <c r="E69" i="1"/>
  <c r="F69" i="1"/>
  <c r="E54" i="1"/>
  <c r="F54" i="1"/>
  <c r="P54" i="1"/>
  <c r="S54" i="1" s="1"/>
  <c r="U54" i="1" s="1"/>
  <c r="E57" i="1"/>
  <c r="F57" i="1"/>
  <c r="P57" i="1"/>
  <c r="S57" i="1"/>
  <c r="U57" i="1" s="1"/>
  <c r="E61" i="1"/>
  <c r="F61" i="1"/>
  <c r="G23" i="1"/>
  <c r="K23" i="1"/>
  <c r="G37" i="1"/>
  <c r="K37" i="1"/>
  <c r="G51" i="1"/>
  <c r="K51" i="1"/>
  <c r="G43" i="1"/>
  <c r="K43" i="1"/>
  <c r="G45" i="1"/>
  <c r="K45" i="1"/>
  <c r="E29" i="1"/>
  <c r="F29" i="1"/>
  <c r="P29" i="1"/>
  <c r="S29" i="1" s="1"/>
  <c r="U29" i="1" s="1"/>
  <c r="E77" i="1"/>
  <c r="F77" i="1"/>
  <c r="G79" i="1"/>
  <c r="K79" i="1"/>
  <c r="E85" i="1"/>
  <c r="F85" i="1"/>
  <c r="P85" i="1"/>
  <c r="S85" i="1"/>
  <c r="U85" i="1" s="1"/>
  <c r="E89" i="1"/>
  <c r="F89" i="1"/>
  <c r="E93" i="1"/>
  <c r="F93" i="1"/>
  <c r="E67" i="1"/>
  <c r="F67" i="1"/>
  <c r="E75" i="1"/>
  <c r="F75" i="1"/>
  <c r="E58" i="1"/>
  <c r="F58" i="1"/>
  <c r="P58" i="1"/>
  <c r="S58" i="1"/>
  <c r="U58" i="1"/>
  <c r="E62" i="1"/>
  <c r="F62" i="1"/>
  <c r="E22" i="1"/>
  <c r="F22" i="1"/>
  <c r="P22" i="1"/>
  <c r="S22" i="1" s="1"/>
  <c r="U22" i="1" s="1"/>
  <c r="E24" i="1"/>
  <c r="F24" i="1"/>
  <c r="P24" i="1"/>
  <c r="S24" i="1" s="1"/>
  <c r="U24" i="1" s="1"/>
  <c r="E35" i="1"/>
  <c r="F35" i="1"/>
  <c r="E41" i="1"/>
  <c r="F41" i="1"/>
  <c r="E42" i="1"/>
  <c r="F42" i="1"/>
  <c r="E39" i="1"/>
  <c r="F39" i="1"/>
  <c r="E44" i="1"/>
  <c r="F44" i="1"/>
  <c r="P44" i="1"/>
  <c r="S44" i="1"/>
  <c r="U44" i="1" s="1"/>
  <c r="E34" i="1"/>
  <c r="F34" i="1"/>
  <c r="E34" i="2"/>
  <c r="E32" i="1"/>
  <c r="P87" i="1"/>
  <c r="S87" i="1"/>
  <c r="U87" i="1"/>
  <c r="P88" i="1"/>
  <c r="S88" i="1"/>
  <c r="U88" i="1"/>
  <c r="G33" i="1"/>
  <c r="K33" i="1"/>
  <c r="G63" i="1"/>
  <c r="K63" i="1"/>
  <c r="G46" i="1"/>
  <c r="K46" i="1"/>
  <c r="F56" i="1"/>
  <c r="E38" i="2"/>
  <c r="G42" i="1"/>
  <c r="K42" i="1"/>
  <c r="G26" i="1"/>
  <c r="J26" i="1"/>
  <c r="G93" i="1"/>
  <c r="K93" i="1"/>
  <c r="E28" i="2"/>
  <c r="E37" i="2"/>
  <c r="E13" i="2"/>
  <c r="G74" i="1"/>
  <c r="K74" i="1"/>
  <c r="G54" i="1"/>
  <c r="K54" i="1"/>
  <c r="G41" i="1"/>
  <c r="K41" i="1"/>
  <c r="G67" i="1"/>
  <c r="K67" i="1"/>
  <c r="G29" i="1"/>
  <c r="I29" i="1"/>
  <c r="G89" i="1"/>
  <c r="K89" i="1"/>
  <c r="E32" i="2"/>
  <c r="E45" i="2"/>
  <c r="E39" i="2"/>
  <c r="G60" i="1"/>
  <c r="K60" i="1"/>
  <c r="F32" i="1"/>
  <c r="E16" i="2"/>
  <c r="G69" i="1"/>
  <c r="K69" i="1"/>
  <c r="G36" i="1"/>
  <c r="I36" i="1"/>
  <c r="G35" i="1"/>
  <c r="K35" i="1"/>
  <c r="G85" i="1"/>
  <c r="K85" i="1"/>
  <c r="E19" i="2"/>
  <c r="E40" i="2"/>
  <c r="E24" i="2"/>
  <c r="E44" i="2"/>
  <c r="F40" i="1"/>
  <c r="E23" i="2"/>
  <c r="G24" i="1"/>
  <c r="J24" i="1"/>
  <c r="G82" i="1"/>
  <c r="K82" i="1"/>
  <c r="E47" i="2"/>
  <c r="E41" i="2"/>
  <c r="E35" i="2"/>
  <c r="E22" i="2"/>
  <c r="P96" i="1"/>
  <c r="S96" i="1"/>
  <c r="U96" i="1"/>
  <c r="G96" i="1"/>
  <c r="K96" i="1"/>
  <c r="G22" i="1"/>
  <c r="K22" i="1"/>
  <c r="G66" i="1"/>
  <c r="K66" i="1"/>
  <c r="E27" i="2"/>
  <c r="E26" i="2"/>
  <c r="E25" i="2"/>
  <c r="E15" i="2"/>
  <c r="G34" i="1"/>
  <c r="K34" i="1"/>
  <c r="S86" i="1"/>
  <c r="U86" i="1"/>
  <c r="E18" i="2"/>
  <c r="E20" i="2"/>
  <c r="E50" i="2"/>
  <c r="E11" i="2"/>
  <c r="G71" i="1"/>
  <c r="K71" i="1"/>
  <c r="G50" i="1"/>
  <c r="K50" i="1"/>
  <c r="G68" i="1"/>
  <c r="K68" i="1"/>
  <c r="F48" i="1"/>
  <c r="E30" i="2"/>
  <c r="G62" i="1"/>
  <c r="K62" i="1"/>
  <c r="G44" i="1"/>
  <c r="K44" i="1"/>
  <c r="G55" i="1"/>
  <c r="K55" i="1"/>
  <c r="G47" i="1"/>
  <c r="K47" i="1"/>
  <c r="G61" i="1"/>
  <c r="K61" i="1"/>
  <c r="E49" i="2"/>
  <c r="E48" i="2"/>
  <c r="E36" i="2"/>
  <c r="E17" i="2"/>
  <c r="E29" i="2"/>
  <c r="E12" i="2"/>
  <c r="E14" i="2"/>
  <c r="P32" i="1"/>
  <c r="S32" i="1" s="1"/>
  <c r="U32" i="1" s="1"/>
  <c r="G32" i="1"/>
  <c r="K32" i="1"/>
  <c r="G48" i="1"/>
  <c r="K48" i="1"/>
  <c r="S50" i="1"/>
  <c r="U50" i="1" s="1"/>
  <c r="G40" i="1"/>
  <c r="K40" i="1"/>
  <c r="G56" i="1"/>
  <c r="D16" i="1"/>
  <c r="D19" i="1" s="1"/>
  <c r="K56" i="1"/>
  <c r="P41" i="1"/>
  <c r="S41" i="1" s="1"/>
  <c r="U41" i="1" s="1"/>
  <c r="P93" i="1"/>
  <c r="S93" i="1"/>
  <c r="U93" i="1"/>
  <c r="P79" i="1"/>
  <c r="S79" i="1"/>
  <c r="U79" i="1"/>
  <c r="P66" i="1"/>
  <c r="S66" i="1" s="1"/>
  <c r="U66" i="1" s="1"/>
  <c r="P43" i="1"/>
  <c r="S43" i="1"/>
  <c r="U43" i="1" s="1"/>
  <c r="P60" i="1"/>
  <c r="S60" i="1"/>
  <c r="U60" i="1" s="1"/>
  <c r="P71" i="1"/>
  <c r="S71" i="1"/>
  <c r="U71" i="1"/>
  <c r="P95" i="1"/>
  <c r="S95" i="1" s="1"/>
  <c r="U95" i="1" s="1"/>
  <c r="P38" i="1"/>
  <c r="S38" i="1" s="1"/>
  <c r="U38" i="1" s="1"/>
  <c r="P59" i="1"/>
  <c r="S59" i="1"/>
  <c r="U59" i="1"/>
  <c r="P65" i="1"/>
  <c r="S65" i="1"/>
  <c r="U65" i="1"/>
  <c r="P28" i="1"/>
  <c r="S28" i="1" s="1"/>
  <c r="U28" i="1" s="1"/>
  <c r="P70" i="1"/>
  <c r="S70" i="1"/>
  <c r="U70" i="1" s="1"/>
  <c r="P47" i="1"/>
  <c r="S47" i="1"/>
  <c r="U47" i="1" s="1"/>
  <c r="P99" i="1"/>
  <c r="S99" i="1" s="1"/>
  <c r="U99" i="1" s="1"/>
  <c r="X3" i="1"/>
  <c r="X11" i="1"/>
  <c r="X20" i="1"/>
  <c r="P27" i="1"/>
  <c r="S27" i="1" s="1"/>
  <c r="U27" i="1" s="1"/>
  <c r="P39" i="1"/>
  <c r="S39" i="1"/>
  <c r="U39" i="1"/>
  <c r="P75" i="1"/>
  <c r="S75" i="1"/>
  <c r="U75" i="1"/>
  <c r="P36" i="1"/>
  <c r="S36" i="1" s="1"/>
  <c r="U36" i="1" s="1"/>
  <c r="P33" i="1"/>
  <c r="S33" i="1"/>
  <c r="U33" i="1" s="1"/>
  <c r="P26" i="1"/>
  <c r="S26" i="1"/>
  <c r="U26" i="1" s="1"/>
  <c r="X5" i="1"/>
  <c r="X13" i="1"/>
  <c r="X18" i="1"/>
  <c r="P72" i="1"/>
  <c r="S72" i="1" s="1"/>
  <c r="U72" i="1" s="1"/>
  <c r="P48" i="1"/>
  <c r="S48" i="1" s="1"/>
  <c r="U48" i="1" s="1"/>
  <c r="P91" i="1"/>
  <c r="S91" i="1"/>
  <c r="U91" i="1"/>
  <c r="P35" i="1"/>
  <c r="S35" i="1"/>
  <c r="U35" i="1"/>
  <c r="P89" i="1"/>
  <c r="S89" i="1" s="1"/>
  <c r="U89" i="1" s="1"/>
  <c r="P77" i="1"/>
  <c r="S77" i="1"/>
  <c r="U77" i="1" s="1"/>
  <c r="P61" i="1"/>
  <c r="S61" i="1"/>
  <c r="U61" i="1" s="1"/>
  <c r="P51" i="1"/>
  <c r="S51" i="1" s="1"/>
  <c r="U51" i="1" s="1"/>
  <c r="P81" i="1"/>
  <c r="S81" i="1" s="1"/>
  <c r="U81" i="1" s="1"/>
  <c r="P25" i="1"/>
  <c r="S25" i="1" s="1"/>
  <c r="U25" i="1" s="1"/>
  <c r="P78" i="1"/>
  <c r="S78" i="1"/>
  <c r="U78" i="1"/>
  <c r="P94" i="1"/>
  <c r="S94" i="1"/>
  <c r="U94" i="1"/>
  <c r="P21" i="1"/>
  <c r="S21" i="1" s="1"/>
  <c r="U21" i="1" s="1"/>
  <c r="P55" i="1"/>
  <c r="S55" i="1"/>
  <c r="U55" i="1" s="1"/>
  <c r="P98" i="1"/>
  <c r="S98" i="1"/>
  <c r="U98" i="1" s="1"/>
  <c r="X6" i="1"/>
  <c r="X14" i="1"/>
  <c r="P40" i="1"/>
  <c r="S40" i="1"/>
  <c r="U40" i="1" s="1"/>
  <c r="P34" i="1"/>
  <c r="S34" i="1"/>
  <c r="U34" i="1" s="1"/>
  <c r="P62" i="1"/>
  <c r="S62" i="1" s="1"/>
  <c r="U62" i="1" s="1"/>
  <c r="P69" i="1"/>
  <c r="S69" i="1" s="1"/>
  <c r="U69" i="1" s="1"/>
  <c r="P83" i="1"/>
  <c r="S83" i="1" s="1"/>
  <c r="U83" i="1" s="1"/>
  <c r="P64" i="1"/>
  <c r="S64" i="1"/>
  <c r="U64" i="1"/>
  <c r="X7" i="1"/>
  <c r="X15" i="1"/>
  <c r="P56" i="1"/>
  <c r="S56" i="1" s="1"/>
  <c r="U56" i="1" s="1"/>
  <c r="D15" i="1"/>
  <c r="C19" i="1" s="1"/>
  <c r="P42" i="1"/>
  <c r="S42" i="1" s="1"/>
  <c r="U42" i="1" s="1"/>
  <c r="P67" i="1"/>
  <c r="S67" i="1" s="1"/>
  <c r="U67" i="1" s="1"/>
  <c r="P74" i="1"/>
  <c r="S74" i="1" s="1"/>
  <c r="U74" i="1" s="1"/>
  <c r="P45" i="1"/>
  <c r="S45" i="1"/>
  <c r="U45" i="1"/>
  <c r="P23" i="1"/>
  <c r="S23" i="1" s="1"/>
  <c r="U23" i="1" s="1"/>
  <c r="P63" i="1"/>
  <c r="S63" i="1"/>
  <c r="U63" i="1" s="1"/>
  <c r="P46" i="1"/>
  <c r="S46" i="1"/>
  <c r="U46" i="1" s="1"/>
  <c r="P73" i="1"/>
  <c r="S73" i="1"/>
  <c r="U73" i="1" s="1"/>
  <c r="P82" i="1"/>
  <c r="S82" i="1" s="1"/>
  <c r="U82" i="1" s="1"/>
  <c r="P52" i="1"/>
  <c r="S52" i="1" s="1"/>
  <c r="U52" i="1" s="1"/>
  <c r="X8" i="1"/>
  <c r="X16" i="1"/>
  <c r="C12" i="1"/>
  <c r="C11" i="1"/>
  <c r="O79" i="1" l="1"/>
  <c r="O83" i="1"/>
  <c r="O40" i="1"/>
  <c r="O67" i="1"/>
  <c r="O96" i="1"/>
  <c r="O46" i="1"/>
  <c r="O85" i="1"/>
  <c r="O34" i="1"/>
  <c r="O68" i="1"/>
  <c r="O90" i="1"/>
  <c r="O41" i="1"/>
  <c r="O99" i="1"/>
  <c r="O73" i="1"/>
  <c r="O87" i="1"/>
  <c r="O22" i="1"/>
  <c r="O66" i="1"/>
  <c r="O93" i="1"/>
  <c r="O71" i="1"/>
  <c r="O89" i="1"/>
  <c r="O59" i="1"/>
  <c r="O94" i="1"/>
  <c r="O55" i="1"/>
  <c r="O27" i="1"/>
  <c r="O57" i="1"/>
  <c r="O50" i="1"/>
  <c r="O64" i="1"/>
  <c r="O49" i="1"/>
  <c r="C15" i="1"/>
  <c r="O75" i="1"/>
  <c r="O29" i="1"/>
  <c r="O61" i="1"/>
  <c r="O100" i="1"/>
  <c r="O36" i="1"/>
  <c r="O60" i="1"/>
  <c r="O70" i="1"/>
  <c r="O97" i="1"/>
  <c r="O31" i="1"/>
  <c r="O47" i="1"/>
  <c r="O77" i="1"/>
  <c r="O84" i="1"/>
  <c r="O80" i="1"/>
  <c r="O48" i="1"/>
  <c r="O72" i="1"/>
  <c r="O82" i="1"/>
  <c r="O38" i="1"/>
  <c r="O58" i="1"/>
  <c r="O54" i="1"/>
  <c r="O51" i="1"/>
  <c r="O43" i="1"/>
  <c r="O23" i="1"/>
  <c r="O24" i="1"/>
  <c r="O74" i="1"/>
  <c r="O78" i="1"/>
  <c r="O98" i="1"/>
  <c r="O65" i="1"/>
  <c r="O86" i="1"/>
  <c r="O25" i="1"/>
  <c r="O95" i="1"/>
  <c r="O45" i="1"/>
  <c r="O30" i="1"/>
  <c r="O26" i="1"/>
  <c r="O91" i="1"/>
  <c r="O92" i="1"/>
  <c r="O35" i="1"/>
  <c r="O88" i="1"/>
  <c r="O44" i="1"/>
  <c r="O42" i="1"/>
  <c r="O69" i="1"/>
  <c r="O37" i="1"/>
  <c r="O33" i="1"/>
  <c r="O53" i="1"/>
  <c r="O63" i="1"/>
  <c r="O81" i="1"/>
  <c r="O28" i="1"/>
  <c r="O32" i="1"/>
  <c r="O56" i="1"/>
  <c r="O62" i="1"/>
  <c r="O52" i="1"/>
  <c r="O76" i="1"/>
  <c r="O39" i="1"/>
  <c r="C16" i="1"/>
  <c r="D18" i="1" s="1"/>
  <c r="X2" i="1"/>
  <c r="P104" i="1"/>
  <c r="S104" i="1" s="1"/>
  <c r="U104" i="1" s="1"/>
  <c r="P102" i="1"/>
  <c r="S102" i="1" s="1"/>
  <c r="U102" i="1" s="1"/>
  <c r="E14" i="1" s="1"/>
  <c r="X4" i="1"/>
  <c r="X12" i="1"/>
  <c r="X17" i="1"/>
  <c r="P103" i="1"/>
  <c r="S103" i="1" s="1"/>
  <c r="U103" i="1" s="1"/>
  <c r="C18" i="1" l="1"/>
  <c r="F18" i="1"/>
  <c r="F19" i="1" s="1"/>
</calcChain>
</file>

<file path=xl/sharedStrings.xml><?xml version="1.0" encoding="utf-8"?>
<sst xmlns="http://schemas.openxmlformats.org/spreadsheetml/2006/main" count="624" uniqueCount="220">
  <si>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</si>
  <si>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</si>
  <si>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</si>
  <si>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</si>
  <si>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</si>
  <si>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</si>
  <si>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</si>
  <si>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</si>
  <si>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</si>
  <si>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</si>
  <si>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</si>
  <si>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</si>
  <si>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</si>
  <si>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</si>
  <si>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</si>
  <si>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</si>
  <si>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</si>
  <si>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</si>
  <si>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</si>
  <si>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</si>
  <si>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</si>
  <si>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</si>
  <si>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</si>
  <si>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</si>
  <si>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</si>
  <si>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</t>
  </si>
  <si>
    <t>K</t>
  </si>
  <si>
    <t>B</t>
  </si>
  <si>
    <t>Nelson</t>
  </si>
  <si>
    <t>Kreiner 2003</t>
  </si>
  <si>
    <t>ROTSE</t>
  </si>
  <si>
    <t>?</t>
  </si>
  <si>
    <t>IBVS 5438</t>
  </si>
  <si>
    <t>IBVS 5602</t>
  </si>
  <si>
    <t>IBVS 5592</t>
  </si>
  <si>
    <t>II</t>
  </si>
  <si>
    <t>IBVS 5623</t>
  </si>
  <si>
    <t>I</t>
  </si>
  <si>
    <t>E.Bl„ttler BBS 127</t>
  </si>
  <si>
    <t>IBVS 5672</t>
  </si>
  <si>
    <t># of data points:</t>
  </si>
  <si>
    <t>QW Gem / GSC 01906-00398</t>
  </si>
  <si>
    <t>My time zone &gt;&gt;&gt;&gt;&gt;</t>
  </si>
  <si>
    <t>(PST=8, PDT=MDT=7, MDT=CST=6, etc.)</t>
  </si>
  <si>
    <t>JD today</t>
  </si>
  <si>
    <t>New Cycle</t>
  </si>
  <si>
    <t>Next ToM</t>
  </si>
  <si>
    <t>IBVS 5814</t>
  </si>
  <si>
    <t>Start of linear fit &gt;&gt;&gt;&gt;&gt;&gt;&gt;&gt;&gt;&gt;&gt;&gt;&gt;&gt;&gt;&gt;&gt;&gt;&gt;&gt;&gt;</t>
  </si>
  <si>
    <t>IBVS 5874</t>
  </si>
  <si>
    <t>IBVS 5875</t>
  </si>
  <si>
    <t>OEJV 0074</t>
  </si>
  <si>
    <t>vis</t>
  </si>
  <si>
    <t>IBVS 5917</t>
  </si>
  <si>
    <t>IBVS 5938</t>
  </si>
  <si>
    <t>Add cycle</t>
  </si>
  <si>
    <t>Old Cycle</t>
  </si>
  <si>
    <t>EW/KW</t>
  </si>
  <si>
    <t>IBVS 6018</t>
  </si>
  <si>
    <t>JAVSO..38...85</t>
  </si>
  <si>
    <t>OEJV 0160</t>
  </si>
  <si>
    <t>OEJV</t>
  </si>
  <si>
    <t>OEJV 0165</t>
  </si>
  <si>
    <t>OEJV 0168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</si>
  <si>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</si>
  <si>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</si>
  <si>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</si>
  <si>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</si>
  <si>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</si>
  <si>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</si>
  <si>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</si>
  <si>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</si>
  <si>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</si>
  <si>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</si>
  <si>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</si>
  <si>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</si>
  <si>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2451927.3928 </t>
  </si>
  <si>
    <t> 17.01.2001 21:25 </t>
  </si>
  <si>
    <t> -0.0021 </t>
  </si>
  <si>
    <t>E </t>
  </si>
  <si>
    <t> M.Drozdz et al. </t>
  </si>
  <si>
    <t>IBVS 5623 </t>
  </si>
  <si>
    <t>2451927.5723 </t>
  </si>
  <si>
    <t> 18.01.2001 01:44 </t>
  </si>
  <si>
    <t> -0.0016 </t>
  </si>
  <si>
    <t>2452308.2570 </t>
  </si>
  <si>
    <t> 02.02.2002 18:10 </t>
  </si>
  <si>
    <t> -0.0009 </t>
  </si>
  <si>
    <t> E.Blättler </t>
  </si>
  <si>
    <t> BBS 127 </t>
  </si>
  <si>
    <t>2452655.2764 </t>
  </si>
  <si>
    <t> 15.01.2003 18:38 </t>
  </si>
  <si>
    <t> BBS 129 </t>
  </si>
  <si>
    <t>2452689.2991 </t>
  </si>
  <si>
    <t> 18.02.2003 19:10 </t>
  </si>
  <si>
    <t> -0.0010 </t>
  </si>
  <si>
    <t>2452694.314 </t>
  </si>
  <si>
    <t> 23.02.2003 19:32 </t>
  </si>
  <si>
    <t> 0.000 </t>
  </si>
  <si>
    <t> R.Diethelm </t>
  </si>
  <si>
    <t>2453040.6172 </t>
  </si>
  <si>
    <t> 05.02.2004 02:48 </t>
  </si>
  <si>
    <t> R.Nelson </t>
  </si>
  <si>
    <t>IBVS 5602 </t>
  </si>
  <si>
    <t>2453057.2714 </t>
  </si>
  <si>
    <t> 21.02.2004 18:30 </t>
  </si>
  <si>
    <t> 0.0007 </t>
  </si>
  <si>
    <t> T.Krajci </t>
  </si>
  <si>
    <t>IBVS 5592 </t>
  </si>
  <si>
    <t>2453697.7729 </t>
  </si>
  <si>
    <t> 23.11.2005 06:32 </t>
  </si>
  <si>
    <t> 0.0004 </t>
  </si>
  <si>
    <t>IBVS 5672 </t>
  </si>
  <si>
    <t>2454417.2420 </t>
  </si>
  <si>
    <t> 12.11.2007 17:48 </t>
  </si>
  <si>
    <t> 0.0018 </t>
  </si>
  <si>
    <t>C </t>
  </si>
  <si>
    <t>Ic</t>
  </si>
  <si>
    <t> K.Nakajima </t>
  </si>
  <si>
    <t>VSB 46 </t>
  </si>
  <si>
    <t>2454454.8445 </t>
  </si>
  <si>
    <t> 20.12.2007 08:16 </t>
  </si>
  <si>
    <t> 0.0015 </t>
  </si>
  <si>
    <t> S.Dvorak </t>
  </si>
  <si>
    <t>IBVS 5814 </t>
  </si>
  <si>
    <t>2454506.4138 </t>
  </si>
  <si>
    <t> 09.02.2008 21:55 </t>
  </si>
  <si>
    <t> 0.0012 </t>
  </si>
  <si>
    <t> M.Wischnewski </t>
  </si>
  <si>
    <t>BAVM 201 </t>
  </si>
  <si>
    <t>2454544.3743 </t>
  </si>
  <si>
    <t> 18.03.2008 20:58 </t>
  </si>
  <si>
    <t>ns</t>
  </si>
  <si>
    <t> F.Salvaggio </t>
  </si>
  <si>
    <t> JAAVSO 38;85 </t>
  </si>
  <si>
    <t>2454544.3746 </t>
  </si>
  <si>
    <t> 18.03.2008 20:59 </t>
  </si>
  <si>
    <t> 0.0010 </t>
  </si>
  <si>
    <t> G.Marino et al. </t>
  </si>
  <si>
    <t>IBVS 5917 </t>
  </si>
  <si>
    <t>2454870.620 </t>
  </si>
  <si>
    <t> 08.02.2009 02:52 </t>
  </si>
  <si>
    <t>IBVS 5938 </t>
  </si>
  <si>
    <t>2455628.40954 </t>
  </si>
  <si>
    <t> 07.03.2011 21:49 </t>
  </si>
  <si>
    <t> -0.00025 </t>
  </si>
  <si>
    <t> M.Lehky </t>
  </si>
  <si>
    <t>OEJV 0160 </t>
  </si>
  <si>
    <t>2455628.40968 </t>
  </si>
  <si>
    <t> -0.00011 </t>
  </si>
  <si>
    <t>R</t>
  </si>
  <si>
    <t>2455628.40989 </t>
  </si>
  <si>
    <t> 07.03.2011 21:50 </t>
  </si>
  <si>
    <t> 0.00010 </t>
  </si>
  <si>
    <t>2455628.40994 </t>
  </si>
  <si>
    <t> 0.00015 </t>
  </si>
  <si>
    <t>2455835.58258 </t>
  </si>
  <si>
    <t> 01.10.2011 01:58 </t>
  </si>
  <si>
    <t> -0.00096 </t>
  </si>
  <si>
    <t>2455835.58303 </t>
  </si>
  <si>
    <t> 01.10.2011 01:59 </t>
  </si>
  <si>
    <t> -0.00051 </t>
  </si>
  <si>
    <t>2455835.5832 </t>
  </si>
  <si>
    <t> -0.0003 </t>
  </si>
  <si>
    <t>2455835.58331 </t>
  </si>
  <si>
    <t> -0.00023 </t>
  </si>
  <si>
    <t>2455907.7418 </t>
  </si>
  <si>
    <t> 12.12.2011 05:48 </t>
  </si>
  <si>
    <t> -0.0034 </t>
  </si>
  <si>
    <t>IBVS 6018 </t>
  </si>
  <si>
    <t>2455969.3412 </t>
  </si>
  <si>
    <t> 11.02.2012 20:11 </t>
  </si>
  <si>
    <t>2455969.34135 </t>
  </si>
  <si>
    <t> -0.00087 </t>
  </si>
  <si>
    <t>2455969.34142 </t>
  </si>
  <si>
    <t> -0.00080 </t>
  </si>
  <si>
    <t>2455969.3415 </t>
  </si>
  <si>
    <t> -0.0007 </t>
  </si>
  <si>
    <t>2455990.29205 </t>
  </si>
  <si>
    <t> 03.03.2012 19:00 </t>
  </si>
  <si>
    <t> -0.00032 </t>
  </si>
  <si>
    <t>2455990.29216 </t>
  </si>
  <si>
    <t> -0.00021 </t>
  </si>
  <si>
    <t>2455990.29232 </t>
  </si>
  <si>
    <t> -0.00005 </t>
  </si>
  <si>
    <t>2455990.29253 </t>
  </si>
  <si>
    <t> 03.03.2012 19:01 </t>
  </si>
  <si>
    <t> 0.00016 </t>
  </si>
  <si>
    <t>2456376.34955 </t>
  </si>
  <si>
    <t> 24.03.2013 20:23 </t>
  </si>
  <si>
    <t> 0.00134 </t>
  </si>
  <si>
    <t>2456376.35007 </t>
  </si>
  <si>
    <t> 24.03.2013 20:24 </t>
  </si>
  <si>
    <t> 0.00186 </t>
  </si>
  <si>
    <t>2456376.35049 </t>
  </si>
  <si>
    <t> 0.00228 </t>
  </si>
  <si>
    <t>2456376.35089 </t>
  </si>
  <si>
    <t> 24.03.2013 20:25 </t>
  </si>
  <si>
    <t> 0.00268 </t>
  </si>
  <si>
    <t>2456407.32988 </t>
  </si>
  <si>
    <t> 24.04.2013 19:55 </t>
  </si>
  <si>
    <t> 0.00409 </t>
  </si>
  <si>
    <t>2456407.33015 </t>
  </si>
  <si>
    <t> 0.00436 </t>
  </si>
  <si>
    <t>2456407.33038 </t>
  </si>
  <si>
    <t> 0.00459 </t>
  </si>
  <si>
    <t>2456407.33092 </t>
  </si>
  <si>
    <t> 24.04.2013 19:56 </t>
  </si>
  <si>
    <t> 0.00513 </t>
  </si>
  <si>
    <t>RHN 2017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</si>
  <si>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</si>
  <si>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</si>
  <si>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</si>
  <si>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</si>
  <si>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</si>
  <si>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dP/dt =</t>
  </si>
  <si>
    <t>vis/CCD</t>
  </si>
  <si>
    <t>OEJV 0179</t>
  </si>
  <si>
    <t>OEJV 0203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</si>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</sst>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49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3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5" fillId="0" borderId="4" applyNumberFormat="0" applyFill="0" applyAlignment="0" applyProtection="0"/>
    <xf numFmtId="0" fontId="36" fillId="22" borderId="0" applyNumberFormat="0" applyBorder="0" applyAlignment="0" applyProtection="0"/>
    <xf numFmtId="0" fontId="6" fillId="0" borderId="0"/>
    <xf numFmtId="0" fontId="12" fillId="0" borderId="0"/>
    <xf numFmtId="0" fontId="12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41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8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22" fontId="16" fillId="0" borderId="0" xfId="0" applyNumberFormat="1" applyFont="1" applyAlignment="1"/>
    <xf numFmtId="0" fontId="17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0" fillId="0" borderId="11" xfId="0" applyFill="1" applyBorder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8" fillId="0" borderId="0" xfId="0" applyFont="1" applyAlignment="1"/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9" fillId="25" borderId="0" xfId="0" applyFont="1" applyFill="1" applyAlignment="1"/>
    <xf numFmtId="0" fontId="0" fillId="0" borderId="19" xfId="0" applyBorder="1" applyAlignment="1"/>
    <xf numFmtId="0" fontId="0" fillId="0" borderId="20" xfId="0" applyBorder="1" applyAlignment="1"/>
    <xf numFmtId="11" fontId="0" fillId="0" borderId="0" xfId="0" applyNumberFormat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13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5" fillId="0" borderId="0" xfId="0" applyFont="1" applyAlignment="1"/>
    <xf numFmtId="14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40" fillId="0" borderId="0" xfId="43" applyFont="1"/>
    <xf numFmtId="0" fontId="40" fillId="0" borderId="0" xfId="43" applyFont="1" applyAlignment="1">
      <alignment horizontal="center"/>
    </xf>
    <xf numFmtId="0" fontId="40" fillId="0" borderId="0" xfId="43" applyFont="1" applyAlignment="1">
      <alignment horizontal="left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2" fillId="0" borderId="0" xfId="42" applyFont="1" applyAlignment="1">
      <alignment horizontal="left"/>
    </xf>
    <xf numFmtId="0" fontId="42" fillId="0" borderId="0" xfId="42" applyFont="1" applyAlignment="1">
      <alignment horizontal="center" wrapText="1"/>
    </xf>
    <xf numFmtId="0" fontId="42" fillId="0" borderId="0" xfId="42" applyFont="1" applyAlignment="1">
      <alignment horizontal="left" wrapText="1"/>
    </xf>
    <xf numFmtId="0" fontId="40" fillId="0" borderId="0" xfId="42" applyFont="1"/>
    <xf numFmtId="0" fontId="40" fillId="0" borderId="0" xfId="42" applyFont="1" applyAlignment="1">
      <alignment horizontal="center"/>
    </xf>
    <xf numFmtId="0" fontId="40" fillId="0" borderId="0" xfId="42" applyFont="1" applyAlignment="1">
      <alignment horizontal="left"/>
    </xf>
    <xf numFmtId="0" fontId="6" fillId="0" borderId="0" xfId="0" applyFont="1" applyFill="1" applyAlignment="1"/>
    <xf numFmtId="0" fontId="43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QW Gem - O-C Diagr.</a:t>
            </a:r>
          </a:p>
        </c:rich>
      </c:tx>
      <c:layout>
        <c:manualLayout>
          <c:xMode val="edge"/>
          <c:yMode val="edge"/>
          <c:x val="0.39078627992013815"/>
          <c:y val="4.388871391076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8518443741541"/>
          <c:y val="0.1668454673934989"/>
          <c:w val="0.77533062640674189"/>
          <c:h val="0.607554855643044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6A-4483-8355-51E03B523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  <c:pt idx="8">
                  <c:v>-1.3391000000410713E-2</c:v>
                </c:pt>
                <c:pt idx="15">
                  <c:v>-3.8293999998131767E-2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6A-4483-8355-51E03B523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3">
                  <c:v>-9.5264999981736764E-3</c:v>
                </c:pt>
                <c:pt idx="4">
                  <c:v>-9.0899999995599501E-3</c:v>
                </c:pt>
                <c:pt idx="5">
                  <c:v>-9.0899999995599501E-3</c:v>
                </c:pt>
                <c:pt idx="17">
                  <c:v>-4.0116999996826053E-2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6A-4483-8355-51E03B523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">
                  <c:v>-7.0944999970379286E-3</c:v>
                </c:pt>
                <c:pt idx="2">
                  <c:v>-8.1149999969056807E-3</c:v>
                </c:pt>
                <c:pt idx="6">
                  <c:v>-9.0899999995599501E-3</c:v>
                </c:pt>
                <c:pt idx="9">
                  <c:v>-1.9053999996685889E-2</c:v>
                </c:pt>
                <c:pt idx="10">
                  <c:v>-1.8418999999994412E-2</c:v>
                </c:pt>
                <c:pt idx="11">
                  <c:v>-1.729699999850709E-2</c:v>
                </c:pt>
                <c:pt idx="12">
                  <c:v>-2.2905999998329207E-2</c:v>
                </c:pt>
                <c:pt idx="13">
                  <c:v>-2.1611500000290107E-2</c:v>
                </c:pt>
                <c:pt idx="14">
                  <c:v>-3.025099999649683E-2</c:v>
                </c:pt>
                <c:pt idx="16">
                  <c:v>-3.9128999997046776E-2</c:v>
                </c:pt>
                <c:pt idx="18">
                  <c:v>-4.1078999995079357E-2</c:v>
                </c:pt>
                <c:pt idx="19">
                  <c:v>-4.0778999995382037E-2</c:v>
                </c:pt>
                <c:pt idx="20">
                  <c:v>-4.3940499999735039E-2</c:v>
                </c:pt>
                <c:pt idx="21">
                  <c:v>-4.9075999995693564E-2</c:v>
                </c:pt>
                <c:pt idx="22">
                  <c:v>-5.626799999299692E-2</c:v>
                </c:pt>
                <c:pt idx="23">
                  <c:v>-5.6127999996533617E-2</c:v>
                </c:pt>
                <c:pt idx="24">
                  <c:v>-5.5917999990924727E-2</c:v>
                </c:pt>
                <c:pt idx="25">
                  <c:v>-5.5867999995825812E-2</c:v>
                </c:pt>
                <c:pt idx="26">
                  <c:v>-5.9697499993490055E-2</c:v>
                </c:pt>
                <c:pt idx="27">
                  <c:v>-5.9247499993944075E-2</c:v>
                </c:pt>
                <c:pt idx="28">
                  <c:v>-5.9077499994600657E-2</c:v>
                </c:pt>
                <c:pt idx="29">
                  <c:v>-5.8967499993741512E-2</c:v>
                </c:pt>
                <c:pt idx="30">
                  <c:v>-6.3067999995837454E-2</c:v>
                </c:pt>
                <c:pt idx="31">
                  <c:v>-6.1511999992944766E-2</c:v>
                </c:pt>
                <c:pt idx="32">
                  <c:v>-6.1361999993096106E-2</c:v>
                </c:pt>
                <c:pt idx="33">
                  <c:v>-6.1291999998502433E-2</c:v>
                </c:pt>
                <c:pt idx="34">
                  <c:v>-6.1211999993247446E-2</c:v>
                </c:pt>
                <c:pt idx="35">
                  <c:v>-6.1091499999747612E-2</c:v>
                </c:pt>
                <c:pt idx="36">
                  <c:v>-6.0981499998888467E-2</c:v>
                </c:pt>
                <c:pt idx="37">
                  <c:v>-6.0821499995654449E-2</c:v>
                </c:pt>
                <c:pt idx="38">
                  <c:v>-6.0611499997321516E-2</c:v>
                </c:pt>
                <c:pt idx="39">
                  <c:v>-6.7707499998505227E-2</c:v>
                </c:pt>
                <c:pt idx="40">
                  <c:v>-6.7187499997089617E-2</c:v>
                </c:pt>
                <c:pt idx="41">
                  <c:v>-6.6767499993147794E-2</c:v>
                </c:pt>
                <c:pt idx="42">
                  <c:v>-6.6367499995976686E-2</c:v>
                </c:pt>
                <c:pt idx="43">
                  <c:v>-6.4497499995923135E-2</c:v>
                </c:pt>
                <c:pt idx="44">
                  <c:v>-6.3977499994507525E-2</c:v>
                </c:pt>
                <c:pt idx="45">
                  <c:v>-6.355749999784166E-2</c:v>
                </c:pt>
                <c:pt idx="46">
                  <c:v>-6.3157499993394595E-2</c:v>
                </c:pt>
                <c:pt idx="47">
                  <c:v>-6.828299999324372E-2</c:v>
                </c:pt>
                <c:pt idx="48">
                  <c:v>-6.8012999996426515E-2</c:v>
                </c:pt>
                <c:pt idx="49">
                  <c:v>-6.7782999998598825E-2</c:v>
                </c:pt>
                <c:pt idx="50">
                  <c:v>-6.7242999997688457E-2</c:v>
                </c:pt>
                <c:pt idx="51">
                  <c:v>-6.2152999998943415E-2</c:v>
                </c:pt>
                <c:pt idx="52">
                  <c:v>-6.1882999994850252E-2</c:v>
                </c:pt>
                <c:pt idx="53">
                  <c:v>-6.1652999997022562E-2</c:v>
                </c:pt>
                <c:pt idx="54">
                  <c:v>-6.1112999996112194E-2</c:v>
                </c:pt>
                <c:pt idx="55">
                  <c:v>-7.2036499994283076E-2</c:v>
                </c:pt>
                <c:pt idx="56">
                  <c:v>-7.1846499995444901E-2</c:v>
                </c:pt>
                <c:pt idx="57">
                  <c:v>-7.1756499994080514E-2</c:v>
                </c:pt>
                <c:pt idx="58">
                  <c:v>-7.1186499990290031E-2</c:v>
                </c:pt>
                <c:pt idx="59">
                  <c:v>-7.2174000000813976E-2</c:v>
                </c:pt>
                <c:pt idx="60">
                  <c:v>-7.1614000000408851E-2</c:v>
                </c:pt>
                <c:pt idx="61">
                  <c:v>-7.1343999996315688E-2</c:v>
                </c:pt>
                <c:pt idx="62">
                  <c:v>-7.117399999697227E-2</c:v>
                </c:pt>
                <c:pt idx="63">
                  <c:v>-7.6500999995914754E-2</c:v>
                </c:pt>
                <c:pt idx="64">
                  <c:v>-7.556099999055732E-2</c:v>
                </c:pt>
                <c:pt idx="65">
                  <c:v>-7.5200999992375728E-2</c:v>
                </c:pt>
                <c:pt idx="66">
                  <c:v>-7.5200999992375728E-2</c:v>
                </c:pt>
                <c:pt idx="67">
                  <c:v>-7.7245999993465375E-2</c:v>
                </c:pt>
                <c:pt idx="68">
                  <c:v>-7.6635999997961335E-2</c:v>
                </c:pt>
                <c:pt idx="69">
                  <c:v>-7.638599999336293E-2</c:v>
                </c:pt>
                <c:pt idx="70">
                  <c:v>-7.6345999994373415E-2</c:v>
                </c:pt>
                <c:pt idx="71">
                  <c:v>-7.9588499989768025E-2</c:v>
                </c:pt>
                <c:pt idx="72">
                  <c:v>-7.9448499993304722E-2</c:v>
                </c:pt>
                <c:pt idx="73">
                  <c:v>-7.9248499991081189E-2</c:v>
                </c:pt>
                <c:pt idx="74">
                  <c:v>-7.8988499990373384E-2</c:v>
                </c:pt>
                <c:pt idx="75">
                  <c:v>-9.0687999996589497E-2</c:v>
                </c:pt>
                <c:pt idx="76">
                  <c:v>-9.7772999994049314E-2</c:v>
                </c:pt>
                <c:pt idx="77">
                  <c:v>-0.10447849999764003</c:v>
                </c:pt>
                <c:pt idx="78">
                  <c:v>-9.7772999994049314E-2</c:v>
                </c:pt>
                <c:pt idx="79">
                  <c:v>-0.10447849999764003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6A-4483-8355-51E03B523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6A-4483-8355-51E03B523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6A-4483-8355-51E03B523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6A-4483-8355-51E03B523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1">
                  <c:v>2.3332383173192132E-2</c:v>
                </c:pt>
                <c:pt idx="2">
                  <c:v>2.273421457032878E-2</c:v>
                </c:pt>
                <c:pt idx="3">
                  <c:v>1.53829512488005E-2</c:v>
                </c:pt>
                <c:pt idx="4">
                  <c:v>1.537968256791053E-2</c:v>
                </c:pt>
                <c:pt idx="5">
                  <c:v>1.537968256791053E-2</c:v>
                </c:pt>
                <c:pt idx="6">
                  <c:v>1.537968256791053E-2</c:v>
                </c:pt>
                <c:pt idx="7">
                  <c:v>8.9796053853616747E-3</c:v>
                </c:pt>
                <c:pt idx="8">
                  <c:v>8.4304669958477768E-3</c:v>
                </c:pt>
                <c:pt idx="9">
                  <c:v>2.0957634310981993E-3</c:v>
                </c:pt>
                <c:pt idx="10">
                  <c:v>1.4747140620051113E-3</c:v>
                </c:pt>
                <c:pt idx="11">
                  <c:v>1.3831909970861284E-3</c:v>
                </c:pt>
                <c:pt idx="12">
                  <c:v>-4.9384378441036103E-3</c:v>
                </c:pt>
                <c:pt idx="13">
                  <c:v>-5.242425166870221E-3</c:v>
                </c:pt>
                <c:pt idx="14">
                  <c:v>-1.6934496710270253E-2</c:v>
                </c:pt>
                <c:pt idx="15">
                  <c:v>-3.0068056526144263E-2</c:v>
                </c:pt>
                <c:pt idx="16">
                  <c:v>-3.0754479513036628E-2</c:v>
                </c:pt>
                <c:pt idx="17">
                  <c:v>-3.1695859609346164E-2</c:v>
                </c:pt>
                <c:pt idx="18">
                  <c:v>-3.2388819958018455E-2</c:v>
                </c:pt>
                <c:pt idx="19">
                  <c:v>-3.2388819958018455E-2</c:v>
                </c:pt>
                <c:pt idx="20">
                  <c:v>-3.7452006656572182E-2</c:v>
                </c:pt>
                <c:pt idx="21">
                  <c:v>-3.8344356539532262E-2</c:v>
                </c:pt>
                <c:pt idx="22">
                  <c:v>-5.2177414065858477E-2</c:v>
                </c:pt>
                <c:pt idx="23">
                  <c:v>-5.2177414065858477E-2</c:v>
                </c:pt>
                <c:pt idx="24">
                  <c:v>-5.2177414065858477E-2</c:v>
                </c:pt>
                <c:pt idx="25">
                  <c:v>-5.2177414065858477E-2</c:v>
                </c:pt>
                <c:pt idx="26">
                  <c:v>-5.5959277855546455E-2</c:v>
                </c:pt>
                <c:pt idx="27">
                  <c:v>-5.5959277855546455E-2</c:v>
                </c:pt>
                <c:pt idx="28">
                  <c:v>-5.5959277855546455E-2</c:v>
                </c:pt>
                <c:pt idx="29">
                  <c:v>-5.5959277855546455E-2</c:v>
                </c:pt>
                <c:pt idx="30">
                  <c:v>-5.7276556254201791E-2</c:v>
                </c:pt>
                <c:pt idx="31">
                  <c:v>-5.8400982480349292E-2</c:v>
                </c:pt>
                <c:pt idx="32">
                  <c:v>-5.8400982480349292E-2</c:v>
                </c:pt>
                <c:pt idx="33">
                  <c:v>-5.8400982480349292E-2</c:v>
                </c:pt>
                <c:pt idx="34">
                  <c:v>-5.8400982480349292E-2</c:v>
                </c:pt>
                <c:pt idx="35">
                  <c:v>-5.8783418144475061E-2</c:v>
                </c:pt>
                <c:pt idx="36">
                  <c:v>-5.8783418144475061E-2</c:v>
                </c:pt>
                <c:pt idx="37">
                  <c:v>-5.8783418144475061E-2</c:v>
                </c:pt>
                <c:pt idx="38">
                  <c:v>-5.8783418144475061E-2</c:v>
                </c:pt>
                <c:pt idx="39">
                  <c:v>-6.5830694143236709E-2</c:v>
                </c:pt>
                <c:pt idx="40">
                  <c:v>-6.5830694143236709E-2</c:v>
                </c:pt>
                <c:pt idx="41">
                  <c:v>-6.5830694143236709E-2</c:v>
                </c:pt>
                <c:pt idx="42">
                  <c:v>-6.5830694143236709E-2</c:v>
                </c:pt>
                <c:pt idx="43">
                  <c:v>-6.5830694143236709E-2</c:v>
                </c:pt>
                <c:pt idx="44">
                  <c:v>-6.5830694143236709E-2</c:v>
                </c:pt>
                <c:pt idx="45">
                  <c:v>-6.5830694143236709E-2</c:v>
                </c:pt>
                <c:pt idx="46">
                  <c:v>-6.5830694143236709E-2</c:v>
                </c:pt>
                <c:pt idx="47">
                  <c:v>-6.6396175937200416E-2</c:v>
                </c:pt>
                <c:pt idx="48">
                  <c:v>-6.6396175937200416E-2</c:v>
                </c:pt>
                <c:pt idx="49">
                  <c:v>-6.6396175937200416E-2</c:v>
                </c:pt>
                <c:pt idx="50">
                  <c:v>-6.6396175937200416E-2</c:v>
                </c:pt>
                <c:pt idx="51">
                  <c:v>-6.6396175937200416E-2</c:v>
                </c:pt>
                <c:pt idx="52">
                  <c:v>-6.6396175937200416E-2</c:v>
                </c:pt>
                <c:pt idx="53">
                  <c:v>-6.6396175937200416E-2</c:v>
                </c:pt>
                <c:pt idx="54">
                  <c:v>-6.6396175937200416E-2</c:v>
                </c:pt>
                <c:pt idx="55">
                  <c:v>-7.0452608921645329E-2</c:v>
                </c:pt>
                <c:pt idx="56">
                  <c:v>-7.0452608921645329E-2</c:v>
                </c:pt>
                <c:pt idx="57">
                  <c:v>-7.0452608921645329E-2</c:v>
                </c:pt>
                <c:pt idx="58">
                  <c:v>-7.0452608921645329E-2</c:v>
                </c:pt>
                <c:pt idx="59">
                  <c:v>-7.0468952326095138E-2</c:v>
                </c:pt>
                <c:pt idx="60">
                  <c:v>-7.0468952326095138E-2</c:v>
                </c:pt>
                <c:pt idx="61">
                  <c:v>-7.0468952326095138E-2</c:v>
                </c:pt>
                <c:pt idx="62">
                  <c:v>-7.0468952326095138E-2</c:v>
                </c:pt>
                <c:pt idx="63">
                  <c:v>-7.6293741672010404E-2</c:v>
                </c:pt>
                <c:pt idx="64">
                  <c:v>-7.6293741672010404E-2</c:v>
                </c:pt>
                <c:pt idx="65">
                  <c:v>-7.6293741672010404E-2</c:v>
                </c:pt>
                <c:pt idx="66">
                  <c:v>-7.6293741672010404E-2</c:v>
                </c:pt>
                <c:pt idx="67">
                  <c:v>-7.6457175716508577E-2</c:v>
                </c:pt>
                <c:pt idx="68">
                  <c:v>-7.6457175716508577E-2</c:v>
                </c:pt>
                <c:pt idx="69">
                  <c:v>-7.6457175716508577E-2</c:v>
                </c:pt>
                <c:pt idx="70">
                  <c:v>-7.6457175716508577E-2</c:v>
                </c:pt>
                <c:pt idx="71">
                  <c:v>-7.944801873082534E-2</c:v>
                </c:pt>
                <c:pt idx="72">
                  <c:v>-7.944801873082534E-2</c:v>
                </c:pt>
                <c:pt idx="73">
                  <c:v>-7.944801873082534E-2</c:v>
                </c:pt>
                <c:pt idx="74">
                  <c:v>-7.944801873082534E-2</c:v>
                </c:pt>
                <c:pt idx="75">
                  <c:v>-9.100934303862683E-2</c:v>
                </c:pt>
                <c:pt idx="76">
                  <c:v>-9.8233127805446505E-2</c:v>
                </c:pt>
                <c:pt idx="77">
                  <c:v>-0.1033093892275601</c:v>
                </c:pt>
                <c:pt idx="78">
                  <c:v>-9.8233127805446505E-2</c:v>
                </c:pt>
                <c:pt idx="79">
                  <c:v>-0.1033093892275601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6A-4483-8355-51E03B5231C4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Active!$V$21:$V$987</c:f>
              <c:numCache>
                <c:formatCode>General</c:formatCode>
                <c:ptCount val="967"/>
                <c:pt idx="7">
                  <c:v>8.1877000004169531E-2</c:v>
                </c:pt>
                <c:pt idx="80">
                  <c:v>-0.26859299983334495</c:v>
                </c:pt>
                <c:pt idx="81">
                  <c:v>-0.26792299985390855</c:v>
                </c:pt>
                <c:pt idx="82">
                  <c:v>-0.26778300018486334</c:v>
                </c:pt>
                <c:pt idx="83">
                  <c:v>-0.26753300014388515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6A-4483-8355-51E03B523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934416"/>
        <c:axId val="1"/>
      </c:scatterChart>
      <c:valAx>
        <c:axId val="5729344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193978957758"/>
              <c:y val="0.90947288512012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7844852726742483E-2"/>
              <c:y val="0.341703856248738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93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23376778757357"/>
          <c:y val="0.86871924086412278"/>
          <c:w val="0.87179606822651434"/>
          <c:h val="0.106666989703210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QW Gem - O-C Diagr.</a:t>
            </a:r>
          </a:p>
        </c:rich>
      </c:tx>
      <c:layout>
        <c:manualLayout>
          <c:xMode val="edge"/>
          <c:yMode val="edge"/>
          <c:x val="0.39799804169556524"/>
          <c:y val="4.3615144437220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39794936667797"/>
          <c:y val="0.14133705763843737"/>
          <c:w val="0.78969846490005857"/>
          <c:h val="0.622432838097072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73-4D9F-AB81-A854DC6D5A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  <c:pt idx="8">
                  <c:v>-1.3391000000410713E-2</c:v>
                </c:pt>
                <c:pt idx="15">
                  <c:v>-3.8293999998131767E-2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73-4D9F-AB81-A854DC6D5A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3">
                  <c:v>-9.5264999981736764E-3</c:v>
                </c:pt>
                <c:pt idx="4">
                  <c:v>-9.0899999995599501E-3</c:v>
                </c:pt>
                <c:pt idx="5">
                  <c:v>-9.0899999995599501E-3</c:v>
                </c:pt>
                <c:pt idx="17">
                  <c:v>-4.0116999996826053E-2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73-4D9F-AB81-A854DC6D5A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">
                  <c:v>-7.0944999970379286E-3</c:v>
                </c:pt>
                <c:pt idx="2">
                  <c:v>-8.1149999969056807E-3</c:v>
                </c:pt>
                <c:pt idx="6">
                  <c:v>-9.0899999995599501E-3</c:v>
                </c:pt>
                <c:pt idx="9">
                  <c:v>-1.9053999996685889E-2</c:v>
                </c:pt>
                <c:pt idx="10">
                  <c:v>-1.8418999999994412E-2</c:v>
                </c:pt>
                <c:pt idx="11">
                  <c:v>-1.729699999850709E-2</c:v>
                </c:pt>
                <c:pt idx="12">
                  <c:v>-2.2905999998329207E-2</c:v>
                </c:pt>
                <c:pt idx="13">
                  <c:v>-2.1611500000290107E-2</c:v>
                </c:pt>
                <c:pt idx="14">
                  <c:v>-3.025099999649683E-2</c:v>
                </c:pt>
                <c:pt idx="16">
                  <c:v>-3.9128999997046776E-2</c:v>
                </c:pt>
                <c:pt idx="18">
                  <c:v>-4.1078999995079357E-2</c:v>
                </c:pt>
                <c:pt idx="19">
                  <c:v>-4.0778999995382037E-2</c:v>
                </c:pt>
                <c:pt idx="20">
                  <c:v>-4.3940499999735039E-2</c:v>
                </c:pt>
                <c:pt idx="21">
                  <c:v>-4.9075999995693564E-2</c:v>
                </c:pt>
                <c:pt idx="22">
                  <c:v>-5.626799999299692E-2</c:v>
                </c:pt>
                <c:pt idx="23">
                  <c:v>-5.6127999996533617E-2</c:v>
                </c:pt>
                <c:pt idx="24">
                  <c:v>-5.5917999990924727E-2</c:v>
                </c:pt>
                <c:pt idx="25">
                  <c:v>-5.5867999995825812E-2</c:v>
                </c:pt>
                <c:pt idx="26">
                  <c:v>-5.9697499993490055E-2</c:v>
                </c:pt>
                <c:pt idx="27">
                  <c:v>-5.9247499993944075E-2</c:v>
                </c:pt>
                <c:pt idx="28">
                  <c:v>-5.9077499994600657E-2</c:v>
                </c:pt>
                <c:pt idx="29">
                  <c:v>-5.8967499993741512E-2</c:v>
                </c:pt>
                <c:pt idx="30">
                  <c:v>-6.3067999995837454E-2</c:v>
                </c:pt>
                <c:pt idx="31">
                  <c:v>-6.1511999992944766E-2</c:v>
                </c:pt>
                <c:pt idx="32">
                  <c:v>-6.1361999993096106E-2</c:v>
                </c:pt>
                <c:pt idx="33">
                  <c:v>-6.1291999998502433E-2</c:v>
                </c:pt>
                <c:pt idx="34">
                  <c:v>-6.1211999993247446E-2</c:v>
                </c:pt>
                <c:pt idx="35">
                  <c:v>-6.1091499999747612E-2</c:v>
                </c:pt>
                <c:pt idx="36">
                  <c:v>-6.0981499998888467E-2</c:v>
                </c:pt>
                <c:pt idx="37">
                  <c:v>-6.0821499995654449E-2</c:v>
                </c:pt>
                <c:pt idx="38">
                  <c:v>-6.0611499997321516E-2</c:v>
                </c:pt>
                <c:pt idx="39">
                  <c:v>-6.7707499998505227E-2</c:v>
                </c:pt>
                <c:pt idx="40">
                  <c:v>-6.7187499997089617E-2</c:v>
                </c:pt>
                <c:pt idx="41">
                  <c:v>-6.6767499993147794E-2</c:v>
                </c:pt>
                <c:pt idx="42">
                  <c:v>-6.6367499995976686E-2</c:v>
                </c:pt>
                <c:pt idx="43">
                  <c:v>-6.4497499995923135E-2</c:v>
                </c:pt>
                <c:pt idx="44">
                  <c:v>-6.3977499994507525E-2</c:v>
                </c:pt>
                <c:pt idx="45">
                  <c:v>-6.355749999784166E-2</c:v>
                </c:pt>
                <c:pt idx="46">
                  <c:v>-6.3157499993394595E-2</c:v>
                </c:pt>
                <c:pt idx="47">
                  <c:v>-6.828299999324372E-2</c:v>
                </c:pt>
                <c:pt idx="48">
                  <c:v>-6.8012999996426515E-2</c:v>
                </c:pt>
                <c:pt idx="49">
                  <c:v>-6.7782999998598825E-2</c:v>
                </c:pt>
                <c:pt idx="50">
                  <c:v>-6.7242999997688457E-2</c:v>
                </c:pt>
                <c:pt idx="51">
                  <c:v>-6.2152999998943415E-2</c:v>
                </c:pt>
                <c:pt idx="52">
                  <c:v>-6.1882999994850252E-2</c:v>
                </c:pt>
                <c:pt idx="53">
                  <c:v>-6.1652999997022562E-2</c:v>
                </c:pt>
                <c:pt idx="54">
                  <c:v>-6.1112999996112194E-2</c:v>
                </c:pt>
                <c:pt idx="55">
                  <c:v>-7.2036499994283076E-2</c:v>
                </c:pt>
                <c:pt idx="56">
                  <c:v>-7.1846499995444901E-2</c:v>
                </c:pt>
                <c:pt idx="57">
                  <c:v>-7.1756499994080514E-2</c:v>
                </c:pt>
                <c:pt idx="58">
                  <c:v>-7.1186499990290031E-2</c:v>
                </c:pt>
                <c:pt idx="59">
                  <c:v>-7.2174000000813976E-2</c:v>
                </c:pt>
                <c:pt idx="60">
                  <c:v>-7.1614000000408851E-2</c:v>
                </c:pt>
                <c:pt idx="61">
                  <c:v>-7.1343999996315688E-2</c:v>
                </c:pt>
                <c:pt idx="62">
                  <c:v>-7.117399999697227E-2</c:v>
                </c:pt>
                <c:pt idx="63">
                  <c:v>-7.6500999995914754E-2</c:v>
                </c:pt>
                <c:pt idx="64">
                  <c:v>-7.556099999055732E-2</c:v>
                </c:pt>
                <c:pt idx="65">
                  <c:v>-7.5200999992375728E-2</c:v>
                </c:pt>
                <c:pt idx="66">
                  <c:v>-7.5200999992375728E-2</c:v>
                </c:pt>
                <c:pt idx="67">
                  <c:v>-7.7245999993465375E-2</c:v>
                </c:pt>
                <c:pt idx="68">
                  <c:v>-7.6635999997961335E-2</c:v>
                </c:pt>
                <c:pt idx="69">
                  <c:v>-7.638599999336293E-2</c:v>
                </c:pt>
                <c:pt idx="70">
                  <c:v>-7.6345999994373415E-2</c:v>
                </c:pt>
                <c:pt idx="71">
                  <c:v>-7.9588499989768025E-2</c:v>
                </c:pt>
                <c:pt idx="72">
                  <c:v>-7.9448499993304722E-2</c:v>
                </c:pt>
                <c:pt idx="73">
                  <c:v>-7.9248499991081189E-2</c:v>
                </c:pt>
                <c:pt idx="74">
                  <c:v>-7.8988499990373384E-2</c:v>
                </c:pt>
                <c:pt idx="75">
                  <c:v>-9.0687999996589497E-2</c:v>
                </c:pt>
                <c:pt idx="76">
                  <c:v>-9.7772999994049314E-2</c:v>
                </c:pt>
                <c:pt idx="77">
                  <c:v>-0.10447849999764003</c:v>
                </c:pt>
                <c:pt idx="78">
                  <c:v>-9.7772999994049314E-2</c:v>
                </c:pt>
                <c:pt idx="79">
                  <c:v>-0.10447849999764003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73-4D9F-AB81-A854DC6D5A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1.8000000000000001E-4</c:v>
                  </c:pt>
                  <c:pt idx="77">
                    <c:v>1.2999999999999999E-4</c:v>
                  </c:pt>
                  <c:pt idx="78">
                    <c:v>1.8000000000000001E-4</c:v>
                  </c:pt>
                  <c:pt idx="79">
                    <c:v>1.2999999999999999E-4</c:v>
                  </c:pt>
                  <c:pt idx="80">
                    <c:v>4.0000000000000002E-4</c:v>
                  </c:pt>
                  <c:pt idx="81">
                    <c:v>2.9999999999999997E-4</c:v>
                  </c:pt>
                  <c:pt idx="82">
                    <c:v>4.0000000000000002E-4</c:v>
                  </c:pt>
                  <c:pt idx="8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73-4D9F-AB81-A854DC6D5A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73-4D9F-AB81-A854DC6D5A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7">
                    <c:v>0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0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1E-4</c:v>
                  </c:pt>
                  <c:pt idx="39">
                    <c:v>2.5999999999999998E-4</c:v>
                  </c:pt>
                  <c:pt idx="40">
                    <c:v>1.3999999999999999E-4</c:v>
                  </c:pt>
                  <c:pt idx="41">
                    <c:v>2.4000000000000001E-4</c:v>
                  </c:pt>
                  <c:pt idx="42">
                    <c:v>2.2000000000000001E-4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3.3E-4</c:v>
                  </c:pt>
                  <c:pt idx="48">
                    <c:v>2.2000000000000001E-4</c:v>
                  </c:pt>
                  <c:pt idx="49">
                    <c:v>2.9E-4</c:v>
                  </c:pt>
                  <c:pt idx="50">
                    <c:v>2.1000000000000001E-4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1E-4</c:v>
                  </c:pt>
                  <c:pt idx="57">
                    <c:v>1E-4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73-4D9F-AB81-A854DC6D5A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8353.5</c:v>
                </c:pt>
                <c:pt idx="2">
                  <c:v>8445</c:v>
                </c:pt>
                <c:pt idx="3">
                  <c:v>9569.5</c:v>
                </c:pt>
                <c:pt idx="4">
                  <c:v>9570</c:v>
                </c:pt>
                <c:pt idx="5">
                  <c:v>9570</c:v>
                </c:pt>
                <c:pt idx="6">
                  <c:v>9570</c:v>
                </c:pt>
                <c:pt idx="7">
                  <c:v>10549</c:v>
                </c:pt>
                <c:pt idx="8">
                  <c:v>10633</c:v>
                </c:pt>
                <c:pt idx="9">
                  <c:v>11602</c:v>
                </c:pt>
                <c:pt idx="10">
                  <c:v>11697</c:v>
                </c:pt>
                <c:pt idx="11">
                  <c:v>11711</c:v>
                </c:pt>
                <c:pt idx="12">
                  <c:v>12678</c:v>
                </c:pt>
                <c:pt idx="13">
                  <c:v>12724.5</c:v>
                </c:pt>
                <c:pt idx="14">
                  <c:v>14513</c:v>
                </c:pt>
                <c:pt idx="15">
                  <c:v>16522</c:v>
                </c:pt>
                <c:pt idx="16">
                  <c:v>16627</c:v>
                </c:pt>
                <c:pt idx="17">
                  <c:v>16771</c:v>
                </c:pt>
                <c:pt idx="18">
                  <c:v>16877</c:v>
                </c:pt>
                <c:pt idx="19">
                  <c:v>16877</c:v>
                </c:pt>
                <c:pt idx="20">
                  <c:v>17651.5</c:v>
                </c:pt>
                <c:pt idx="21">
                  <c:v>17788</c:v>
                </c:pt>
                <c:pt idx="22">
                  <c:v>19904</c:v>
                </c:pt>
                <c:pt idx="23">
                  <c:v>19904</c:v>
                </c:pt>
                <c:pt idx="24">
                  <c:v>19904</c:v>
                </c:pt>
                <c:pt idx="25">
                  <c:v>19904</c:v>
                </c:pt>
                <c:pt idx="26">
                  <c:v>20482.5</c:v>
                </c:pt>
                <c:pt idx="27">
                  <c:v>20482.5</c:v>
                </c:pt>
                <c:pt idx="28">
                  <c:v>20482.5</c:v>
                </c:pt>
                <c:pt idx="29">
                  <c:v>20482.5</c:v>
                </c:pt>
                <c:pt idx="30">
                  <c:v>20684</c:v>
                </c:pt>
                <c:pt idx="31">
                  <c:v>20856</c:v>
                </c:pt>
                <c:pt idx="32">
                  <c:v>20856</c:v>
                </c:pt>
                <c:pt idx="33">
                  <c:v>20856</c:v>
                </c:pt>
                <c:pt idx="34">
                  <c:v>20856</c:v>
                </c:pt>
                <c:pt idx="35">
                  <c:v>20914.5</c:v>
                </c:pt>
                <c:pt idx="36">
                  <c:v>20914.5</c:v>
                </c:pt>
                <c:pt idx="37">
                  <c:v>20914.5</c:v>
                </c:pt>
                <c:pt idx="38">
                  <c:v>20914.5</c:v>
                </c:pt>
                <c:pt idx="39">
                  <c:v>21992.5</c:v>
                </c:pt>
                <c:pt idx="40">
                  <c:v>21992.5</c:v>
                </c:pt>
                <c:pt idx="41">
                  <c:v>21992.5</c:v>
                </c:pt>
                <c:pt idx="42">
                  <c:v>21992.5</c:v>
                </c:pt>
                <c:pt idx="43">
                  <c:v>21992.5</c:v>
                </c:pt>
                <c:pt idx="44">
                  <c:v>21992.5</c:v>
                </c:pt>
                <c:pt idx="45">
                  <c:v>21992.5</c:v>
                </c:pt>
                <c:pt idx="46">
                  <c:v>21992.5</c:v>
                </c:pt>
                <c:pt idx="47">
                  <c:v>22079</c:v>
                </c:pt>
                <c:pt idx="48">
                  <c:v>22079</c:v>
                </c:pt>
                <c:pt idx="49">
                  <c:v>22079</c:v>
                </c:pt>
                <c:pt idx="50">
                  <c:v>22079</c:v>
                </c:pt>
                <c:pt idx="51">
                  <c:v>22079</c:v>
                </c:pt>
                <c:pt idx="52">
                  <c:v>22079</c:v>
                </c:pt>
                <c:pt idx="53">
                  <c:v>22079</c:v>
                </c:pt>
                <c:pt idx="54">
                  <c:v>22079</c:v>
                </c:pt>
                <c:pt idx="55">
                  <c:v>22699.5</c:v>
                </c:pt>
                <c:pt idx="56">
                  <c:v>22699.5</c:v>
                </c:pt>
                <c:pt idx="57">
                  <c:v>22699.5</c:v>
                </c:pt>
                <c:pt idx="58">
                  <c:v>22699.5</c:v>
                </c:pt>
                <c:pt idx="59">
                  <c:v>22702</c:v>
                </c:pt>
                <c:pt idx="60">
                  <c:v>22702</c:v>
                </c:pt>
                <c:pt idx="61">
                  <c:v>22702</c:v>
                </c:pt>
                <c:pt idx="62">
                  <c:v>22702</c:v>
                </c:pt>
                <c:pt idx="63">
                  <c:v>23593</c:v>
                </c:pt>
                <c:pt idx="64">
                  <c:v>23593</c:v>
                </c:pt>
                <c:pt idx="65">
                  <c:v>23593</c:v>
                </c:pt>
                <c:pt idx="66">
                  <c:v>23593</c:v>
                </c:pt>
                <c:pt idx="67">
                  <c:v>23618</c:v>
                </c:pt>
                <c:pt idx="68">
                  <c:v>23618</c:v>
                </c:pt>
                <c:pt idx="69">
                  <c:v>23618</c:v>
                </c:pt>
                <c:pt idx="70">
                  <c:v>23618</c:v>
                </c:pt>
                <c:pt idx="71">
                  <c:v>24075.5</c:v>
                </c:pt>
                <c:pt idx="72">
                  <c:v>24075.5</c:v>
                </c:pt>
                <c:pt idx="73">
                  <c:v>24075.5</c:v>
                </c:pt>
                <c:pt idx="74">
                  <c:v>24075.5</c:v>
                </c:pt>
                <c:pt idx="75">
                  <c:v>25844</c:v>
                </c:pt>
                <c:pt idx="76">
                  <c:v>26949</c:v>
                </c:pt>
                <c:pt idx="77">
                  <c:v>27725.5</c:v>
                </c:pt>
                <c:pt idx="78">
                  <c:v>26949</c:v>
                </c:pt>
                <c:pt idx="79">
                  <c:v>27725.5</c:v>
                </c:pt>
                <c:pt idx="80">
                  <c:v>25799</c:v>
                </c:pt>
                <c:pt idx="81">
                  <c:v>25799</c:v>
                </c:pt>
                <c:pt idx="82">
                  <c:v>25799</c:v>
                </c:pt>
                <c:pt idx="83">
                  <c:v>25799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1">
                  <c:v>2.3332383173192132E-2</c:v>
                </c:pt>
                <c:pt idx="2">
                  <c:v>2.273421457032878E-2</c:v>
                </c:pt>
                <c:pt idx="3">
                  <c:v>1.53829512488005E-2</c:v>
                </c:pt>
                <c:pt idx="4">
                  <c:v>1.537968256791053E-2</c:v>
                </c:pt>
                <c:pt idx="5">
                  <c:v>1.537968256791053E-2</c:v>
                </c:pt>
                <c:pt idx="6">
                  <c:v>1.537968256791053E-2</c:v>
                </c:pt>
                <c:pt idx="7">
                  <c:v>8.9796053853616747E-3</c:v>
                </c:pt>
                <c:pt idx="8">
                  <c:v>8.4304669958477768E-3</c:v>
                </c:pt>
                <c:pt idx="9">
                  <c:v>2.0957634310981993E-3</c:v>
                </c:pt>
                <c:pt idx="10">
                  <c:v>1.4747140620051113E-3</c:v>
                </c:pt>
                <c:pt idx="11">
                  <c:v>1.3831909970861284E-3</c:v>
                </c:pt>
                <c:pt idx="12">
                  <c:v>-4.9384378441036103E-3</c:v>
                </c:pt>
                <c:pt idx="13">
                  <c:v>-5.242425166870221E-3</c:v>
                </c:pt>
                <c:pt idx="14">
                  <c:v>-1.6934496710270253E-2</c:v>
                </c:pt>
                <c:pt idx="15">
                  <c:v>-3.0068056526144263E-2</c:v>
                </c:pt>
                <c:pt idx="16">
                  <c:v>-3.0754479513036628E-2</c:v>
                </c:pt>
                <c:pt idx="17">
                  <c:v>-3.1695859609346164E-2</c:v>
                </c:pt>
                <c:pt idx="18">
                  <c:v>-3.2388819958018455E-2</c:v>
                </c:pt>
                <c:pt idx="19">
                  <c:v>-3.2388819958018455E-2</c:v>
                </c:pt>
                <c:pt idx="20">
                  <c:v>-3.7452006656572182E-2</c:v>
                </c:pt>
                <c:pt idx="21">
                  <c:v>-3.8344356539532262E-2</c:v>
                </c:pt>
                <c:pt idx="22">
                  <c:v>-5.2177414065858477E-2</c:v>
                </c:pt>
                <c:pt idx="23">
                  <c:v>-5.2177414065858477E-2</c:v>
                </c:pt>
                <c:pt idx="24">
                  <c:v>-5.2177414065858477E-2</c:v>
                </c:pt>
                <c:pt idx="25">
                  <c:v>-5.2177414065858477E-2</c:v>
                </c:pt>
                <c:pt idx="26">
                  <c:v>-5.5959277855546455E-2</c:v>
                </c:pt>
                <c:pt idx="27">
                  <c:v>-5.5959277855546455E-2</c:v>
                </c:pt>
                <c:pt idx="28">
                  <c:v>-5.5959277855546455E-2</c:v>
                </c:pt>
                <c:pt idx="29">
                  <c:v>-5.5959277855546455E-2</c:v>
                </c:pt>
                <c:pt idx="30">
                  <c:v>-5.7276556254201791E-2</c:v>
                </c:pt>
                <c:pt idx="31">
                  <c:v>-5.8400982480349292E-2</c:v>
                </c:pt>
                <c:pt idx="32">
                  <c:v>-5.8400982480349292E-2</c:v>
                </c:pt>
                <c:pt idx="33">
                  <c:v>-5.8400982480349292E-2</c:v>
                </c:pt>
                <c:pt idx="34">
                  <c:v>-5.8400982480349292E-2</c:v>
                </c:pt>
                <c:pt idx="35">
                  <c:v>-5.8783418144475061E-2</c:v>
                </c:pt>
                <c:pt idx="36">
                  <c:v>-5.8783418144475061E-2</c:v>
                </c:pt>
                <c:pt idx="37">
                  <c:v>-5.8783418144475061E-2</c:v>
                </c:pt>
                <c:pt idx="38">
                  <c:v>-5.8783418144475061E-2</c:v>
                </c:pt>
                <c:pt idx="39">
                  <c:v>-6.5830694143236709E-2</c:v>
                </c:pt>
                <c:pt idx="40">
                  <c:v>-6.5830694143236709E-2</c:v>
                </c:pt>
                <c:pt idx="41">
                  <c:v>-6.5830694143236709E-2</c:v>
                </c:pt>
                <c:pt idx="42">
                  <c:v>-6.5830694143236709E-2</c:v>
                </c:pt>
                <c:pt idx="43">
                  <c:v>-6.5830694143236709E-2</c:v>
                </c:pt>
                <c:pt idx="44">
                  <c:v>-6.5830694143236709E-2</c:v>
                </c:pt>
                <c:pt idx="45">
                  <c:v>-6.5830694143236709E-2</c:v>
                </c:pt>
                <c:pt idx="46">
                  <c:v>-6.5830694143236709E-2</c:v>
                </c:pt>
                <c:pt idx="47">
                  <c:v>-6.6396175937200416E-2</c:v>
                </c:pt>
                <c:pt idx="48">
                  <c:v>-6.6396175937200416E-2</c:v>
                </c:pt>
                <c:pt idx="49">
                  <c:v>-6.6396175937200416E-2</c:v>
                </c:pt>
                <c:pt idx="50">
                  <c:v>-6.6396175937200416E-2</c:v>
                </c:pt>
                <c:pt idx="51">
                  <c:v>-6.6396175937200416E-2</c:v>
                </c:pt>
                <c:pt idx="52">
                  <c:v>-6.6396175937200416E-2</c:v>
                </c:pt>
                <c:pt idx="53">
                  <c:v>-6.6396175937200416E-2</c:v>
                </c:pt>
                <c:pt idx="54">
                  <c:v>-6.6396175937200416E-2</c:v>
                </c:pt>
                <c:pt idx="55">
                  <c:v>-7.0452608921645329E-2</c:v>
                </c:pt>
                <c:pt idx="56">
                  <c:v>-7.0452608921645329E-2</c:v>
                </c:pt>
                <c:pt idx="57">
                  <c:v>-7.0452608921645329E-2</c:v>
                </c:pt>
                <c:pt idx="58">
                  <c:v>-7.0452608921645329E-2</c:v>
                </c:pt>
                <c:pt idx="59">
                  <c:v>-7.0468952326095138E-2</c:v>
                </c:pt>
                <c:pt idx="60">
                  <c:v>-7.0468952326095138E-2</c:v>
                </c:pt>
                <c:pt idx="61">
                  <c:v>-7.0468952326095138E-2</c:v>
                </c:pt>
                <c:pt idx="62">
                  <c:v>-7.0468952326095138E-2</c:v>
                </c:pt>
                <c:pt idx="63">
                  <c:v>-7.6293741672010404E-2</c:v>
                </c:pt>
                <c:pt idx="64">
                  <c:v>-7.6293741672010404E-2</c:v>
                </c:pt>
                <c:pt idx="65">
                  <c:v>-7.6293741672010404E-2</c:v>
                </c:pt>
                <c:pt idx="66">
                  <c:v>-7.6293741672010404E-2</c:v>
                </c:pt>
                <c:pt idx="67">
                  <c:v>-7.6457175716508577E-2</c:v>
                </c:pt>
                <c:pt idx="68">
                  <c:v>-7.6457175716508577E-2</c:v>
                </c:pt>
                <c:pt idx="69">
                  <c:v>-7.6457175716508577E-2</c:v>
                </c:pt>
                <c:pt idx="70">
                  <c:v>-7.6457175716508577E-2</c:v>
                </c:pt>
                <c:pt idx="71">
                  <c:v>-7.944801873082534E-2</c:v>
                </c:pt>
                <c:pt idx="72">
                  <c:v>-7.944801873082534E-2</c:v>
                </c:pt>
                <c:pt idx="73">
                  <c:v>-7.944801873082534E-2</c:v>
                </c:pt>
                <c:pt idx="74">
                  <c:v>-7.944801873082534E-2</c:v>
                </c:pt>
                <c:pt idx="75">
                  <c:v>-9.100934303862683E-2</c:v>
                </c:pt>
                <c:pt idx="76">
                  <c:v>-9.8233127805446505E-2</c:v>
                </c:pt>
                <c:pt idx="77">
                  <c:v>-0.1033093892275601</c:v>
                </c:pt>
                <c:pt idx="78">
                  <c:v>-9.8233127805446505E-2</c:v>
                </c:pt>
                <c:pt idx="79">
                  <c:v>-0.1033093892275601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73-4D9F-AB81-A854DC6D5AFD}"/>
            </c:ext>
          </c:extLst>
        </c:ser>
        <c:ser>
          <c:idx val="8"/>
          <c:order val="8"/>
          <c:tx>
            <c:strRef>
              <c:f>Active!$X$1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Active!$W$2:$W$21</c:f>
              <c:numCache>
                <c:formatCode>General</c:formatCode>
                <c:ptCount val="20"/>
                <c:pt idx="0">
                  <c:v>8000</c:v>
                </c:pt>
                <c:pt idx="1">
                  <c:v>9000</c:v>
                </c:pt>
                <c:pt idx="2">
                  <c:v>10000</c:v>
                </c:pt>
                <c:pt idx="3">
                  <c:v>11000</c:v>
                </c:pt>
                <c:pt idx="4">
                  <c:v>12000</c:v>
                </c:pt>
                <c:pt idx="5">
                  <c:v>13000</c:v>
                </c:pt>
                <c:pt idx="6">
                  <c:v>14000</c:v>
                </c:pt>
                <c:pt idx="7">
                  <c:v>15000</c:v>
                </c:pt>
                <c:pt idx="8">
                  <c:v>16000</c:v>
                </c:pt>
                <c:pt idx="9">
                  <c:v>17000</c:v>
                </c:pt>
                <c:pt idx="10">
                  <c:v>18000</c:v>
                </c:pt>
                <c:pt idx="11">
                  <c:v>19000</c:v>
                </c:pt>
                <c:pt idx="12">
                  <c:v>20000</c:v>
                </c:pt>
                <c:pt idx="13">
                  <c:v>21000</c:v>
                </c:pt>
                <c:pt idx="14">
                  <c:v>22000</c:v>
                </c:pt>
                <c:pt idx="15">
                  <c:v>23000</c:v>
                </c:pt>
                <c:pt idx="16">
                  <c:v>24000</c:v>
                </c:pt>
                <c:pt idx="17">
                  <c:v>25000</c:v>
                </c:pt>
                <c:pt idx="18">
                  <c:v>26000</c:v>
                </c:pt>
              </c:numCache>
            </c:numRef>
          </c:xVal>
          <c:yVal>
            <c:numRef>
              <c:f>Active!$X$2:$X$21</c:f>
              <c:numCache>
                <c:formatCode>General</c:formatCode>
                <c:ptCount val="20"/>
                <c:pt idx="0">
                  <c:v>-7.7123014504207332E-3</c:v>
                </c:pt>
                <c:pt idx="1">
                  <c:v>-1.0301402061674486E-2</c:v>
                </c:pt>
                <c:pt idx="2">
                  <c:v>-1.3140196155554918E-2</c:v>
                </c:pt>
                <c:pt idx="3">
                  <c:v>-1.622868373206203E-2</c:v>
                </c:pt>
                <c:pt idx="4">
                  <c:v>-1.956686479119582E-2</c:v>
                </c:pt>
                <c:pt idx="5">
                  <c:v>-2.3154739332956295E-2</c:v>
                </c:pt>
                <c:pt idx="6">
                  <c:v>-2.6992307357343454E-2</c:v>
                </c:pt>
                <c:pt idx="7">
                  <c:v>-3.1079568864357289E-2</c:v>
                </c:pt>
                <c:pt idx="8">
                  <c:v>-3.5416523853997801E-2</c:v>
                </c:pt>
                <c:pt idx="9">
                  <c:v>-4.0003172326264998E-2</c:v>
                </c:pt>
                <c:pt idx="10">
                  <c:v>-4.4839514281158878E-2</c:v>
                </c:pt>
                <c:pt idx="11">
                  <c:v>-4.9925549718679435E-2</c:v>
                </c:pt>
                <c:pt idx="12">
                  <c:v>-5.5261278638826669E-2</c:v>
                </c:pt>
                <c:pt idx="13">
                  <c:v>-6.0846701041600587E-2</c:v>
                </c:pt>
                <c:pt idx="14">
                  <c:v>-6.6681816927001189E-2</c:v>
                </c:pt>
                <c:pt idx="15">
                  <c:v>-7.2766626295028461E-2</c:v>
                </c:pt>
                <c:pt idx="16">
                  <c:v>-7.9101129145682417E-2</c:v>
                </c:pt>
                <c:pt idx="17">
                  <c:v>-8.568532547896307E-2</c:v>
                </c:pt>
                <c:pt idx="18">
                  <c:v>-9.251921529487038E-2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73-4D9F-AB81-A854DC6D5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400400"/>
        <c:axId val="1"/>
      </c:scatterChart>
      <c:valAx>
        <c:axId val="70140040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44152475126649"/>
              <c:y val="0.84499891641985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74446846993867E-2"/>
              <c:y val="0.3738444621027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400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29637429042301"/>
          <c:y val="0.88583335339963243"/>
          <c:w val="0.79274665796309141"/>
          <c:h val="9.7859648277910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419100</xdr:colOff>
      <xdr:row>0</xdr:row>
      <xdr:rowOff>28575</xdr:rowOff>
    </xdr:from>
    <xdr:to>
      <xdr:col>27</xdr:col>
      <xdr:colOff>276225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0B0A83C-13CF-3E8C-E67B-B06BEFD44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17</xdr:col>
      <xdr:colOff>361950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7ACE8C09-346B-D2BD-77E4-031B51A37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1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02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814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623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623" TargetMode="External"/><Relationship Id="rId6" Type="http://schemas.openxmlformats.org/officeDocument/2006/relationships/hyperlink" Target="http://vsolj.cetus-net.org/no46.pdf" TargetMode="External"/><Relationship Id="rId11" Type="http://schemas.openxmlformats.org/officeDocument/2006/relationships/hyperlink" Target="http://var.astro.cz/oejv/issues/oejv0160.pdf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672" TargetMode="External"/><Relationship Id="rId15" Type="http://schemas.openxmlformats.org/officeDocument/2006/relationships/hyperlink" Target="http://var.astro.cz/oejv/issues/oejv0160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38" TargetMode="External"/><Relationship Id="rId19" Type="http://schemas.openxmlformats.org/officeDocument/2006/relationships/hyperlink" Target="http://www.konkoly.hu/cgi-bin/IBVS?6018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592" TargetMode="External"/><Relationship Id="rId9" Type="http://schemas.openxmlformats.org/officeDocument/2006/relationships/hyperlink" Target="http://www.konkoly.hu/cgi-bin/IBVS?5917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abSelected="1" workbookViewId="0">
      <pane xSplit="14" ySplit="21" topLeftCell="O82" activePane="bottomRight" state="frozen"/>
      <selection pane="topRight" activeCell="O1" sqref="O1"/>
      <selection pane="bottomLeft" activeCell="A22" sqref="A22"/>
      <selection pane="bottomRight" activeCell="A104" sqref="A10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0.28515625" customWidth="1"/>
    <col min="20" max="20" width="10.28515625" style="3" customWidth="1"/>
  </cols>
  <sheetData>
    <row r="1" spans="1:24" ht="21" thickBot="1">
      <c r="A1" s="1" t="s">
        <v>41</v>
      </c>
      <c r="W1" s="4" t="s">
        <v>9</v>
      </c>
      <c r="X1" s="6" t="s">
        <v>21</v>
      </c>
    </row>
    <row r="2" spans="1:24">
      <c r="A2" t="s">
        <v>23</v>
      </c>
      <c r="B2" s="35" t="s">
        <v>57</v>
      </c>
      <c r="W2" s="69">
        <v>8000</v>
      </c>
      <c r="X2" s="69">
        <f t="shared" ref="X2:X17" si="0">+D$11+D$12*W2+D$13*W2^2</f>
        <v>-7.7123014504207332E-3</v>
      </c>
    </row>
    <row r="3" spans="1:24" ht="13.5" thickBot="1">
      <c r="W3" s="69">
        <v>9000</v>
      </c>
      <c r="X3" s="69">
        <f t="shared" si="0"/>
        <v>-1.0301402061674486E-2</v>
      </c>
    </row>
    <row r="4" spans="1:24" ht="13.5" thickBot="1">
      <c r="A4" s="5" t="s">
        <v>0</v>
      </c>
      <c r="C4" s="8">
        <v>48500.305999999997</v>
      </c>
      <c r="D4" s="9">
        <v>0.35812699999999997</v>
      </c>
      <c r="W4" s="69">
        <v>10000</v>
      </c>
      <c r="X4" s="69">
        <f t="shared" si="0"/>
        <v>-1.3140196155554918E-2</v>
      </c>
    </row>
    <row r="5" spans="1:24">
      <c r="A5" s="13" t="s">
        <v>42</v>
      </c>
      <c r="B5" s="14"/>
      <c r="C5" s="15">
        <v>-9.5</v>
      </c>
      <c r="D5" s="14" t="s">
        <v>43</v>
      </c>
      <c r="W5" s="69">
        <v>11000</v>
      </c>
      <c r="X5" s="69">
        <f t="shared" si="0"/>
        <v>-1.622868373206203E-2</v>
      </c>
    </row>
    <row r="6" spans="1:24">
      <c r="A6" s="5" t="s">
        <v>1</v>
      </c>
      <c r="W6" s="69">
        <v>12000</v>
      </c>
      <c r="X6" s="69">
        <f t="shared" si="0"/>
        <v>-1.956686479119582E-2</v>
      </c>
    </row>
    <row r="7" spans="1:24">
      <c r="A7" t="s">
        <v>2</v>
      </c>
      <c r="C7">
        <f>+C4</f>
        <v>48500.305999999997</v>
      </c>
      <c r="W7" s="69">
        <v>13000</v>
      </c>
      <c r="X7" s="69">
        <f t="shared" si="0"/>
        <v>-2.3154739332956295E-2</v>
      </c>
    </row>
    <row r="8" spans="1:24">
      <c r="A8" t="s">
        <v>3</v>
      </c>
      <c r="C8">
        <f>+D4</f>
        <v>0.35812699999999997</v>
      </c>
      <c r="W8" s="69">
        <v>14000</v>
      </c>
      <c r="X8" s="69">
        <f t="shared" si="0"/>
        <v>-2.6992307357343454E-2</v>
      </c>
    </row>
    <row r="9" spans="1:24">
      <c r="A9" s="25" t="s">
        <v>48</v>
      </c>
      <c r="B9" s="26">
        <v>56</v>
      </c>
      <c r="C9" s="24" t="str">
        <f>"F"&amp;B9</f>
        <v>F56</v>
      </c>
      <c r="D9" s="10" t="str">
        <f>"G"&amp;B9</f>
        <v>G56</v>
      </c>
      <c r="W9" s="69">
        <v>15000</v>
      </c>
      <c r="X9" s="69">
        <f t="shared" si="0"/>
        <v>-3.1079568864357289E-2</v>
      </c>
    </row>
    <row r="10" spans="1:24" ht="13.5" thickBot="1">
      <c r="A10" s="14"/>
      <c r="B10" s="14"/>
      <c r="C10" s="4" t="s">
        <v>19</v>
      </c>
      <c r="D10" s="4" t="s">
        <v>20</v>
      </c>
      <c r="E10" s="14"/>
      <c r="W10" s="69">
        <v>16000</v>
      </c>
      <c r="X10" s="69">
        <f t="shared" si="0"/>
        <v>-3.5416523853997801E-2</v>
      </c>
    </row>
    <row r="11" spans="1:24">
      <c r="A11" s="14" t="s">
        <v>15</v>
      </c>
      <c r="B11" s="14"/>
      <c r="C11" s="23">
        <f ca="1">INTERCEPT(INDIRECT($D$9):G991,INDIRECT($C$9):F991)</f>
        <v>7.7942234801815072E-2</v>
      </c>
      <c r="D11" s="3">
        <f>+E11*F11</f>
        <v>4.0115380650487765E-3</v>
      </c>
      <c r="E11" s="59">
        <v>4.0115380650487765E-3</v>
      </c>
      <c r="F11">
        <v>1</v>
      </c>
      <c r="W11" s="69">
        <v>17000</v>
      </c>
      <c r="X11" s="69">
        <f t="shared" si="0"/>
        <v>-4.0003172326264998E-2</v>
      </c>
    </row>
    <row r="12" spans="1:24">
      <c r="A12" s="14" t="s">
        <v>16</v>
      </c>
      <c r="B12" s="14"/>
      <c r="C12" s="23">
        <f ca="1">SLOPE(INDIRECT($D$9):G991,INDIRECT($C$9):F991)</f>
        <v>-6.5373617799273289E-6</v>
      </c>
      <c r="D12" s="3">
        <f>+E12*F12</f>
        <v>-4.6670600892696644E-7</v>
      </c>
      <c r="E12" s="60">
        <v>-4.6670600892696644E-3</v>
      </c>
      <c r="F12" s="61">
        <v>1E-4</v>
      </c>
      <c r="W12" s="69">
        <v>18000</v>
      </c>
      <c r="X12" s="69">
        <f t="shared" si="0"/>
        <v>-4.4839514281158878E-2</v>
      </c>
    </row>
    <row r="13" spans="1:24" ht="13.5" thickBot="1">
      <c r="A13" s="14" t="s">
        <v>18</v>
      </c>
      <c r="B13" s="14"/>
      <c r="C13" s="3" t="s">
        <v>13</v>
      </c>
      <c r="D13" s="3">
        <f>+E13*F13</f>
        <v>-1.2484674131334029E-10</v>
      </c>
      <c r="E13" s="62">
        <v>-1.248467413133403E-2</v>
      </c>
      <c r="F13" s="61">
        <v>1E-8</v>
      </c>
      <c r="W13" s="69">
        <v>19000</v>
      </c>
      <c r="X13" s="69">
        <f t="shared" si="0"/>
        <v>-4.9925549718679435E-2</v>
      </c>
    </row>
    <row r="14" spans="1:24">
      <c r="A14" s="14" t="s">
        <v>215</v>
      </c>
      <c r="B14" s="14"/>
      <c r="C14" s="14"/>
      <c r="D14">
        <f>2*D13*365.24/C8</f>
        <v>-2.5465281197611135E-7</v>
      </c>
      <c r="E14">
        <f>SUM(U21:U950)</f>
        <v>0.11655625003466819</v>
      </c>
      <c r="W14" s="69">
        <v>20000</v>
      </c>
      <c r="X14" s="69">
        <f t="shared" si="0"/>
        <v>-5.5261278638826669E-2</v>
      </c>
    </row>
    <row r="15" spans="1:24">
      <c r="A15" s="16" t="s">
        <v>17</v>
      </c>
      <c r="B15" s="14"/>
      <c r="C15" s="17">
        <f ca="1">(C7+C11)+(C8+C12)*INT(MAX(F21:F3532))</f>
        <v>58429.273768879444</v>
      </c>
      <c r="D15" s="10">
        <f>+C7+INT(MAX(F21:F1588))*C8+D11+D12*INT(MAX(F21:F4023))+D13*INT(MAX(F21:F4050)^2)</f>
        <v>58429.272177005681</v>
      </c>
      <c r="E15" s="18" t="s">
        <v>55</v>
      </c>
      <c r="F15" s="15">
        <v>1</v>
      </c>
      <c r="W15" s="69">
        <v>21000</v>
      </c>
      <c r="X15" s="69">
        <f t="shared" si="0"/>
        <v>-6.0846701041600587E-2</v>
      </c>
    </row>
    <row r="16" spans="1:24">
      <c r="A16" s="20" t="s">
        <v>4</v>
      </c>
      <c r="B16" s="14"/>
      <c r="C16" s="21">
        <f ca="1">+C8+C12</f>
        <v>0.35812046263822006</v>
      </c>
      <c r="D16" s="10">
        <f>+C8+D12+2*D13*MAX(F21:F896)</f>
        <v>0.35811961041733847</v>
      </c>
      <c r="E16" s="18" t="s">
        <v>44</v>
      </c>
      <c r="F16" s="19">
        <f ca="1">NOW()+15018.5+$C$5/24</f>
        <v>60342.741681597217</v>
      </c>
      <c r="W16" s="69">
        <v>22000</v>
      </c>
      <c r="X16" s="69">
        <f t="shared" si="0"/>
        <v>-6.6681816927001189E-2</v>
      </c>
    </row>
    <row r="17" spans="1:24" ht="13.5" thickBot="1">
      <c r="A17" s="18" t="s">
        <v>40</v>
      </c>
      <c r="B17" s="14"/>
      <c r="C17" s="14">
        <f>COUNT(C21:C2190)</f>
        <v>84</v>
      </c>
      <c r="E17" s="18" t="s">
        <v>56</v>
      </c>
      <c r="F17" s="19">
        <f ca="1">ROUND(2*(F16-$C$7)/$C$8,0)/2+F15</f>
        <v>33068.5</v>
      </c>
      <c r="W17" s="69">
        <v>23000</v>
      </c>
      <c r="X17" s="69">
        <f t="shared" si="0"/>
        <v>-7.2766626295028461E-2</v>
      </c>
    </row>
    <row r="18" spans="1:24" ht="14.25" thickTop="1" thickBot="1">
      <c r="A18" s="5" t="s">
        <v>210</v>
      </c>
      <c r="C18" s="63">
        <f ca="1">+C15</f>
        <v>58429.273768879444</v>
      </c>
      <c r="D18" s="64">
        <f ca="1">C16</f>
        <v>0.35812046263822006</v>
      </c>
      <c r="E18" s="18" t="s">
        <v>45</v>
      </c>
      <c r="F18" s="10">
        <f ca="1">ROUND(2*(F16-$C$15)/$C$16,0)/2+F15</f>
        <v>5344</v>
      </c>
      <c r="W18" s="69">
        <v>24000</v>
      </c>
      <c r="X18" s="69">
        <f>+D$11+D$12*W18+D$13*W18^2</f>
        <v>-7.9101129145682417E-2</v>
      </c>
    </row>
    <row r="19" spans="1:24" ht="13.5" thickBot="1">
      <c r="A19" s="5" t="s">
        <v>211</v>
      </c>
      <c r="C19" s="8">
        <f>+D15</f>
        <v>58429.272177005681</v>
      </c>
      <c r="D19" s="9">
        <f>+D16</f>
        <v>0.35811961041733847</v>
      </c>
      <c r="E19" s="18" t="s">
        <v>46</v>
      </c>
      <c r="F19" s="22">
        <f ca="1">+$C$15+$C$16*F18-15018.5-$C$5/24</f>
        <v>45324.96535455143</v>
      </c>
      <c r="W19" s="69">
        <v>25000</v>
      </c>
      <c r="X19" s="69">
        <f>+D$11+D$12*W19+D$13*W19^2</f>
        <v>-8.568532547896307E-2</v>
      </c>
    </row>
    <row r="20" spans="1:24" ht="15" thickBot="1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72</v>
      </c>
      <c r="I20" s="7" t="s">
        <v>52</v>
      </c>
      <c r="J20" s="7" t="s">
        <v>69</v>
      </c>
      <c r="K20" s="7" t="s">
        <v>67</v>
      </c>
      <c r="L20" s="7" t="s">
        <v>28</v>
      </c>
      <c r="M20" s="7" t="s">
        <v>61</v>
      </c>
      <c r="N20" s="7" t="s">
        <v>24</v>
      </c>
      <c r="O20" s="7" t="s">
        <v>22</v>
      </c>
      <c r="P20" s="65" t="s">
        <v>21</v>
      </c>
      <c r="Q20" s="4" t="s">
        <v>14</v>
      </c>
      <c r="R20" s="4"/>
      <c r="S20" s="66" t="s">
        <v>212</v>
      </c>
      <c r="T20" s="6" t="s">
        <v>213</v>
      </c>
      <c r="U20" s="66" t="s">
        <v>214</v>
      </c>
      <c r="V20" s="71" t="s">
        <v>64</v>
      </c>
      <c r="W20" s="69">
        <v>26000</v>
      </c>
      <c r="X20" s="69">
        <f>+D$11+D$12*W20+D$13*W20^2</f>
        <v>-9.251921529487038E-2</v>
      </c>
    </row>
    <row r="21" spans="1:24">
      <c r="A21" t="s">
        <v>11</v>
      </c>
      <c r="B21" s="3"/>
      <c r="C21" s="12">
        <f>C$4</f>
        <v>48500.305999999997</v>
      </c>
      <c r="D21" s="12" t="s">
        <v>13</v>
      </c>
      <c r="E21">
        <f t="shared" ref="E21:E52" si="1">+(C21-C$7)/C$8</f>
        <v>0</v>
      </c>
      <c r="F21">
        <f t="shared" ref="F21:F52" si="2">ROUND(2*E21,0)/2</f>
        <v>0</v>
      </c>
      <c r="H21" s="10"/>
      <c r="I21">
        <f>G21</f>
        <v>0</v>
      </c>
      <c r="P21" s="67">
        <f t="shared" ref="P21:P52" si="3">+D$11+D$12*F21+D$13*F21^2</f>
        <v>4.0115380650487765E-3</v>
      </c>
      <c r="Q21" s="68">
        <f t="shared" ref="Q21:Q52" si="4">+C21-15018.5</f>
        <v>33481.805999999997</v>
      </c>
      <c r="R21" s="68"/>
      <c r="S21" s="69">
        <f t="shared" ref="S21:S52" si="5">+(P21-G21)^2</f>
        <v>1.609243764733528E-5</v>
      </c>
      <c r="T21" s="70">
        <v>1</v>
      </c>
      <c r="U21" s="69">
        <f t="shared" ref="U21:U52" si="6">+T21*S21</f>
        <v>1.609243764733528E-5</v>
      </c>
    </row>
    <row r="22" spans="1:24">
      <c r="A22" t="s">
        <v>30</v>
      </c>
      <c r="B22" s="3" t="s">
        <v>31</v>
      </c>
      <c r="C22" s="12">
        <v>51491.912799999998</v>
      </c>
      <c r="D22" s="12">
        <v>3.0000000000000001E-3</v>
      </c>
      <c r="E22">
        <f t="shared" si="1"/>
        <v>8353.4801899884715</v>
      </c>
      <c r="F22">
        <f t="shared" si="2"/>
        <v>8353.5</v>
      </c>
      <c r="G22">
        <f t="shared" ref="G22:G27" si="7">+C22-(C$7+F22*C$8)</f>
        <v>-7.0944999970379286E-3</v>
      </c>
      <c r="K22">
        <f>G22</f>
        <v>-7.0944999970379286E-3</v>
      </c>
      <c r="O22">
        <f t="shared" ref="O22:O53" ca="1" si="8">+C$11+C$12*F22</f>
        <v>2.3332383173192132E-2</v>
      </c>
      <c r="P22" s="67">
        <f t="shared" si="3"/>
        <v>-8.5990163231443525E-3</v>
      </c>
      <c r="Q22" s="2">
        <f t="shared" si="4"/>
        <v>36473.412799999998</v>
      </c>
      <c r="R22" s="2" t="s">
        <v>67</v>
      </c>
      <c r="S22" s="69">
        <f t="shared" si="5"/>
        <v>2.2635693755207717E-6</v>
      </c>
      <c r="T22" s="70">
        <v>1</v>
      </c>
      <c r="U22" s="69">
        <f t="shared" si="6"/>
        <v>2.2635693755207717E-6</v>
      </c>
    </row>
    <row r="23" spans="1:24">
      <c r="A23" t="s">
        <v>30</v>
      </c>
      <c r="B23" s="3" t="s">
        <v>31</v>
      </c>
      <c r="C23" s="12">
        <v>51524.680399999997</v>
      </c>
      <c r="D23" s="12">
        <v>3.0000000000000001E-3</v>
      </c>
      <c r="E23">
        <f t="shared" si="1"/>
        <v>8444.9773404406842</v>
      </c>
      <c r="F23">
        <f t="shared" si="2"/>
        <v>8445</v>
      </c>
      <c r="G23">
        <f t="shared" si="7"/>
        <v>-8.1149999969056807E-3</v>
      </c>
      <c r="K23">
        <f>G23</f>
        <v>-8.1149999969056807E-3</v>
      </c>
      <c r="O23">
        <f t="shared" ca="1" si="8"/>
        <v>2.273421457032878E-2</v>
      </c>
      <c r="P23" s="67">
        <f t="shared" si="3"/>
        <v>-8.8336171984927919E-3</v>
      </c>
      <c r="Q23" s="2">
        <f t="shared" si="4"/>
        <v>36506.180399999997</v>
      </c>
      <c r="R23" s="2" t="s">
        <v>67</v>
      </c>
      <c r="S23" s="69">
        <f t="shared" si="5"/>
        <v>5.1641068241689071E-7</v>
      </c>
      <c r="T23" s="70">
        <v>1</v>
      </c>
      <c r="U23" s="69">
        <f t="shared" si="6"/>
        <v>5.1641068241689071E-7</v>
      </c>
    </row>
    <row r="24" spans="1:24">
      <c r="A24" s="11" t="s">
        <v>36</v>
      </c>
      <c r="B24" s="3" t="s">
        <v>35</v>
      </c>
      <c r="C24" s="12">
        <v>51927.392800000001</v>
      </c>
      <c r="D24" s="12">
        <v>4.0000000000000002E-4</v>
      </c>
      <c r="E24">
        <f t="shared" si="1"/>
        <v>9569.4733991014491</v>
      </c>
      <c r="F24">
        <f t="shared" si="2"/>
        <v>9569.5</v>
      </c>
      <c r="G24">
        <f t="shared" si="7"/>
        <v>-9.5264999981736764E-3</v>
      </c>
      <c r="J24">
        <f>G24</f>
        <v>-9.5264999981736764E-3</v>
      </c>
      <c r="O24">
        <f t="shared" ca="1" si="8"/>
        <v>1.53829512488005E-2</v>
      </c>
      <c r="P24" s="67">
        <f t="shared" si="3"/>
        <v>-1.1887486653783285E-2</v>
      </c>
      <c r="Q24" s="2">
        <f t="shared" si="4"/>
        <v>36908.892800000001</v>
      </c>
      <c r="R24" s="2" t="s">
        <v>69</v>
      </c>
      <c r="S24" s="69">
        <f t="shared" si="5"/>
        <v>5.5742579879666462E-6</v>
      </c>
      <c r="T24" s="70">
        <v>1</v>
      </c>
      <c r="U24" s="69">
        <f t="shared" si="6"/>
        <v>5.5742579879666462E-6</v>
      </c>
    </row>
    <row r="25" spans="1:24">
      <c r="A25" s="29" t="s">
        <v>36</v>
      </c>
      <c r="B25" s="28" t="s">
        <v>37</v>
      </c>
      <c r="C25" s="29">
        <v>51927.5723</v>
      </c>
      <c r="D25" s="29">
        <v>4.0000000000000002E-4</v>
      </c>
      <c r="E25">
        <f t="shared" si="1"/>
        <v>9569.9746179428057</v>
      </c>
      <c r="F25">
        <f t="shared" si="2"/>
        <v>9570</v>
      </c>
      <c r="G25">
        <f t="shared" si="7"/>
        <v>-9.0899999995599501E-3</v>
      </c>
      <c r="J25">
        <f>G25</f>
        <v>-9.0899999995599501E-3</v>
      </c>
      <c r="O25">
        <f t="shared" ca="1" si="8"/>
        <v>1.537968256791053E-2</v>
      </c>
      <c r="P25" s="67">
        <f t="shared" si="3"/>
        <v>-1.1888914758890432E-2</v>
      </c>
      <c r="Q25" s="2">
        <f t="shared" si="4"/>
        <v>36909.0723</v>
      </c>
      <c r="R25" s="2" t="s">
        <v>69</v>
      </c>
      <c r="S25" s="69">
        <f t="shared" si="5"/>
        <v>7.8339238299980077E-6</v>
      </c>
      <c r="T25" s="70">
        <v>1</v>
      </c>
      <c r="U25" s="69">
        <f t="shared" si="6"/>
        <v>7.8339238299980077E-6</v>
      </c>
    </row>
    <row r="26" spans="1:24">
      <c r="A26" s="29" t="s">
        <v>36</v>
      </c>
      <c r="B26" s="28" t="s">
        <v>37</v>
      </c>
      <c r="C26" s="29">
        <v>51927.5723</v>
      </c>
      <c r="D26" s="29">
        <v>4.0000000000000002E-4</v>
      </c>
      <c r="E26">
        <f t="shared" si="1"/>
        <v>9569.9746179428057</v>
      </c>
      <c r="F26">
        <f t="shared" si="2"/>
        <v>9570</v>
      </c>
      <c r="G26">
        <f t="shared" si="7"/>
        <v>-9.0899999995599501E-3</v>
      </c>
      <c r="J26">
        <f>G26</f>
        <v>-9.0899999995599501E-3</v>
      </c>
      <c r="O26">
        <f t="shared" ca="1" si="8"/>
        <v>1.537968256791053E-2</v>
      </c>
      <c r="P26" s="67">
        <f t="shared" si="3"/>
        <v>-1.1888914758890432E-2</v>
      </c>
      <c r="Q26" s="2">
        <f t="shared" si="4"/>
        <v>36909.0723</v>
      </c>
      <c r="R26" s="2" t="s">
        <v>69</v>
      </c>
      <c r="S26" s="69">
        <f t="shared" si="5"/>
        <v>7.8339238299980077E-6</v>
      </c>
      <c r="T26" s="70">
        <v>1</v>
      </c>
      <c r="U26" s="69">
        <f t="shared" si="6"/>
        <v>7.8339238299980077E-6</v>
      </c>
    </row>
    <row r="27" spans="1:24">
      <c r="A27" s="27" t="s">
        <v>29</v>
      </c>
      <c r="B27" s="28"/>
      <c r="C27" s="29">
        <v>51927.5723</v>
      </c>
      <c r="D27" s="12"/>
      <c r="E27">
        <f t="shared" si="1"/>
        <v>9569.9746179428057</v>
      </c>
      <c r="F27">
        <f t="shared" si="2"/>
        <v>9570</v>
      </c>
      <c r="G27">
        <f t="shared" si="7"/>
        <v>-9.0899999995599501E-3</v>
      </c>
      <c r="K27">
        <f>G27</f>
        <v>-9.0899999995599501E-3</v>
      </c>
      <c r="O27">
        <f t="shared" ca="1" si="8"/>
        <v>1.537968256791053E-2</v>
      </c>
      <c r="P27" s="67">
        <f t="shared" si="3"/>
        <v>-1.1888914758890432E-2</v>
      </c>
      <c r="Q27" s="2">
        <f t="shared" si="4"/>
        <v>36909.0723</v>
      </c>
      <c r="R27" s="2"/>
      <c r="S27" s="69">
        <f t="shared" si="5"/>
        <v>7.8339238299980077E-6</v>
      </c>
      <c r="T27" s="70">
        <v>1</v>
      </c>
      <c r="U27" s="69">
        <f t="shared" si="6"/>
        <v>7.8339238299980077E-6</v>
      </c>
    </row>
    <row r="28" spans="1:24">
      <c r="A28" s="36" t="s">
        <v>51</v>
      </c>
      <c r="B28" s="37" t="s">
        <v>37</v>
      </c>
      <c r="C28" s="36">
        <v>52278.2696</v>
      </c>
      <c r="D28" s="36" t="s">
        <v>52</v>
      </c>
      <c r="E28">
        <f t="shared" si="1"/>
        <v>10549.228625599308</v>
      </c>
      <c r="F28">
        <f t="shared" si="2"/>
        <v>10549</v>
      </c>
      <c r="G28" s="10"/>
      <c r="O28">
        <f t="shared" ca="1" si="8"/>
        <v>8.9796053853616747E-3</v>
      </c>
      <c r="P28" s="67">
        <f t="shared" si="3"/>
        <v>-1.4804863906754881E-2</v>
      </c>
      <c r="Q28" s="2">
        <f t="shared" si="4"/>
        <v>37259.7696</v>
      </c>
      <c r="R28" s="2"/>
      <c r="S28" s="69">
        <f t="shared" si="5"/>
        <v>2.191839952975334E-4</v>
      </c>
      <c r="T28" s="70"/>
      <c r="U28" s="69">
        <f t="shared" si="6"/>
        <v>0</v>
      </c>
      <c r="V28" s="10">
        <v>8.1877000004169531E-2</v>
      </c>
    </row>
    <row r="29" spans="1:24">
      <c r="A29" s="30" t="s">
        <v>38</v>
      </c>
      <c r="B29" s="27"/>
      <c r="C29" s="29">
        <v>52308.256999999998</v>
      </c>
      <c r="D29" s="29"/>
      <c r="E29">
        <f t="shared" si="1"/>
        <v>10632.962608236747</v>
      </c>
      <c r="F29">
        <f t="shared" si="2"/>
        <v>10633</v>
      </c>
      <c r="G29">
        <f t="shared" ref="G29:G60" si="9">+C29-(C$7+F29*C$8)</f>
        <v>-1.3391000000410713E-2</v>
      </c>
      <c r="I29">
        <f>G29</f>
        <v>-1.3391000000410713E-2</v>
      </c>
      <c r="O29">
        <f t="shared" ca="1" si="8"/>
        <v>8.4304669958477768E-3</v>
      </c>
      <c r="P29" s="67">
        <f t="shared" si="3"/>
        <v>-1.5066205520162676E-2</v>
      </c>
      <c r="Q29" s="2">
        <f t="shared" si="4"/>
        <v>37289.756999999998</v>
      </c>
      <c r="R29" s="2"/>
      <c r="S29" s="69">
        <f t="shared" si="5"/>
        <v>2.8063135334074436E-6</v>
      </c>
      <c r="T29" s="70">
        <v>1</v>
      </c>
      <c r="U29" s="69">
        <f t="shared" si="6"/>
        <v>2.8063135334074436E-6</v>
      </c>
    </row>
    <row r="30" spans="1:24">
      <c r="A30" s="27" t="s">
        <v>32</v>
      </c>
      <c r="B30" s="27"/>
      <c r="C30" s="29">
        <v>52655.276400000002</v>
      </c>
      <c r="D30" s="29">
        <v>1.1000000000000001E-3</v>
      </c>
      <c r="E30">
        <f t="shared" si="1"/>
        <v>11601.946795410584</v>
      </c>
      <c r="F30">
        <f t="shared" si="2"/>
        <v>11602</v>
      </c>
      <c r="G30">
        <f t="shared" si="9"/>
        <v>-1.9053999996685889E-2</v>
      </c>
      <c r="K30">
        <f t="shared" ref="K30:K35" si="10">G30</f>
        <v>-1.9053999996685889E-2</v>
      </c>
      <c r="O30">
        <f t="shared" ca="1" si="8"/>
        <v>2.0957634310981993E-3</v>
      </c>
      <c r="P30" s="67">
        <f t="shared" si="3"/>
        <v>-1.8208355949828864E-2</v>
      </c>
      <c r="Q30" s="2">
        <f t="shared" si="4"/>
        <v>37636.776400000002</v>
      </c>
      <c r="R30" s="2" t="s">
        <v>216</v>
      </c>
      <c r="S30" s="69">
        <f t="shared" si="5"/>
        <v>7.1511385398472589E-7</v>
      </c>
      <c r="T30" s="70">
        <v>1</v>
      </c>
      <c r="U30" s="69">
        <f t="shared" si="6"/>
        <v>7.1511385398472589E-7</v>
      </c>
    </row>
    <row r="31" spans="1:24">
      <c r="A31" s="27" t="s">
        <v>32</v>
      </c>
      <c r="B31" s="27"/>
      <c r="C31" s="29">
        <v>52689.299099999997</v>
      </c>
      <c r="D31" s="29">
        <v>5.9999999999999995E-4</v>
      </c>
      <c r="E31">
        <f t="shared" si="1"/>
        <v>11696.948568524575</v>
      </c>
      <c r="F31">
        <f t="shared" si="2"/>
        <v>11697</v>
      </c>
      <c r="G31">
        <f t="shared" si="9"/>
        <v>-1.8418999999994412E-2</v>
      </c>
      <c r="K31">
        <f t="shared" si="10"/>
        <v>-1.8418999999994412E-2</v>
      </c>
      <c r="O31">
        <f t="shared" ca="1" si="8"/>
        <v>1.4747140620051113E-3</v>
      </c>
      <c r="P31" s="67">
        <f t="shared" si="3"/>
        <v>-1.8529029422133581E-2</v>
      </c>
      <c r="Q31" s="2">
        <f t="shared" si="4"/>
        <v>37670.799099999997</v>
      </c>
      <c r="R31" s="2" t="s">
        <v>216</v>
      </c>
      <c r="S31" s="69">
        <f t="shared" si="5"/>
        <v>1.2106473736279331E-8</v>
      </c>
      <c r="T31" s="70">
        <v>1</v>
      </c>
      <c r="U31" s="69">
        <f t="shared" si="6"/>
        <v>1.2106473736279331E-8</v>
      </c>
    </row>
    <row r="32" spans="1:24">
      <c r="A32" s="27" t="s">
        <v>32</v>
      </c>
      <c r="B32" s="27"/>
      <c r="C32" s="29">
        <v>52694.313999999998</v>
      </c>
      <c r="D32" s="29">
        <v>2E-3</v>
      </c>
      <c r="E32">
        <f t="shared" si="1"/>
        <v>11710.951701491376</v>
      </c>
      <c r="F32">
        <f t="shared" si="2"/>
        <v>11711</v>
      </c>
      <c r="G32">
        <f t="shared" si="9"/>
        <v>-1.729699999850709E-2</v>
      </c>
      <c r="K32">
        <f t="shared" si="10"/>
        <v>-1.729699999850709E-2</v>
      </c>
      <c r="O32">
        <f t="shared" ca="1" si="8"/>
        <v>1.3831909970861284E-3</v>
      </c>
      <c r="P32" s="67">
        <f t="shared" si="3"/>
        <v>-1.8576477081547832E-2</v>
      </c>
      <c r="Q32" s="2">
        <f t="shared" si="4"/>
        <v>37675.813999999998</v>
      </c>
      <c r="R32" s="2" t="s">
        <v>216</v>
      </c>
      <c r="S32" s="69">
        <f t="shared" si="5"/>
        <v>1.6370616060264459E-6</v>
      </c>
      <c r="T32" s="70">
        <v>1</v>
      </c>
      <c r="U32" s="69">
        <f t="shared" si="6"/>
        <v>1.6370616060264459E-6</v>
      </c>
    </row>
    <row r="33" spans="1:22">
      <c r="A33" s="31" t="s">
        <v>33</v>
      </c>
      <c r="B33" s="27"/>
      <c r="C33" s="29">
        <v>53040.617200000001</v>
      </c>
      <c r="D33" s="29">
        <v>2.0000000000000001E-4</v>
      </c>
      <c r="E33">
        <f t="shared" si="1"/>
        <v>12677.936039449703</v>
      </c>
      <c r="F33">
        <f t="shared" si="2"/>
        <v>12678</v>
      </c>
      <c r="G33">
        <f t="shared" si="9"/>
        <v>-2.2905999998329207E-2</v>
      </c>
      <c r="K33">
        <f t="shared" si="10"/>
        <v>-2.2905999998329207E-2</v>
      </c>
      <c r="O33">
        <f t="shared" ca="1" si="8"/>
        <v>-4.9384378441036103E-3</v>
      </c>
      <c r="P33" s="67">
        <f t="shared" si="3"/>
        <v>-2.1972187689332862E-2</v>
      </c>
      <c r="Q33" s="2">
        <f t="shared" si="4"/>
        <v>38022.117200000001</v>
      </c>
      <c r="R33" s="2" t="s">
        <v>67</v>
      </c>
      <c r="S33" s="69">
        <f t="shared" si="5"/>
        <v>8.7200542843308537E-7</v>
      </c>
      <c r="T33" s="70">
        <v>1</v>
      </c>
      <c r="U33" s="69">
        <f t="shared" si="6"/>
        <v>8.7200542843308537E-7</v>
      </c>
    </row>
    <row r="34" spans="1:22">
      <c r="A34" s="29" t="s">
        <v>34</v>
      </c>
      <c r="B34" s="32" t="s">
        <v>35</v>
      </c>
      <c r="C34" s="29">
        <v>53057.271399999998</v>
      </c>
      <c r="D34" s="29">
        <v>1E-4</v>
      </c>
      <c r="E34">
        <f t="shared" si="1"/>
        <v>12724.439654089196</v>
      </c>
      <c r="F34">
        <f t="shared" si="2"/>
        <v>12724.5</v>
      </c>
      <c r="G34">
        <f t="shared" si="9"/>
        <v>-2.1611500000290107E-2</v>
      </c>
      <c r="K34">
        <f t="shared" si="10"/>
        <v>-2.1611500000290107E-2</v>
      </c>
      <c r="O34">
        <f t="shared" ca="1" si="8"/>
        <v>-5.242425166870221E-3</v>
      </c>
      <c r="P34" s="67">
        <f t="shared" si="3"/>
        <v>-2.214136051834683E-2</v>
      </c>
      <c r="Q34" s="2">
        <f t="shared" si="4"/>
        <v>38038.771399999998</v>
      </c>
      <c r="R34" s="2" t="s">
        <v>67</v>
      </c>
      <c r="S34" s="69">
        <f t="shared" si="5"/>
        <v>2.8075216859533843E-7</v>
      </c>
      <c r="T34" s="70">
        <v>1</v>
      </c>
      <c r="U34" s="69">
        <f t="shared" si="6"/>
        <v>2.8075216859533843E-7</v>
      </c>
    </row>
    <row r="35" spans="1:22">
      <c r="A35" s="31" t="s">
        <v>39</v>
      </c>
      <c r="B35" s="27"/>
      <c r="C35" s="29">
        <v>53697.772900000004</v>
      </c>
      <c r="D35" s="29">
        <v>1E-4</v>
      </c>
      <c r="E35">
        <f t="shared" si="1"/>
        <v>14512.915529965647</v>
      </c>
      <c r="F35">
        <f t="shared" si="2"/>
        <v>14513</v>
      </c>
      <c r="G35">
        <f t="shared" si="9"/>
        <v>-3.025099999649683E-2</v>
      </c>
      <c r="K35">
        <f t="shared" si="10"/>
        <v>-3.025099999649683E-2</v>
      </c>
      <c r="O35">
        <f t="shared" ca="1" si="8"/>
        <v>-1.6934496710270253E-2</v>
      </c>
      <c r="P35" s="67">
        <f t="shared" si="3"/>
        <v>-2.9057881924212495E-2</v>
      </c>
      <c r="Q35" s="2">
        <f t="shared" si="4"/>
        <v>38679.272900000004</v>
      </c>
      <c r="R35" s="2" t="s">
        <v>67</v>
      </c>
      <c r="S35" s="69">
        <f t="shared" si="5"/>
        <v>1.423530734411487E-6</v>
      </c>
      <c r="T35" s="70">
        <v>1</v>
      </c>
      <c r="U35" s="69">
        <f t="shared" si="6"/>
        <v>1.423530734411487E-6</v>
      </c>
    </row>
    <row r="36" spans="1:22">
      <c r="A36" s="55" t="s">
        <v>119</v>
      </c>
      <c r="B36" s="56" t="s">
        <v>37</v>
      </c>
      <c r="C36" s="55">
        <v>54417.241999999998</v>
      </c>
      <c r="D36" s="55" t="s">
        <v>52</v>
      </c>
      <c r="E36">
        <f t="shared" si="1"/>
        <v>16521.893071452312</v>
      </c>
      <c r="F36">
        <f t="shared" si="2"/>
        <v>16522</v>
      </c>
      <c r="G36">
        <f t="shared" si="9"/>
        <v>-3.8293999998131767E-2</v>
      </c>
      <c r="I36">
        <f>G36</f>
        <v>-3.8293999998131767E-2</v>
      </c>
      <c r="O36">
        <f t="shared" ca="1" si="8"/>
        <v>-3.0068056526144263E-2</v>
      </c>
      <c r="P36" s="67">
        <f t="shared" si="3"/>
        <v>-3.7779603097015738E-2</v>
      </c>
      <c r="Q36" s="2">
        <f t="shared" si="4"/>
        <v>39398.741999999998</v>
      </c>
      <c r="R36" s="2"/>
      <c r="S36" s="69">
        <f t="shared" si="5"/>
        <v>2.6460417187777407E-7</v>
      </c>
      <c r="T36" s="70">
        <v>1</v>
      </c>
      <c r="U36" s="69">
        <f t="shared" si="6"/>
        <v>2.6460417187777407E-7</v>
      </c>
      <c r="V36" s="41"/>
    </row>
    <row r="37" spans="1:22">
      <c r="A37" s="33" t="s">
        <v>47</v>
      </c>
      <c r="B37" s="32" t="s">
        <v>37</v>
      </c>
      <c r="C37" s="34">
        <v>54454.844499999999</v>
      </c>
      <c r="D37" s="34">
        <v>1E-4</v>
      </c>
      <c r="E37">
        <f t="shared" si="1"/>
        <v>16626.890739877203</v>
      </c>
      <c r="F37">
        <f t="shared" si="2"/>
        <v>16627</v>
      </c>
      <c r="G37">
        <f t="shared" si="9"/>
        <v>-3.9128999997046776E-2</v>
      </c>
      <c r="K37">
        <f>G37</f>
        <v>-3.9128999997046776E-2</v>
      </c>
      <c r="O37">
        <f t="shared" ca="1" si="8"/>
        <v>-3.0754479513036628E-2</v>
      </c>
      <c r="P37" s="67">
        <f t="shared" si="3"/>
        <v>-3.8263154413871639E-2</v>
      </c>
      <c r="Q37" s="2">
        <f t="shared" si="4"/>
        <v>39436.344499999999</v>
      </c>
      <c r="R37" s="2" t="s">
        <v>67</v>
      </c>
      <c r="S37" s="69">
        <f t="shared" si="5"/>
        <v>7.4968857390389337E-7</v>
      </c>
      <c r="T37" s="70">
        <v>1</v>
      </c>
      <c r="U37" s="69">
        <f t="shared" si="6"/>
        <v>7.4968857390389337E-7</v>
      </c>
    </row>
    <row r="38" spans="1:22">
      <c r="A38" s="29" t="s">
        <v>49</v>
      </c>
      <c r="B38" s="28" t="s">
        <v>37</v>
      </c>
      <c r="C38" s="29">
        <v>54506.413800000002</v>
      </c>
      <c r="D38" s="29">
        <v>1E-4</v>
      </c>
      <c r="E38">
        <f t="shared" si="1"/>
        <v>16770.887981079355</v>
      </c>
      <c r="F38">
        <f t="shared" si="2"/>
        <v>16771</v>
      </c>
      <c r="G38">
        <f t="shared" si="9"/>
        <v>-4.0116999996826053E-2</v>
      </c>
      <c r="J38">
        <f>G38</f>
        <v>-4.0116999996826053E-2</v>
      </c>
      <c r="O38">
        <f t="shared" ca="1" si="8"/>
        <v>-3.1695859609346164E-2</v>
      </c>
      <c r="P38" s="67">
        <f t="shared" si="3"/>
        <v>-3.893078701031627E-2</v>
      </c>
      <c r="Q38" s="2">
        <f t="shared" si="4"/>
        <v>39487.913800000002</v>
      </c>
      <c r="R38" s="2" t="s">
        <v>69</v>
      </c>
      <c r="S38" s="69">
        <f t="shared" si="5"/>
        <v>1.4071012493644575E-6</v>
      </c>
      <c r="T38" s="70">
        <v>1</v>
      </c>
      <c r="U38" s="69">
        <f t="shared" si="6"/>
        <v>1.4071012493644575E-6</v>
      </c>
    </row>
    <row r="39" spans="1:22">
      <c r="A39" s="40" t="s">
        <v>59</v>
      </c>
      <c r="B39" s="28" t="s">
        <v>37</v>
      </c>
      <c r="C39" s="29">
        <v>54544.374300000003</v>
      </c>
      <c r="D39" s="29">
        <v>1E-4</v>
      </c>
      <c r="E39">
        <f t="shared" si="1"/>
        <v>16876.885294881442</v>
      </c>
      <c r="F39">
        <f t="shared" si="2"/>
        <v>16877</v>
      </c>
      <c r="G39">
        <f t="shared" si="9"/>
        <v>-4.1078999995079357E-2</v>
      </c>
      <c r="K39">
        <f t="shared" ref="K39:K62" si="11">G39</f>
        <v>-4.1078999995079357E-2</v>
      </c>
      <c r="O39">
        <f t="shared" ca="1" si="8"/>
        <v>-3.2388819958018455E-2</v>
      </c>
      <c r="P39" s="67">
        <f t="shared" si="3"/>
        <v>-3.9425547221343921E-2</v>
      </c>
      <c r="Q39" s="2">
        <f t="shared" si="4"/>
        <v>39525.874300000003</v>
      </c>
      <c r="R39" s="2" t="s">
        <v>67</v>
      </c>
      <c r="S39" s="69">
        <f t="shared" si="5"/>
        <v>2.7339060749734086E-6</v>
      </c>
      <c r="T39" s="70">
        <v>1</v>
      </c>
      <c r="U39" s="69">
        <f t="shared" si="6"/>
        <v>2.7339060749734086E-6</v>
      </c>
    </row>
    <row r="40" spans="1:22">
      <c r="A40" s="38" t="s">
        <v>53</v>
      </c>
      <c r="B40" s="39" t="s">
        <v>37</v>
      </c>
      <c r="C40" s="38">
        <v>54544.374600000003</v>
      </c>
      <c r="D40" s="38">
        <v>8.9999999999999998E-4</v>
      </c>
      <c r="E40">
        <f t="shared" si="1"/>
        <v>16876.886132573101</v>
      </c>
      <c r="F40">
        <f t="shared" si="2"/>
        <v>16877</v>
      </c>
      <c r="G40">
        <f t="shared" si="9"/>
        <v>-4.0778999995382037E-2</v>
      </c>
      <c r="K40">
        <f t="shared" si="11"/>
        <v>-4.0778999995382037E-2</v>
      </c>
      <c r="O40">
        <f t="shared" ca="1" si="8"/>
        <v>-3.2388819958018455E-2</v>
      </c>
      <c r="P40" s="67">
        <f t="shared" si="3"/>
        <v>-3.9425547221343921E-2</v>
      </c>
      <c r="Q40" s="2">
        <f t="shared" si="4"/>
        <v>39525.874600000003</v>
      </c>
      <c r="R40" s="2" t="s">
        <v>67</v>
      </c>
      <c r="S40" s="69">
        <f t="shared" si="5"/>
        <v>1.8318344115514724E-6</v>
      </c>
      <c r="T40" s="70">
        <v>1</v>
      </c>
      <c r="U40" s="69">
        <f t="shared" si="6"/>
        <v>1.8318344115514724E-6</v>
      </c>
    </row>
    <row r="41" spans="1:22">
      <c r="A41" s="31" t="s">
        <v>50</v>
      </c>
      <c r="B41" s="27"/>
      <c r="C41" s="29">
        <v>54821.7408</v>
      </c>
      <c r="D41" s="29">
        <v>2.0000000000000001E-4</v>
      </c>
      <c r="E41">
        <f t="shared" si="1"/>
        <v>17651.377304699181</v>
      </c>
      <c r="F41">
        <f t="shared" si="2"/>
        <v>17651.5</v>
      </c>
      <c r="G41">
        <f t="shared" si="9"/>
        <v>-4.3940499999735039E-2</v>
      </c>
      <c r="K41">
        <f t="shared" si="11"/>
        <v>-4.3940499999735039E-2</v>
      </c>
      <c r="O41">
        <f t="shared" ca="1" si="8"/>
        <v>-3.7452006656572182E-2</v>
      </c>
      <c r="P41" s="67">
        <f t="shared" si="3"/>
        <v>-4.312570293816833E-2</v>
      </c>
      <c r="Q41" s="2">
        <f t="shared" si="4"/>
        <v>39803.2408</v>
      </c>
      <c r="R41" s="2" t="s">
        <v>67</v>
      </c>
      <c r="S41" s="69">
        <f t="shared" si="5"/>
        <v>6.6389425153774354E-7</v>
      </c>
      <c r="T41" s="70">
        <v>1</v>
      </c>
      <c r="U41" s="69">
        <f t="shared" si="6"/>
        <v>6.6389425153774354E-7</v>
      </c>
    </row>
    <row r="42" spans="1:22">
      <c r="A42" s="38" t="s">
        <v>54</v>
      </c>
      <c r="B42" s="39" t="s">
        <v>37</v>
      </c>
      <c r="C42" s="38">
        <v>54870.62</v>
      </c>
      <c r="D42" s="38">
        <v>2E-3</v>
      </c>
      <c r="E42">
        <f t="shared" si="1"/>
        <v>17787.862964814176</v>
      </c>
      <c r="F42">
        <f t="shared" si="2"/>
        <v>17788</v>
      </c>
      <c r="G42">
        <f t="shared" si="9"/>
        <v>-4.9075999995693564E-2</v>
      </c>
      <c r="K42">
        <f t="shared" si="11"/>
        <v>-4.9075999995693564E-2</v>
      </c>
      <c r="O42">
        <f t="shared" ca="1" si="8"/>
        <v>-3.8344356539532262E-2</v>
      </c>
      <c r="P42" s="67">
        <f t="shared" si="3"/>
        <v>-4.3793353389504533E-2</v>
      </c>
      <c r="Q42" s="2">
        <f t="shared" si="4"/>
        <v>39852.120000000003</v>
      </c>
      <c r="R42" s="2" t="s">
        <v>67</v>
      </c>
      <c r="S42" s="69">
        <f t="shared" si="5"/>
        <v>2.7906355165880491E-5</v>
      </c>
      <c r="T42" s="70">
        <v>1</v>
      </c>
      <c r="U42" s="69">
        <f t="shared" si="6"/>
        <v>2.7906355165880491E-5</v>
      </c>
    </row>
    <row r="43" spans="1:22">
      <c r="A43" s="40" t="s">
        <v>60</v>
      </c>
      <c r="B43" s="28" t="s">
        <v>37</v>
      </c>
      <c r="C43" s="29">
        <v>55628.409540000001</v>
      </c>
      <c r="D43" s="29">
        <v>1E-4</v>
      </c>
      <c r="E43">
        <f t="shared" si="1"/>
        <v>19903.84288255285</v>
      </c>
      <c r="F43">
        <f t="shared" si="2"/>
        <v>19904</v>
      </c>
      <c r="G43">
        <f t="shared" si="9"/>
        <v>-5.626799999299692E-2</v>
      </c>
      <c r="K43">
        <f t="shared" si="11"/>
        <v>-5.626799999299692E-2</v>
      </c>
      <c r="O43">
        <f t="shared" ca="1" si="8"/>
        <v>-5.2177414065858477E-2</v>
      </c>
      <c r="P43" s="67">
        <f t="shared" si="3"/>
        <v>-5.4738213962894397E-2</v>
      </c>
      <c r="Q43" s="2">
        <f t="shared" si="4"/>
        <v>40609.909540000001</v>
      </c>
      <c r="R43" s="2" t="s">
        <v>67</v>
      </c>
      <c r="S43" s="69">
        <f t="shared" si="5"/>
        <v>2.3402452978968372E-6</v>
      </c>
      <c r="T43" s="70">
        <v>1</v>
      </c>
      <c r="U43" s="69">
        <f t="shared" si="6"/>
        <v>2.3402452978968372E-6</v>
      </c>
    </row>
    <row r="44" spans="1:22">
      <c r="A44" s="40" t="s">
        <v>60</v>
      </c>
      <c r="B44" s="28" t="s">
        <v>37</v>
      </c>
      <c r="C44" s="29">
        <v>55628.409679999997</v>
      </c>
      <c r="D44" s="29">
        <v>1E-4</v>
      </c>
      <c r="E44">
        <f t="shared" si="1"/>
        <v>19903.843273475613</v>
      </c>
      <c r="F44">
        <f t="shared" si="2"/>
        <v>19904</v>
      </c>
      <c r="G44">
        <f t="shared" si="9"/>
        <v>-5.6127999996533617E-2</v>
      </c>
      <c r="K44">
        <f t="shared" si="11"/>
        <v>-5.6127999996533617E-2</v>
      </c>
      <c r="O44">
        <f t="shared" ca="1" si="8"/>
        <v>-5.2177414065858477E-2</v>
      </c>
      <c r="P44" s="67">
        <f t="shared" si="3"/>
        <v>-5.4738213962894397E-2</v>
      </c>
      <c r="Q44" s="2">
        <f t="shared" si="4"/>
        <v>40609.909679999997</v>
      </c>
      <c r="R44" s="2" t="s">
        <v>67</v>
      </c>
      <c r="S44" s="69">
        <f t="shared" si="5"/>
        <v>1.9315052192986363E-6</v>
      </c>
      <c r="T44" s="70">
        <v>1</v>
      </c>
      <c r="U44" s="69">
        <f t="shared" si="6"/>
        <v>1.9315052192986363E-6</v>
      </c>
    </row>
    <row r="45" spans="1:22">
      <c r="A45" s="40" t="s">
        <v>60</v>
      </c>
      <c r="B45" s="28" t="s">
        <v>37</v>
      </c>
      <c r="C45" s="29">
        <v>55628.409890000003</v>
      </c>
      <c r="D45" s="29">
        <v>1E-4</v>
      </c>
      <c r="E45">
        <f t="shared" si="1"/>
        <v>19903.84385985979</v>
      </c>
      <c r="F45">
        <f t="shared" si="2"/>
        <v>19904</v>
      </c>
      <c r="G45">
        <f t="shared" si="9"/>
        <v>-5.5917999990924727E-2</v>
      </c>
      <c r="K45">
        <f t="shared" si="11"/>
        <v>-5.5917999990924727E-2</v>
      </c>
      <c r="O45">
        <f t="shared" ca="1" si="8"/>
        <v>-5.2177414065858477E-2</v>
      </c>
      <c r="P45" s="67">
        <f t="shared" si="3"/>
        <v>-5.4738213962894397E-2</v>
      </c>
      <c r="Q45" s="2">
        <f t="shared" si="4"/>
        <v>40609.909890000003</v>
      </c>
      <c r="R45" s="2" t="s">
        <v>67</v>
      </c>
      <c r="S45" s="69">
        <f t="shared" si="5"/>
        <v>1.391895071935583E-6</v>
      </c>
      <c r="T45" s="70">
        <v>1</v>
      </c>
      <c r="U45" s="69">
        <f t="shared" si="6"/>
        <v>1.391895071935583E-6</v>
      </c>
    </row>
    <row r="46" spans="1:22">
      <c r="A46" s="40" t="s">
        <v>60</v>
      </c>
      <c r="B46" s="28" t="s">
        <v>37</v>
      </c>
      <c r="C46" s="29">
        <v>55628.409939999998</v>
      </c>
      <c r="D46" s="29">
        <v>1E-4</v>
      </c>
      <c r="E46">
        <f t="shared" si="1"/>
        <v>19903.843999475052</v>
      </c>
      <c r="F46">
        <f t="shared" si="2"/>
        <v>19904</v>
      </c>
      <c r="G46">
        <f t="shared" si="9"/>
        <v>-5.5867999995825812E-2</v>
      </c>
      <c r="K46">
        <f t="shared" si="11"/>
        <v>-5.5867999995825812E-2</v>
      </c>
      <c r="O46">
        <f t="shared" ca="1" si="8"/>
        <v>-5.2177414065858477E-2</v>
      </c>
      <c r="P46" s="67">
        <f t="shared" si="3"/>
        <v>-5.4738213962894397E-2</v>
      </c>
      <c r="Q46" s="2">
        <f t="shared" si="4"/>
        <v>40609.909939999998</v>
      </c>
      <c r="R46" s="2" t="s">
        <v>67</v>
      </c>
      <c r="S46" s="69">
        <f t="shared" si="5"/>
        <v>1.2764164802069048E-6</v>
      </c>
      <c r="T46" s="70">
        <v>1</v>
      </c>
      <c r="U46" s="69">
        <f t="shared" si="6"/>
        <v>1.2764164802069048E-6</v>
      </c>
    </row>
    <row r="47" spans="1:22">
      <c r="A47" s="40" t="s">
        <v>60</v>
      </c>
      <c r="B47" s="28" t="s">
        <v>35</v>
      </c>
      <c r="C47" s="29">
        <v>55835.582580000002</v>
      </c>
      <c r="D47" s="29">
        <v>2.9999999999999997E-4</v>
      </c>
      <c r="E47">
        <f t="shared" si="1"/>
        <v>20482.333306341061</v>
      </c>
      <c r="F47">
        <f t="shared" si="2"/>
        <v>20482.5</v>
      </c>
      <c r="G47">
        <f t="shared" si="9"/>
        <v>-5.9697499993490055E-2</v>
      </c>
      <c r="K47">
        <f t="shared" si="11"/>
        <v>-5.9697499993490055E-2</v>
      </c>
      <c r="O47">
        <f t="shared" ca="1" si="8"/>
        <v>-5.5959277855546455E-2</v>
      </c>
      <c r="P47" s="67">
        <f t="shared" si="3"/>
        <v>-5.792507149715128E-2</v>
      </c>
      <c r="Q47" s="2">
        <f t="shared" si="4"/>
        <v>40817.082580000002</v>
      </c>
      <c r="R47" s="2" t="s">
        <v>67</v>
      </c>
      <c r="S47" s="69">
        <f t="shared" si="5"/>
        <v>3.1415027746337314E-6</v>
      </c>
      <c r="T47" s="70">
        <v>1</v>
      </c>
      <c r="U47" s="69">
        <f t="shared" si="6"/>
        <v>3.1415027746337314E-6</v>
      </c>
    </row>
    <row r="48" spans="1:22">
      <c r="A48" s="40" t="s">
        <v>60</v>
      </c>
      <c r="B48" s="28" t="s">
        <v>35</v>
      </c>
      <c r="C48" s="29">
        <v>55835.583030000002</v>
      </c>
      <c r="D48" s="29">
        <v>2.0000000000000001E-4</v>
      </c>
      <c r="E48">
        <f t="shared" si="1"/>
        <v>20482.334562878546</v>
      </c>
      <c r="F48">
        <f t="shared" si="2"/>
        <v>20482.5</v>
      </c>
      <c r="G48">
        <f t="shared" si="9"/>
        <v>-5.9247499993944075E-2</v>
      </c>
      <c r="K48">
        <f t="shared" si="11"/>
        <v>-5.9247499993944075E-2</v>
      </c>
      <c r="O48">
        <f t="shared" ca="1" si="8"/>
        <v>-5.5959277855546455E-2</v>
      </c>
      <c r="P48" s="67">
        <f t="shared" si="3"/>
        <v>-5.792507149715128E-2</v>
      </c>
      <c r="Q48" s="2">
        <f t="shared" si="4"/>
        <v>40817.083030000002</v>
      </c>
      <c r="R48" s="2" t="s">
        <v>67</v>
      </c>
      <c r="S48" s="69">
        <f t="shared" si="5"/>
        <v>1.7488171291296512E-6</v>
      </c>
      <c r="T48" s="70">
        <v>1</v>
      </c>
      <c r="U48" s="69">
        <f t="shared" si="6"/>
        <v>1.7488171291296512E-6</v>
      </c>
    </row>
    <row r="49" spans="1:21">
      <c r="A49" s="40" t="s">
        <v>60</v>
      </c>
      <c r="B49" s="28" t="s">
        <v>35</v>
      </c>
      <c r="C49" s="29">
        <v>55835.583200000001</v>
      </c>
      <c r="D49" s="29">
        <v>2.9999999999999997E-4</v>
      </c>
      <c r="E49">
        <f t="shared" si="1"/>
        <v>20482.335037570483</v>
      </c>
      <c r="F49">
        <f t="shared" si="2"/>
        <v>20482.5</v>
      </c>
      <c r="G49">
        <f t="shared" si="9"/>
        <v>-5.9077499994600657E-2</v>
      </c>
      <c r="K49">
        <f t="shared" si="11"/>
        <v>-5.9077499994600657E-2</v>
      </c>
      <c r="O49">
        <f t="shared" ca="1" si="8"/>
        <v>-5.5959277855546455E-2</v>
      </c>
      <c r="P49" s="67">
        <f t="shared" si="3"/>
        <v>-5.792507149715128E-2</v>
      </c>
      <c r="Q49" s="2">
        <f t="shared" si="4"/>
        <v>40817.083200000001</v>
      </c>
      <c r="R49" s="2" t="s">
        <v>67</v>
      </c>
      <c r="S49" s="69">
        <f t="shared" si="5"/>
        <v>1.3280914417334295E-6</v>
      </c>
      <c r="T49" s="70">
        <v>1</v>
      </c>
      <c r="U49" s="69">
        <f t="shared" si="6"/>
        <v>1.3280914417334295E-6</v>
      </c>
    </row>
    <row r="50" spans="1:21">
      <c r="A50" s="40" t="s">
        <v>60</v>
      </c>
      <c r="B50" s="28" t="s">
        <v>35</v>
      </c>
      <c r="C50" s="29">
        <v>55835.583310000002</v>
      </c>
      <c r="D50" s="29">
        <v>1E-4</v>
      </c>
      <c r="E50">
        <f t="shared" si="1"/>
        <v>20482.335344724095</v>
      </c>
      <c r="F50">
        <f t="shared" si="2"/>
        <v>20482.5</v>
      </c>
      <c r="G50">
        <f t="shared" si="9"/>
        <v>-5.8967499993741512E-2</v>
      </c>
      <c r="K50">
        <f t="shared" si="11"/>
        <v>-5.8967499993741512E-2</v>
      </c>
      <c r="O50">
        <f t="shared" ca="1" si="8"/>
        <v>-5.5959277855546455E-2</v>
      </c>
      <c r="P50" s="67">
        <f t="shared" si="3"/>
        <v>-5.792507149715128E-2</v>
      </c>
      <c r="Q50" s="2">
        <f t="shared" si="4"/>
        <v>40817.083310000002</v>
      </c>
      <c r="R50" s="2" t="s">
        <v>67</v>
      </c>
      <c r="S50" s="69">
        <f t="shared" si="5"/>
        <v>1.0866571705033717E-6</v>
      </c>
      <c r="T50" s="70">
        <v>1</v>
      </c>
      <c r="U50" s="69">
        <f t="shared" si="6"/>
        <v>1.0866571705033717E-6</v>
      </c>
    </row>
    <row r="51" spans="1:21">
      <c r="A51" s="31" t="s">
        <v>58</v>
      </c>
      <c r="B51" s="27"/>
      <c r="C51" s="29">
        <v>55907.741800000003</v>
      </c>
      <c r="D51" s="29">
        <v>2.9999999999999997E-4</v>
      </c>
      <c r="E51">
        <f t="shared" si="1"/>
        <v>20683.823894875302</v>
      </c>
      <c r="F51">
        <f t="shared" si="2"/>
        <v>20684</v>
      </c>
      <c r="G51">
        <f t="shared" si="9"/>
        <v>-6.3067999995837454E-2</v>
      </c>
      <c r="K51">
        <f t="shared" si="11"/>
        <v>-6.3067999995837454E-2</v>
      </c>
      <c r="O51">
        <f t="shared" ca="1" si="8"/>
        <v>-5.7276556254201791E-2</v>
      </c>
      <c r="P51" s="67">
        <f t="shared" si="3"/>
        <v>-5.9054722688269598E-2</v>
      </c>
      <c r="Q51" s="2">
        <f t="shared" si="4"/>
        <v>40889.241800000003</v>
      </c>
      <c r="R51" s="2" t="s">
        <v>67</v>
      </c>
      <c r="S51" s="69">
        <f t="shared" si="5"/>
        <v>1.6106394747439097E-5</v>
      </c>
      <c r="T51" s="70">
        <v>1</v>
      </c>
      <c r="U51" s="69">
        <f t="shared" si="6"/>
        <v>1.6106394747439097E-5</v>
      </c>
    </row>
    <row r="52" spans="1:21">
      <c r="A52" s="40" t="s">
        <v>60</v>
      </c>
      <c r="B52" s="28" t="s">
        <v>37</v>
      </c>
      <c r="C52" s="29">
        <v>55969.341200000003</v>
      </c>
      <c r="D52" s="29">
        <v>1E-4</v>
      </c>
      <c r="E52">
        <f t="shared" si="1"/>
        <v>20855.828239702692</v>
      </c>
      <c r="F52">
        <f t="shared" si="2"/>
        <v>20856</v>
      </c>
      <c r="G52">
        <f t="shared" si="9"/>
        <v>-6.1511999992944766E-2</v>
      </c>
      <c r="K52">
        <f t="shared" si="11"/>
        <v>-6.1511999992944766E-2</v>
      </c>
      <c r="O52">
        <f t="shared" ca="1" si="8"/>
        <v>-5.8400982480349292E-2</v>
      </c>
      <c r="P52" s="67">
        <f t="shared" si="3"/>
        <v>-6.0027011106879899E-2</v>
      </c>
      <c r="Q52" s="2">
        <f t="shared" si="4"/>
        <v>40950.841200000003</v>
      </c>
      <c r="R52" s="2" t="s">
        <v>67</v>
      </c>
      <c r="S52" s="69">
        <f t="shared" si="5"/>
        <v>2.2051919917361741E-6</v>
      </c>
      <c r="T52" s="70">
        <v>1</v>
      </c>
      <c r="U52" s="69">
        <f t="shared" si="6"/>
        <v>2.2051919917361741E-6</v>
      </c>
    </row>
    <row r="53" spans="1:21">
      <c r="A53" s="40" t="s">
        <v>60</v>
      </c>
      <c r="B53" s="28" t="s">
        <v>37</v>
      </c>
      <c r="C53" s="29">
        <v>55969.341350000002</v>
      </c>
      <c r="D53" s="29">
        <v>2.0000000000000001E-4</v>
      </c>
      <c r="E53">
        <f t="shared" ref="E53:E96" si="12">+(C53-C$7)/C$8</f>
        <v>20855.828658548522</v>
      </c>
      <c r="F53">
        <f t="shared" ref="F53:F83" si="13">ROUND(2*E53,0)/2</f>
        <v>20856</v>
      </c>
      <c r="G53">
        <f t="shared" si="9"/>
        <v>-6.1361999993096106E-2</v>
      </c>
      <c r="K53">
        <f t="shared" si="11"/>
        <v>-6.1361999993096106E-2</v>
      </c>
      <c r="O53">
        <f t="shared" ca="1" si="8"/>
        <v>-5.8400982480349292E-2</v>
      </c>
      <c r="P53" s="67">
        <f t="shared" ref="P53:P96" si="14">+D$11+D$12*F53+D$13*F53^2</f>
        <v>-6.0027011106879899E-2</v>
      </c>
      <c r="Q53" s="2">
        <f t="shared" ref="Q53:Q96" si="15">+C53-15018.5</f>
        <v>40950.841350000002</v>
      </c>
      <c r="R53" s="2" t="s">
        <v>67</v>
      </c>
      <c r="S53" s="69">
        <f t="shared" ref="S53:S96" si="16">+(P53-G53)^2</f>
        <v>1.7821953263207884E-6</v>
      </c>
      <c r="T53" s="70">
        <v>1</v>
      </c>
      <c r="U53" s="69">
        <f t="shared" ref="U53:U96" si="17">+T53*S53</f>
        <v>1.7821953263207884E-6</v>
      </c>
    </row>
    <row r="54" spans="1:21">
      <c r="A54" s="40" t="s">
        <v>60</v>
      </c>
      <c r="B54" s="28" t="s">
        <v>37</v>
      </c>
      <c r="C54" s="29">
        <v>55969.341419999997</v>
      </c>
      <c r="D54" s="29">
        <v>1E-4</v>
      </c>
      <c r="E54">
        <f t="shared" si="12"/>
        <v>20855.828854009891</v>
      </c>
      <c r="F54">
        <f t="shared" si="13"/>
        <v>20856</v>
      </c>
      <c r="G54">
        <f t="shared" si="9"/>
        <v>-6.1291999998502433E-2</v>
      </c>
      <c r="K54">
        <f t="shared" si="11"/>
        <v>-6.1291999998502433E-2</v>
      </c>
      <c r="O54">
        <f t="shared" ref="O54:O96" ca="1" si="18">+C$11+C$12*F54</f>
        <v>-5.8400982480349292E-2</v>
      </c>
      <c r="P54" s="67">
        <f t="shared" si="14"/>
        <v>-6.0027011106879899E-2</v>
      </c>
      <c r="Q54" s="2">
        <f t="shared" si="15"/>
        <v>40950.841419999997</v>
      </c>
      <c r="R54" s="2" t="s">
        <v>67</v>
      </c>
      <c r="S54" s="69">
        <f t="shared" si="16"/>
        <v>1.600196895928408E-6</v>
      </c>
      <c r="T54" s="70">
        <v>1</v>
      </c>
      <c r="U54" s="69">
        <f t="shared" si="17"/>
        <v>1.600196895928408E-6</v>
      </c>
    </row>
    <row r="55" spans="1:21">
      <c r="A55" s="40" t="s">
        <v>60</v>
      </c>
      <c r="B55" s="28" t="s">
        <v>37</v>
      </c>
      <c r="C55" s="29">
        <v>55969.341500000002</v>
      </c>
      <c r="D55" s="29">
        <v>2.0000000000000001E-4</v>
      </c>
      <c r="E55">
        <f t="shared" si="12"/>
        <v>20855.829077394348</v>
      </c>
      <c r="F55">
        <f t="shared" si="13"/>
        <v>20856</v>
      </c>
      <c r="G55">
        <f t="shared" si="9"/>
        <v>-6.1211999993247446E-2</v>
      </c>
      <c r="K55">
        <f t="shared" si="11"/>
        <v>-6.1211999993247446E-2</v>
      </c>
      <c r="O55">
        <f t="shared" ca="1" si="18"/>
        <v>-5.8400982480349292E-2</v>
      </c>
      <c r="P55" s="67">
        <f t="shared" si="14"/>
        <v>-6.0027011106879899E-2</v>
      </c>
      <c r="Q55" s="2">
        <f t="shared" si="15"/>
        <v>40950.841500000002</v>
      </c>
      <c r="R55" s="2" t="s">
        <v>67</v>
      </c>
      <c r="S55" s="69">
        <f t="shared" si="16"/>
        <v>1.4041986608145986E-6</v>
      </c>
      <c r="T55" s="70">
        <v>1</v>
      </c>
      <c r="U55" s="69">
        <f t="shared" si="17"/>
        <v>1.4041986608145986E-6</v>
      </c>
    </row>
    <row r="56" spans="1:21">
      <c r="A56" s="40" t="s">
        <v>60</v>
      </c>
      <c r="B56" s="28" t="s">
        <v>35</v>
      </c>
      <c r="C56" s="29">
        <v>55990.292049999996</v>
      </c>
      <c r="D56" s="29">
        <v>2.0000000000000001E-4</v>
      </c>
      <c r="E56">
        <f t="shared" si="12"/>
        <v>20914.329413867148</v>
      </c>
      <c r="F56">
        <f t="shared" si="13"/>
        <v>20914.5</v>
      </c>
      <c r="G56">
        <f t="shared" si="9"/>
        <v>-6.1091499999747612E-2</v>
      </c>
      <c r="K56">
        <f t="shared" si="11"/>
        <v>-6.1091499999747612E-2</v>
      </c>
      <c r="O56">
        <f t="shared" ca="1" si="18"/>
        <v>-5.8783418144475061E-2</v>
      </c>
      <c r="P56" s="67">
        <f t="shared" si="14"/>
        <v>-6.0359385690671813E-2</v>
      </c>
      <c r="Q56" s="2">
        <f t="shared" si="15"/>
        <v>40971.792049999996</v>
      </c>
      <c r="R56" s="2" t="s">
        <v>67</v>
      </c>
      <c r="S56" s="69">
        <f t="shared" si="16"/>
        <v>5.3599136155353406E-7</v>
      </c>
      <c r="T56" s="70">
        <v>1</v>
      </c>
      <c r="U56" s="69">
        <f t="shared" si="17"/>
        <v>5.3599136155353406E-7</v>
      </c>
    </row>
    <row r="57" spans="1:21">
      <c r="A57" s="40" t="s">
        <v>60</v>
      </c>
      <c r="B57" s="28" t="s">
        <v>35</v>
      </c>
      <c r="C57" s="29">
        <v>55990.292159999997</v>
      </c>
      <c r="D57" s="29">
        <v>2.0000000000000001E-4</v>
      </c>
      <c r="E57">
        <f t="shared" si="12"/>
        <v>20914.329721020757</v>
      </c>
      <c r="F57">
        <f t="shared" si="13"/>
        <v>20914.5</v>
      </c>
      <c r="G57">
        <f t="shared" si="9"/>
        <v>-6.0981499998888467E-2</v>
      </c>
      <c r="K57">
        <f t="shared" si="11"/>
        <v>-6.0981499998888467E-2</v>
      </c>
      <c r="O57">
        <f t="shared" ca="1" si="18"/>
        <v>-5.8783418144475061E-2</v>
      </c>
      <c r="P57" s="67">
        <f t="shared" si="14"/>
        <v>-6.0359385690671813E-2</v>
      </c>
      <c r="Q57" s="2">
        <f t="shared" si="15"/>
        <v>40971.792159999997</v>
      </c>
      <c r="R57" s="2" t="s">
        <v>67</v>
      </c>
      <c r="S57" s="69">
        <f t="shared" si="16"/>
        <v>3.8702621248788543E-7</v>
      </c>
      <c r="T57" s="70">
        <v>1</v>
      </c>
      <c r="U57" s="69">
        <f t="shared" si="17"/>
        <v>3.8702621248788543E-7</v>
      </c>
    </row>
    <row r="58" spans="1:21">
      <c r="A58" s="40" t="s">
        <v>60</v>
      </c>
      <c r="B58" s="28" t="s">
        <v>35</v>
      </c>
      <c r="C58" s="29">
        <v>55990.29232</v>
      </c>
      <c r="D58" s="29">
        <v>2.9999999999999997E-4</v>
      </c>
      <c r="E58">
        <f t="shared" si="12"/>
        <v>20914.330167789649</v>
      </c>
      <c r="F58">
        <f t="shared" si="13"/>
        <v>20914.5</v>
      </c>
      <c r="G58">
        <f t="shared" si="9"/>
        <v>-6.0821499995654449E-2</v>
      </c>
      <c r="K58">
        <f t="shared" si="11"/>
        <v>-6.0821499995654449E-2</v>
      </c>
      <c r="O58">
        <f t="shared" ca="1" si="18"/>
        <v>-5.8783418144475061E-2</v>
      </c>
      <c r="P58" s="67">
        <f t="shared" si="14"/>
        <v>-6.0359385690671813E-2</v>
      </c>
      <c r="Q58" s="2">
        <f t="shared" si="15"/>
        <v>40971.79232</v>
      </c>
      <c r="R58" s="2" t="s">
        <v>67</v>
      </c>
      <c r="S58" s="69">
        <f t="shared" si="16"/>
        <v>2.1354963086958468E-7</v>
      </c>
      <c r="T58" s="70">
        <v>1</v>
      </c>
      <c r="U58" s="69">
        <f t="shared" si="17"/>
        <v>2.1354963086958468E-7</v>
      </c>
    </row>
    <row r="59" spans="1:21">
      <c r="A59" s="40" t="s">
        <v>60</v>
      </c>
      <c r="B59" s="28" t="s">
        <v>35</v>
      </c>
      <c r="C59" s="29">
        <v>55990.292529999999</v>
      </c>
      <c r="D59" s="29">
        <v>1E-4</v>
      </c>
      <c r="E59">
        <f t="shared" si="12"/>
        <v>20914.330754173807</v>
      </c>
      <c r="F59">
        <f t="shared" si="13"/>
        <v>20914.5</v>
      </c>
      <c r="G59">
        <f t="shared" si="9"/>
        <v>-6.0611499997321516E-2</v>
      </c>
      <c r="K59">
        <f t="shared" si="11"/>
        <v>-6.0611499997321516E-2</v>
      </c>
      <c r="O59">
        <f t="shared" ca="1" si="18"/>
        <v>-5.8783418144475061E-2</v>
      </c>
      <c r="P59" s="67">
        <f t="shared" si="14"/>
        <v>-6.0359385690671813E-2</v>
      </c>
      <c r="Q59" s="2">
        <f t="shared" si="15"/>
        <v>40971.792529999999</v>
      </c>
      <c r="R59" s="2" t="s">
        <v>67</v>
      </c>
      <c r="S59" s="69">
        <f t="shared" si="16"/>
        <v>6.3561623617460661E-8</v>
      </c>
      <c r="T59" s="70">
        <v>1</v>
      </c>
      <c r="U59" s="69">
        <f t="shared" si="17"/>
        <v>6.3561623617460661E-8</v>
      </c>
    </row>
    <row r="60" spans="1:21">
      <c r="A60" s="29" t="s">
        <v>62</v>
      </c>
      <c r="B60" s="28"/>
      <c r="C60" s="29">
        <v>56376.346339999996</v>
      </c>
      <c r="D60" s="29">
        <v>2.5999999999999998E-4</v>
      </c>
      <c r="E60">
        <f t="shared" si="12"/>
        <v>21992.31093997381</v>
      </c>
      <c r="F60">
        <f t="shared" si="13"/>
        <v>21992.5</v>
      </c>
      <c r="G60">
        <f t="shared" si="9"/>
        <v>-6.7707499998505227E-2</v>
      </c>
      <c r="K60">
        <f t="shared" si="11"/>
        <v>-6.7707499998505227E-2</v>
      </c>
      <c r="O60">
        <f t="shared" ca="1" si="18"/>
        <v>-6.5830694143236709E-2</v>
      </c>
      <c r="P60" s="67">
        <f t="shared" si="14"/>
        <v>-6.6637124229930039E-2</v>
      </c>
      <c r="Q60" s="2">
        <f t="shared" si="15"/>
        <v>41357.846339999996</v>
      </c>
      <c r="R60" s="2" t="s">
        <v>67</v>
      </c>
      <c r="S60" s="69">
        <f t="shared" si="16"/>
        <v>1.1457042859529244E-6</v>
      </c>
      <c r="T60" s="70">
        <v>1</v>
      </c>
      <c r="U60" s="69">
        <f t="shared" si="17"/>
        <v>1.1457042859529244E-6</v>
      </c>
    </row>
    <row r="61" spans="1:21">
      <c r="A61" s="29" t="s">
        <v>62</v>
      </c>
      <c r="B61" s="28"/>
      <c r="C61" s="29">
        <v>56376.346859999998</v>
      </c>
      <c r="D61" s="29">
        <v>1.3999999999999999E-4</v>
      </c>
      <c r="E61">
        <f t="shared" si="12"/>
        <v>21992.312391972686</v>
      </c>
      <c r="F61">
        <f t="shared" si="13"/>
        <v>21992.5</v>
      </c>
      <c r="G61">
        <f t="shared" ref="G61:G96" si="19">+C61-(C$7+F61*C$8)</f>
        <v>-6.7187499997089617E-2</v>
      </c>
      <c r="K61">
        <f t="shared" si="11"/>
        <v>-6.7187499997089617E-2</v>
      </c>
      <c r="O61">
        <f t="shared" ca="1" si="18"/>
        <v>-6.5830694143236709E-2</v>
      </c>
      <c r="P61" s="67">
        <f t="shared" si="14"/>
        <v>-6.6637124229930039E-2</v>
      </c>
      <c r="Q61" s="2">
        <f t="shared" si="15"/>
        <v>41357.846859999998</v>
      </c>
      <c r="R61" s="2" t="s">
        <v>67</v>
      </c>
      <c r="S61" s="69">
        <f t="shared" si="16"/>
        <v>3.0291348507649369E-7</v>
      </c>
      <c r="T61" s="70">
        <v>1</v>
      </c>
      <c r="U61" s="69">
        <f t="shared" si="17"/>
        <v>3.0291348507649369E-7</v>
      </c>
    </row>
    <row r="62" spans="1:21">
      <c r="A62" s="29" t="s">
        <v>62</v>
      </c>
      <c r="B62" s="28"/>
      <c r="C62" s="29">
        <v>56376.347280000002</v>
      </c>
      <c r="D62" s="29">
        <v>2.4000000000000001E-4</v>
      </c>
      <c r="E62">
        <f t="shared" si="12"/>
        <v>21992.313564741016</v>
      </c>
      <c r="F62">
        <f t="shared" si="13"/>
        <v>21992.5</v>
      </c>
      <c r="G62">
        <f t="shared" si="19"/>
        <v>-6.6767499993147794E-2</v>
      </c>
      <c r="K62">
        <f t="shared" si="11"/>
        <v>-6.6767499993147794E-2</v>
      </c>
      <c r="O62">
        <f t="shared" ca="1" si="18"/>
        <v>-6.5830694143236709E-2</v>
      </c>
      <c r="P62" s="67">
        <f t="shared" si="14"/>
        <v>-6.6637124229930039E-2</v>
      </c>
      <c r="Q62" s="2">
        <f t="shared" si="15"/>
        <v>41357.847280000002</v>
      </c>
      <c r="R62" s="2" t="s">
        <v>67</v>
      </c>
      <c r="S62" s="69">
        <f t="shared" si="16"/>
        <v>1.6997839634612092E-8</v>
      </c>
      <c r="T62" s="70">
        <v>1</v>
      </c>
      <c r="U62" s="69">
        <f t="shared" si="17"/>
        <v>1.6997839634612092E-8</v>
      </c>
    </row>
    <row r="63" spans="1:21">
      <c r="A63" s="29" t="s">
        <v>62</v>
      </c>
      <c r="B63" s="28"/>
      <c r="C63" s="29">
        <v>56376.347679999999</v>
      </c>
      <c r="D63" s="29">
        <v>2.2000000000000001E-4</v>
      </c>
      <c r="E63">
        <f t="shared" si="12"/>
        <v>21992.314681663218</v>
      </c>
      <c r="F63">
        <f t="shared" si="13"/>
        <v>21992.5</v>
      </c>
      <c r="G63">
        <f t="shared" si="19"/>
        <v>-6.6367499995976686E-2</v>
      </c>
      <c r="K63">
        <f t="shared" ref="K63:K96" si="20">G63</f>
        <v>-6.6367499995976686E-2</v>
      </c>
      <c r="O63">
        <f t="shared" ca="1" si="18"/>
        <v>-6.5830694143236709E-2</v>
      </c>
      <c r="P63" s="67">
        <f t="shared" si="14"/>
        <v>-6.6637124229930039E-2</v>
      </c>
      <c r="Q63" s="2">
        <f t="shared" si="15"/>
        <v>41357.847679999999</v>
      </c>
      <c r="R63" s="2" t="s">
        <v>67</v>
      </c>
      <c r="S63" s="69">
        <f t="shared" si="16"/>
        <v>7.2697227534932311E-8</v>
      </c>
      <c r="T63" s="70">
        <v>1</v>
      </c>
      <c r="U63" s="69">
        <f t="shared" si="17"/>
        <v>7.2697227534932311E-8</v>
      </c>
    </row>
    <row r="64" spans="1:21">
      <c r="A64" s="40" t="s">
        <v>60</v>
      </c>
      <c r="B64" s="28" t="s">
        <v>35</v>
      </c>
      <c r="C64" s="29">
        <v>56376.349549999999</v>
      </c>
      <c r="D64" s="29">
        <v>2.9999999999999997E-4</v>
      </c>
      <c r="E64">
        <f t="shared" si="12"/>
        <v>21992.319903274543</v>
      </c>
      <c r="F64">
        <f t="shared" si="13"/>
        <v>21992.5</v>
      </c>
      <c r="G64">
        <f t="shared" si="19"/>
        <v>-6.4497499995923135E-2</v>
      </c>
      <c r="K64">
        <f t="shared" si="20"/>
        <v>-6.4497499995923135E-2</v>
      </c>
      <c r="O64">
        <f t="shared" ca="1" si="18"/>
        <v>-6.5830694143236709E-2</v>
      </c>
      <c r="P64" s="67">
        <f t="shared" si="14"/>
        <v>-6.6637124229930039E-2</v>
      </c>
      <c r="Q64" s="2">
        <f t="shared" si="15"/>
        <v>41357.849549999999</v>
      </c>
      <c r="R64" s="2" t="s">
        <v>67</v>
      </c>
      <c r="S64" s="69">
        <f t="shared" si="16"/>
        <v>4.5779918627496296E-6</v>
      </c>
      <c r="T64" s="70">
        <v>1</v>
      </c>
      <c r="U64" s="69">
        <f t="shared" si="17"/>
        <v>4.5779918627496296E-6</v>
      </c>
    </row>
    <row r="65" spans="1:33">
      <c r="A65" s="40" t="s">
        <v>60</v>
      </c>
      <c r="B65" s="28" t="s">
        <v>35</v>
      </c>
      <c r="C65" s="29">
        <v>56376.35007</v>
      </c>
      <c r="D65" s="29">
        <v>1E-4</v>
      </c>
      <c r="E65">
        <f t="shared" si="12"/>
        <v>21992.32135527342</v>
      </c>
      <c r="F65">
        <f t="shared" si="13"/>
        <v>21992.5</v>
      </c>
      <c r="G65">
        <f t="shared" si="19"/>
        <v>-6.3977499994507525E-2</v>
      </c>
      <c r="K65">
        <f t="shared" si="20"/>
        <v>-6.3977499994507525E-2</v>
      </c>
      <c r="O65">
        <f t="shared" ca="1" si="18"/>
        <v>-6.5830694143236709E-2</v>
      </c>
      <c r="P65" s="67">
        <f t="shared" si="14"/>
        <v>-6.6637124229930039E-2</v>
      </c>
      <c r="Q65" s="2">
        <f t="shared" si="15"/>
        <v>41357.85007</v>
      </c>
      <c r="R65" s="2" t="s">
        <v>67</v>
      </c>
      <c r="S65" s="69">
        <f t="shared" si="16"/>
        <v>7.073601073646793E-6</v>
      </c>
      <c r="T65" s="70">
        <v>1</v>
      </c>
      <c r="U65" s="69">
        <f t="shared" si="17"/>
        <v>7.073601073646793E-6</v>
      </c>
    </row>
    <row r="66" spans="1:33">
      <c r="A66" s="40" t="s">
        <v>60</v>
      </c>
      <c r="B66" s="28" t="s">
        <v>35</v>
      </c>
      <c r="C66" s="29">
        <v>56376.350489999997</v>
      </c>
      <c r="D66" s="29">
        <v>2.0000000000000001E-4</v>
      </c>
      <c r="E66">
        <f t="shared" si="12"/>
        <v>21992.322528041732</v>
      </c>
      <c r="F66">
        <f t="shared" si="13"/>
        <v>21992.5</v>
      </c>
      <c r="G66">
        <f t="shared" si="19"/>
        <v>-6.355749999784166E-2</v>
      </c>
      <c r="K66">
        <f t="shared" si="20"/>
        <v>-6.355749999784166E-2</v>
      </c>
      <c r="O66">
        <f t="shared" ca="1" si="18"/>
        <v>-6.5830694143236709E-2</v>
      </c>
      <c r="P66" s="67">
        <f t="shared" si="14"/>
        <v>-6.6637124229930039E-2</v>
      </c>
      <c r="Q66" s="2">
        <f t="shared" si="15"/>
        <v>41357.850489999997</v>
      </c>
      <c r="R66" s="2" t="s">
        <v>67</v>
      </c>
      <c r="S66" s="69">
        <f t="shared" si="16"/>
        <v>9.4840854108659402E-6</v>
      </c>
      <c r="T66" s="70">
        <v>1</v>
      </c>
      <c r="U66" s="69">
        <f t="shared" si="17"/>
        <v>9.4840854108659402E-6</v>
      </c>
    </row>
    <row r="67" spans="1:33">
      <c r="A67" s="40" t="s">
        <v>60</v>
      </c>
      <c r="B67" s="28" t="s">
        <v>35</v>
      </c>
      <c r="C67" s="29">
        <v>56376.350890000002</v>
      </c>
      <c r="D67" s="29">
        <v>2.0000000000000001E-4</v>
      </c>
      <c r="E67">
        <f t="shared" si="12"/>
        <v>21992.323644963952</v>
      </c>
      <c r="F67">
        <f t="shared" si="13"/>
        <v>21992.5</v>
      </c>
      <c r="G67">
        <f t="shared" si="19"/>
        <v>-6.3157499993394595E-2</v>
      </c>
      <c r="K67">
        <f t="shared" si="20"/>
        <v>-6.3157499993394595E-2</v>
      </c>
      <c r="O67">
        <f t="shared" ca="1" si="18"/>
        <v>-6.5830694143236709E-2</v>
      </c>
      <c r="P67" s="67">
        <f t="shared" si="14"/>
        <v>-6.6637124229930039E-2</v>
      </c>
      <c r="Q67" s="2">
        <f t="shared" si="15"/>
        <v>41357.850890000002</v>
      </c>
      <c r="R67" s="2" t="s">
        <v>67</v>
      </c>
      <c r="S67" s="69">
        <f t="shared" si="16"/>
        <v>1.2107784827484876E-5</v>
      </c>
      <c r="T67" s="70">
        <v>1</v>
      </c>
      <c r="U67" s="69">
        <f t="shared" si="17"/>
        <v>1.2107784827484876E-5</v>
      </c>
    </row>
    <row r="68" spans="1:33">
      <c r="A68" s="29" t="s">
        <v>62</v>
      </c>
      <c r="B68" s="28"/>
      <c r="C68" s="29">
        <v>56407.323750000003</v>
      </c>
      <c r="D68" s="29">
        <v>3.3E-4</v>
      </c>
      <c r="E68">
        <f t="shared" si="12"/>
        <v>22078.809333001998</v>
      </c>
      <c r="F68">
        <f t="shared" si="13"/>
        <v>22079</v>
      </c>
      <c r="G68">
        <f t="shared" si="19"/>
        <v>-6.828299999324372E-2</v>
      </c>
      <c r="K68">
        <f t="shared" si="20"/>
        <v>-6.828299999324372E-2</v>
      </c>
      <c r="O68">
        <f t="shared" ca="1" si="18"/>
        <v>-6.6396175937200416E-2</v>
      </c>
      <c r="P68" s="67">
        <f t="shared" si="14"/>
        <v>-6.7153433143024119E-2</v>
      </c>
      <c r="Q68" s="2">
        <f t="shared" si="15"/>
        <v>41388.823750000003</v>
      </c>
      <c r="R68" s="2" t="s">
        <v>67</v>
      </c>
      <c r="S68" s="69">
        <f t="shared" si="16"/>
        <v>1.2759212691150318E-6</v>
      </c>
      <c r="T68" s="70">
        <v>1</v>
      </c>
      <c r="U68" s="69">
        <f t="shared" si="17"/>
        <v>1.2759212691150318E-6</v>
      </c>
    </row>
    <row r="69" spans="1:33">
      <c r="A69" s="29" t="s">
        <v>62</v>
      </c>
      <c r="B69" s="28"/>
      <c r="C69" s="29">
        <v>56407.32402</v>
      </c>
      <c r="D69" s="29">
        <v>2.2000000000000001E-4</v>
      </c>
      <c r="E69">
        <f t="shared" si="12"/>
        <v>22078.810086924481</v>
      </c>
      <c r="F69">
        <f t="shared" si="13"/>
        <v>22079</v>
      </c>
      <c r="G69">
        <f t="shared" si="19"/>
        <v>-6.8012999996426515E-2</v>
      </c>
      <c r="K69">
        <f t="shared" si="20"/>
        <v>-6.8012999996426515E-2</v>
      </c>
      <c r="O69">
        <f t="shared" ca="1" si="18"/>
        <v>-6.6396175937200416E-2</v>
      </c>
      <c r="P69" s="67">
        <f t="shared" si="14"/>
        <v>-6.7153433143024119E-2</v>
      </c>
      <c r="Q69" s="2">
        <f t="shared" si="15"/>
        <v>41388.82402</v>
      </c>
      <c r="R69" s="2" t="s">
        <v>67</v>
      </c>
      <c r="S69" s="69">
        <f t="shared" si="16"/>
        <v>7.3885517546809694E-7</v>
      </c>
      <c r="T69" s="70">
        <v>1</v>
      </c>
      <c r="U69" s="69">
        <f t="shared" si="17"/>
        <v>7.3885517546809694E-7</v>
      </c>
    </row>
    <row r="70" spans="1:33">
      <c r="A70" s="29" t="s">
        <v>62</v>
      </c>
      <c r="B70" s="28"/>
      <c r="C70" s="29">
        <v>56407.324249999998</v>
      </c>
      <c r="D70" s="29">
        <v>2.9E-4</v>
      </c>
      <c r="E70">
        <f t="shared" si="12"/>
        <v>22078.810729154746</v>
      </c>
      <c r="F70">
        <f t="shared" si="13"/>
        <v>22079</v>
      </c>
      <c r="G70">
        <f t="shared" si="19"/>
        <v>-6.7782999998598825E-2</v>
      </c>
      <c r="K70">
        <f t="shared" si="20"/>
        <v>-6.7782999998598825E-2</v>
      </c>
      <c r="O70">
        <f t="shared" ca="1" si="18"/>
        <v>-6.6396175937200416E-2</v>
      </c>
      <c r="P70" s="67">
        <f t="shared" si="14"/>
        <v>-6.7153433143024119E-2</v>
      </c>
      <c r="Q70" s="2">
        <f t="shared" si="15"/>
        <v>41388.824249999998</v>
      </c>
      <c r="R70" s="2" t="s">
        <v>67</v>
      </c>
      <c r="S70" s="69">
        <f t="shared" si="16"/>
        <v>3.9635442563822322E-7</v>
      </c>
      <c r="T70" s="70">
        <v>1</v>
      </c>
      <c r="U70" s="69">
        <f t="shared" si="17"/>
        <v>3.9635442563822322E-7</v>
      </c>
    </row>
    <row r="71" spans="1:33">
      <c r="A71" s="29" t="s">
        <v>62</v>
      </c>
      <c r="B71" s="28"/>
      <c r="C71" s="29">
        <v>56407.324789999999</v>
      </c>
      <c r="D71" s="29">
        <v>2.1000000000000001E-4</v>
      </c>
      <c r="E71">
        <f t="shared" si="12"/>
        <v>22078.812236999729</v>
      </c>
      <c r="F71">
        <f t="shared" si="13"/>
        <v>22079</v>
      </c>
      <c r="G71">
        <f t="shared" si="19"/>
        <v>-6.7242999997688457E-2</v>
      </c>
      <c r="K71">
        <f t="shared" si="20"/>
        <v>-6.7242999997688457E-2</v>
      </c>
      <c r="O71">
        <f t="shared" ca="1" si="18"/>
        <v>-6.6396175937200416E-2</v>
      </c>
      <c r="P71" s="67">
        <f t="shared" si="14"/>
        <v>-6.7153433143024119E-2</v>
      </c>
      <c r="Q71" s="2">
        <f t="shared" si="15"/>
        <v>41388.824789999999</v>
      </c>
      <c r="R71" s="2" t="s">
        <v>67</v>
      </c>
      <c r="S71" s="69">
        <f t="shared" si="16"/>
        <v>8.0222214544627462E-9</v>
      </c>
      <c r="T71" s="70">
        <v>1</v>
      </c>
      <c r="U71" s="69">
        <f t="shared" si="17"/>
        <v>8.0222214544627462E-9</v>
      </c>
    </row>
    <row r="72" spans="1:33">
      <c r="A72" s="40" t="s">
        <v>60</v>
      </c>
      <c r="B72" s="28" t="s">
        <v>37</v>
      </c>
      <c r="C72" s="29">
        <v>56407.329879999998</v>
      </c>
      <c r="D72" s="29">
        <v>2.9999999999999997E-4</v>
      </c>
      <c r="E72">
        <f t="shared" si="12"/>
        <v>22078.82644983484</v>
      </c>
      <c r="F72">
        <f t="shared" si="13"/>
        <v>22079</v>
      </c>
      <c r="G72">
        <f t="shared" si="19"/>
        <v>-6.2152999998943415E-2</v>
      </c>
      <c r="K72">
        <f t="shared" si="20"/>
        <v>-6.2152999998943415E-2</v>
      </c>
      <c r="O72">
        <f t="shared" ca="1" si="18"/>
        <v>-6.6396175937200416E-2</v>
      </c>
      <c r="P72" s="67">
        <f t="shared" si="14"/>
        <v>-6.7153433143024119E-2</v>
      </c>
      <c r="Q72" s="2">
        <f t="shared" si="15"/>
        <v>41388.829879999998</v>
      </c>
      <c r="R72" s="2" t="s">
        <v>67</v>
      </c>
      <c r="S72" s="69">
        <f t="shared" si="16"/>
        <v>2.5004331628420837E-5</v>
      </c>
      <c r="T72" s="70">
        <v>1</v>
      </c>
      <c r="U72" s="69">
        <f t="shared" si="17"/>
        <v>2.5004331628420837E-5</v>
      </c>
    </row>
    <row r="73" spans="1:33">
      <c r="A73" s="40" t="s">
        <v>60</v>
      </c>
      <c r="B73" s="28" t="s">
        <v>37</v>
      </c>
      <c r="C73" s="29">
        <v>56407.330150000002</v>
      </c>
      <c r="D73" s="29">
        <v>2.0000000000000001E-4</v>
      </c>
      <c r="E73">
        <f t="shared" si="12"/>
        <v>22078.827203757341</v>
      </c>
      <c r="F73">
        <f t="shared" si="13"/>
        <v>22079</v>
      </c>
      <c r="G73">
        <f t="shared" si="19"/>
        <v>-6.1882999994850252E-2</v>
      </c>
      <c r="K73">
        <f t="shared" si="20"/>
        <v>-6.1882999994850252E-2</v>
      </c>
      <c r="O73">
        <f t="shared" ca="1" si="18"/>
        <v>-6.6396175937200416E-2</v>
      </c>
      <c r="P73" s="67">
        <f t="shared" si="14"/>
        <v>-6.7153433143024119E-2</v>
      </c>
      <c r="Q73" s="2">
        <f t="shared" si="15"/>
        <v>41388.830150000002</v>
      </c>
      <c r="R73" s="2" t="s">
        <v>67</v>
      </c>
      <c r="S73" s="69">
        <f t="shared" si="16"/>
        <v>2.77774655693699E-5</v>
      </c>
      <c r="T73" s="70">
        <v>1</v>
      </c>
      <c r="U73" s="69">
        <f t="shared" si="17"/>
        <v>2.77774655693699E-5</v>
      </c>
    </row>
    <row r="74" spans="1:33">
      <c r="A74" s="40" t="s">
        <v>60</v>
      </c>
      <c r="B74" s="28" t="s">
        <v>37</v>
      </c>
      <c r="C74" s="29">
        <v>56407.330379999999</v>
      </c>
      <c r="D74" s="29">
        <v>2.9999999999999997E-4</v>
      </c>
      <c r="E74">
        <f t="shared" si="12"/>
        <v>22078.827845987606</v>
      </c>
      <c r="F74">
        <f t="shared" si="13"/>
        <v>22079</v>
      </c>
      <c r="G74">
        <f t="shared" si="19"/>
        <v>-6.1652999997022562E-2</v>
      </c>
      <c r="K74">
        <f t="shared" si="20"/>
        <v>-6.1652999997022562E-2</v>
      </c>
      <c r="O74">
        <f t="shared" ca="1" si="18"/>
        <v>-6.6396175937200416E-2</v>
      </c>
      <c r="P74" s="67">
        <f t="shared" si="14"/>
        <v>-6.7153433143024119E-2</v>
      </c>
      <c r="Q74" s="2">
        <f t="shared" si="15"/>
        <v>41388.830379999999</v>
      </c>
      <c r="R74" s="2" t="s">
        <v>67</v>
      </c>
      <c r="S74" s="69">
        <f t="shared" si="16"/>
        <v>3.0254764793632587E-5</v>
      </c>
      <c r="T74" s="70">
        <v>1</v>
      </c>
      <c r="U74" s="69">
        <f t="shared" si="17"/>
        <v>3.0254764793632587E-5</v>
      </c>
    </row>
    <row r="75" spans="1:33">
      <c r="A75" s="40" t="s">
        <v>60</v>
      </c>
      <c r="B75" s="28" t="s">
        <v>37</v>
      </c>
      <c r="C75" s="29">
        <v>56407.33092</v>
      </c>
      <c r="D75" s="29">
        <v>2.0000000000000001E-4</v>
      </c>
      <c r="E75">
        <f t="shared" si="12"/>
        <v>22078.829353832589</v>
      </c>
      <c r="F75">
        <f t="shared" si="13"/>
        <v>22079</v>
      </c>
      <c r="G75">
        <f t="shared" si="19"/>
        <v>-6.1112999996112194E-2</v>
      </c>
      <c r="K75">
        <f t="shared" si="20"/>
        <v>-6.1112999996112194E-2</v>
      </c>
      <c r="O75">
        <f t="shared" ca="1" si="18"/>
        <v>-6.6396175937200416E-2</v>
      </c>
      <c r="P75" s="67">
        <f t="shared" si="14"/>
        <v>-6.7153433143024119E-2</v>
      </c>
      <c r="Q75" s="2">
        <f t="shared" si="15"/>
        <v>41388.83092</v>
      </c>
      <c r="R75" s="2" t="s">
        <v>67</v>
      </c>
      <c r="S75" s="69">
        <f t="shared" si="16"/>
        <v>3.64868326023123E-5</v>
      </c>
      <c r="T75" s="70">
        <v>1</v>
      </c>
      <c r="U75" s="69">
        <f t="shared" si="17"/>
        <v>3.64868326023123E-5</v>
      </c>
    </row>
    <row r="76" spans="1:33">
      <c r="A76" s="29" t="s">
        <v>63</v>
      </c>
      <c r="B76" s="28" t="s">
        <v>35</v>
      </c>
      <c r="C76" s="72">
        <v>56629.537799999998</v>
      </c>
      <c r="D76" s="29">
        <v>1E-4</v>
      </c>
      <c r="E76">
        <f t="shared" si="12"/>
        <v>22699.298852083204</v>
      </c>
      <c r="F76">
        <f t="shared" si="13"/>
        <v>22699.5</v>
      </c>
      <c r="G76">
        <f t="shared" si="19"/>
        <v>-7.2036499994283076E-2</v>
      </c>
      <c r="K76">
        <f t="shared" si="20"/>
        <v>-7.2036499994283076E-2</v>
      </c>
      <c r="O76">
        <f t="shared" ca="1" si="18"/>
        <v>-7.0452608921645329E-2</v>
      </c>
      <c r="P76" s="67">
        <f t="shared" si="14"/>
        <v>-7.0911898326123893E-2</v>
      </c>
      <c r="Q76" s="2">
        <f t="shared" si="15"/>
        <v>41611.037799999998</v>
      </c>
      <c r="R76" s="2" t="s">
        <v>67</v>
      </c>
      <c r="S76" s="69">
        <f t="shared" si="16"/>
        <v>1.2647289120264185E-6</v>
      </c>
      <c r="T76" s="70">
        <v>1</v>
      </c>
      <c r="U76" s="69">
        <f t="shared" si="17"/>
        <v>1.2647289120264185E-6</v>
      </c>
      <c r="AB76">
        <v>7</v>
      </c>
      <c r="AD76" t="s">
        <v>25</v>
      </c>
      <c r="AE76" t="s">
        <v>26</v>
      </c>
      <c r="AG76" t="s">
        <v>27</v>
      </c>
    </row>
    <row r="77" spans="1:33">
      <c r="A77" s="29" t="s">
        <v>63</v>
      </c>
      <c r="B77" s="28" t="s">
        <v>35</v>
      </c>
      <c r="C77" s="72">
        <v>56629.537989999997</v>
      </c>
      <c r="D77" s="29">
        <v>1E-4</v>
      </c>
      <c r="E77">
        <f t="shared" si="12"/>
        <v>22699.299382621251</v>
      </c>
      <c r="F77">
        <f t="shared" si="13"/>
        <v>22699.5</v>
      </c>
      <c r="G77">
        <f t="shared" si="19"/>
        <v>-7.1846499995444901E-2</v>
      </c>
      <c r="K77">
        <f t="shared" si="20"/>
        <v>-7.1846499995444901E-2</v>
      </c>
      <c r="O77">
        <f t="shared" ca="1" si="18"/>
        <v>-7.0452608921645329E-2</v>
      </c>
      <c r="P77" s="67">
        <f t="shared" si="14"/>
        <v>-7.0911898326123893E-2</v>
      </c>
      <c r="Q77" s="2">
        <f t="shared" si="15"/>
        <v>41611.037989999997</v>
      </c>
      <c r="R77" s="2" t="s">
        <v>67</v>
      </c>
      <c r="S77" s="69">
        <f t="shared" si="16"/>
        <v>8.7348028029761574E-7</v>
      </c>
      <c r="T77" s="70">
        <v>1</v>
      </c>
      <c r="U77" s="69">
        <f t="shared" si="17"/>
        <v>8.7348028029761574E-7</v>
      </c>
      <c r="V77" s="41"/>
      <c r="W77" s="69"/>
      <c r="X77" s="69"/>
      <c r="AB77">
        <v>14</v>
      </c>
      <c r="AD77" t="s">
        <v>25</v>
      </c>
      <c r="AE77" t="s">
        <v>26</v>
      </c>
    </row>
    <row r="78" spans="1:33">
      <c r="A78" s="29" t="s">
        <v>63</v>
      </c>
      <c r="B78" s="28" t="s">
        <v>35</v>
      </c>
      <c r="C78" s="72">
        <v>56629.538079999998</v>
      </c>
      <c r="D78" s="29">
        <v>1E-4</v>
      </c>
      <c r="E78">
        <f t="shared" si="12"/>
        <v>22699.299633928753</v>
      </c>
      <c r="F78">
        <f t="shared" si="13"/>
        <v>22699.5</v>
      </c>
      <c r="G78">
        <f t="shared" si="19"/>
        <v>-7.1756499994080514E-2</v>
      </c>
      <c r="K78">
        <f t="shared" si="20"/>
        <v>-7.1756499994080514E-2</v>
      </c>
      <c r="O78">
        <f t="shared" ca="1" si="18"/>
        <v>-7.0452608921645329E-2</v>
      </c>
      <c r="P78" s="67">
        <f t="shared" si="14"/>
        <v>-7.0911898326123893E-2</v>
      </c>
      <c r="Q78" s="2">
        <f t="shared" si="15"/>
        <v>41611.038079999998</v>
      </c>
      <c r="R78" s="2" t="s">
        <v>67</v>
      </c>
      <c r="S78" s="69">
        <f t="shared" si="16"/>
        <v>7.1335197751510614E-7</v>
      </c>
      <c r="T78" s="70">
        <v>1</v>
      </c>
      <c r="U78" s="69">
        <f t="shared" si="17"/>
        <v>7.1335197751510614E-7</v>
      </c>
      <c r="V78" s="41"/>
      <c r="W78" s="69"/>
      <c r="X78" s="69"/>
    </row>
    <row r="79" spans="1:33">
      <c r="A79" s="29" t="s">
        <v>63</v>
      </c>
      <c r="B79" s="28" t="s">
        <v>35</v>
      </c>
      <c r="C79" s="72">
        <v>56629.538650000002</v>
      </c>
      <c r="D79" s="29">
        <v>1E-4</v>
      </c>
      <c r="E79">
        <f t="shared" si="12"/>
        <v>22699.301225542909</v>
      </c>
      <c r="F79">
        <f t="shared" si="13"/>
        <v>22699.5</v>
      </c>
      <c r="G79">
        <f t="shared" si="19"/>
        <v>-7.1186499990290031E-2</v>
      </c>
      <c r="K79">
        <f t="shared" si="20"/>
        <v>-7.1186499990290031E-2</v>
      </c>
      <c r="O79">
        <f t="shared" ca="1" si="18"/>
        <v>-7.0452608921645329E-2</v>
      </c>
      <c r="P79" s="67">
        <f t="shared" si="14"/>
        <v>-7.0911898326123893E-2</v>
      </c>
      <c r="Q79" s="2">
        <f t="shared" si="15"/>
        <v>41611.038650000002</v>
      </c>
      <c r="R79" s="2" t="s">
        <v>67</v>
      </c>
      <c r="S79" s="69">
        <f t="shared" si="16"/>
        <v>7.5406073962812472E-8</v>
      </c>
      <c r="T79" s="70">
        <v>1</v>
      </c>
      <c r="U79" s="69">
        <f t="shared" si="17"/>
        <v>7.5406073962812472E-8</v>
      </c>
      <c r="V79" s="41"/>
      <c r="W79" s="69"/>
      <c r="X79" s="69"/>
      <c r="AB79">
        <v>6</v>
      </c>
      <c r="AD79" t="s">
        <v>25</v>
      </c>
      <c r="AE79" t="s">
        <v>26</v>
      </c>
      <c r="AG79" t="s">
        <v>27</v>
      </c>
    </row>
    <row r="80" spans="1:33">
      <c r="A80" s="29" t="s">
        <v>63</v>
      </c>
      <c r="B80" s="28" t="s">
        <v>37</v>
      </c>
      <c r="C80" s="72">
        <v>56630.432979999998</v>
      </c>
      <c r="D80" s="29">
        <v>2.0000000000000001E-4</v>
      </c>
      <c r="E80">
        <f t="shared" si="12"/>
        <v>22701.798468141194</v>
      </c>
      <c r="F80">
        <f t="shared" si="13"/>
        <v>22702</v>
      </c>
      <c r="G80">
        <f t="shared" si="19"/>
        <v>-7.2174000000813976E-2</v>
      </c>
      <c r="K80">
        <f t="shared" si="20"/>
        <v>-7.2174000000813976E-2</v>
      </c>
      <c r="O80">
        <f t="shared" ca="1" si="18"/>
        <v>-7.0468952326095138E-2</v>
      </c>
      <c r="P80" s="67">
        <f t="shared" si="14"/>
        <v>-7.0927235664460561E-2</v>
      </c>
      <c r="Q80" s="2">
        <f t="shared" si="15"/>
        <v>41611.932979999998</v>
      </c>
      <c r="R80" s="2" t="s">
        <v>67</v>
      </c>
      <c r="S80" s="69">
        <f t="shared" si="16"/>
        <v>1.5544213104027708E-6</v>
      </c>
      <c r="T80" s="70">
        <v>1</v>
      </c>
      <c r="U80" s="69">
        <f t="shared" si="17"/>
        <v>1.5544213104027708E-6</v>
      </c>
      <c r="W80" s="69">
        <v>27000</v>
      </c>
      <c r="X80" s="69">
        <f>+D$11+D$12*W80+D$13*W80^2</f>
        <v>-9.9602798593404387E-2</v>
      </c>
    </row>
    <row r="81" spans="1:33">
      <c r="A81" s="29" t="s">
        <v>63</v>
      </c>
      <c r="B81" s="28" t="s">
        <v>37</v>
      </c>
      <c r="C81" s="72">
        <v>56630.433539999998</v>
      </c>
      <c r="D81" s="29">
        <v>2.0000000000000001E-4</v>
      </c>
      <c r="E81">
        <f t="shared" si="12"/>
        <v>22701.800031832288</v>
      </c>
      <c r="F81">
        <f t="shared" si="13"/>
        <v>22702</v>
      </c>
      <c r="G81">
        <f t="shared" si="19"/>
        <v>-7.1614000000408851E-2</v>
      </c>
      <c r="K81">
        <f t="shared" si="20"/>
        <v>-7.1614000000408851E-2</v>
      </c>
      <c r="O81">
        <f t="shared" ca="1" si="18"/>
        <v>-7.0468952326095138E-2</v>
      </c>
      <c r="P81" s="67">
        <f t="shared" si="14"/>
        <v>-7.0927235664460561E-2</v>
      </c>
      <c r="Q81" s="2">
        <f t="shared" si="15"/>
        <v>41611.933539999998</v>
      </c>
      <c r="R81" s="2" t="s">
        <v>67</v>
      </c>
      <c r="S81" s="69">
        <f t="shared" si="16"/>
        <v>4.7164525313049496E-7</v>
      </c>
      <c r="T81" s="70">
        <v>1</v>
      </c>
      <c r="U81" s="69">
        <f t="shared" si="17"/>
        <v>4.7164525313049496E-7</v>
      </c>
      <c r="W81" s="69"/>
      <c r="X81" s="69"/>
      <c r="AB81">
        <v>6</v>
      </c>
      <c r="AD81" t="s">
        <v>25</v>
      </c>
      <c r="AE81" t="s">
        <v>26</v>
      </c>
      <c r="AG81" t="s">
        <v>27</v>
      </c>
    </row>
    <row r="82" spans="1:33">
      <c r="A82" s="29" t="s">
        <v>63</v>
      </c>
      <c r="B82" s="28" t="s">
        <v>37</v>
      </c>
      <c r="C82" s="72">
        <v>56630.433810000002</v>
      </c>
      <c r="D82" s="29">
        <v>2.0000000000000001E-4</v>
      </c>
      <c r="E82">
        <f t="shared" si="12"/>
        <v>22701.800785754793</v>
      </c>
      <c r="F82">
        <f t="shared" si="13"/>
        <v>22702</v>
      </c>
      <c r="G82">
        <f t="shared" si="19"/>
        <v>-7.1343999996315688E-2</v>
      </c>
      <c r="K82">
        <f t="shared" si="20"/>
        <v>-7.1343999996315688E-2</v>
      </c>
      <c r="O82">
        <f t="shared" ca="1" si="18"/>
        <v>-7.0468952326095138E-2</v>
      </c>
      <c r="P82" s="67">
        <f t="shared" si="14"/>
        <v>-7.0927235664460561E-2</v>
      </c>
      <c r="Q82" s="2">
        <f t="shared" si="15"/>
        <v>41611.933810000002</v>
      </c>
      <c r="R82" s="2" t="s">
        <v>67</v>
      </c>
      <c r="S82" s="69">
        <f t="shared" si="16"/>
        <v>1.7369250830665021E-7</v>
      </c>
      <c r="T82" s="70">
        <v>1</v>
      </c>
      <c r="U82" s="69">
        <f t="shared" si="17"/>
        <v>1.7369250830665021E-7</v>
      </c>
    </row>
    <row r="83" spans="1:33">
      <c r="A83" s="29" t="s">
        <v>63</v>
      </c>
      <c r="B83" s="28" t="s">
        <v>37</v>
      </c>
      <c r="C83" s="72">
        <v>56630.433980000002</v>
      </c>
      <c r="D83" s="29">
        <v>2.0000000000000001E-4</v>
      </c>
      <c r="E83">
        <f t="shared" si="12"/>
        <v>22701.801260446729</v>
      </c>
      <c r="F83">
        <f t="shared" si="13"/>
        <v>22702</v>
      </c>
      <c r="G83">
        <f t="shared" si="19"/>
        <v>-7.117399999697227E-2</v>
      </c>
      <c r="K83">
        <f t="shared" si="20"/>
        <v>-7.117399999697227E-2</v>
      </c>
      <c r="O83">
        <f t="shared" ca="1" si="18"/>
        <v>-7.0468952326095138E-2</v>
      </c>
      <c r="P83" s="67">
        <f t="shared" si="14"/>
        <v>-7.0927235664460561E-2</v>
      </c>
      <c r="Q83" s="2">
        <f t="shared" si="15"/>
        <v>41611.933980000002</v>
      </c>
      <c r="R83" s="2" t="s">
        <v>67</v>
      </c>
      <c r="S83" s="69">
        <f t="shared" si="16"/>
        <v>6.0892635799949351E-8</v>
      </c>
      <c r="T83" s="70">
        <v>1</v>
      </c>
      <c r="U83" s="69">
        <f t="shared" si="17"/>
        <v>6.0892635799949351E-8</v>
      </c>
    </row>
    <row r="84" spans="1:33">
      <c r="A84" s="73" t="s">
        <v>217</v>
      </c>
      <c r="B84" s="74" t="s">
        <v>37</v>
      </c>
      <c r="C84" s="75">
        <v>56949.519809999998</v>
      </c>
      <c r="D84" s="75">
        <v>2.0000000000000001E-4</v>
      </c>
      <c r="E84">
        <f t="shared" si="12"/>
        <v>23592.786385835196</v>
      </c>
      <c r="F84">
        <f t="shared" ref="F84:F95" si="21">ROUND(2*E84,0)/2</f>
        <v>23593</v>
      </c>
      <c r="G84">
        <f t="shared" si="19"/>
        <v>-7.6500999995914754E-2</v>
      </c>
      <c r="K84">
        <f t="shared" si="20"/>
        <v>-7.6500999995914754E-2</v>
      </c>
      <c r="O84">
        <f t="shared" ca="1" si="18"/>
        <v>-7.6293741672010404E-2</v>
      </c>
      <c r="P84" s="67">
        <f t="shared" si="14"/>
        <v>-7.6492854599603546E-2</v>
      </c>
      <c r="Q84" s="2">
        <f t="shared" si="15"/>
        <v>41931.019809999998</v>
      </c>
      <c r="R84" s="2" t="s">
        <v>67</v>
      </c>
      <c r="S84" s="69">
        <f t="shared" si="16"/>
        <v>6.6347481066626925E-11</v>
      </c>
      <c r="T84" s="70">
        <v>1</v>
      </c>
      <c r="U84" s="69">
        <f t="shared" si="17"/>
        <v>6.6347481066626925E-11</v>
      </c>
      <c r="V84" s="41"/>
    </row>
    <row r="85" spans="1:33">
      <c r="A85" s="73" t="s">
        <v>217</v>
      </c>
      <c r="B85" s="74" t="s">
        <v>37</v>
      </c>
      <c r="C85" s="75">
        <v>56949.520750000003</v>
      </c>
      <c r="D85" s="75">
        <v>2.0000000000000001E-4</v>
      </c>
      <c r="E85">
        <f t="shared" si="12"/>
        <v>23592.789010602402</v>
      </c>
      <c r="F85">
        <f t="shared" si="21"/>
        <v>23593</v>
      </c>
      <c r="G85">
        <f t="shared" si="19"/>
        <v>-7.556099999055732E-2</v>
      </c>
      <c r="K85">
        <f t="shared" si="20"/>
        <v>-7.556099999055732E-2</v>
      </c>
      <c r="O85">
        <f t="shared" ca="1" si="18"/>
        <v>-7.6293741672010404E-2</v>
      </c>
      <c r="P85" s="67">
        <f t="shared" si="14"/>
        <v>-7.6492854599603546E-2</v>
      </c>
      <c r="Q85" s="2">
        <f t="shared" si="15"/>
        <v>41931.020750000003</v>
      </c>
      <c r="R85" s="2" t="s">
        <v>67</v>
      </c>
      <c r="S85" s="69">
        <f t="shared" si="16"/>
        <v>8.6835301240069469E-7</v>
      </c>
      <c r="T85" s="70">
        <v>1</v>
      </c>
      <c r="U85" s="69">
        <f t="shared" si="17"/>
        <v>8.6835301240069469E-7</v>
      </c>
      <c r="V85" s="41"/>
    </row>
    <row r="86" spans="1:33">
      <c r="A86" s="73" t="s">
        <v>217</v>
      </c>
      <c r="B86" s="74" t="s">
        <v>37</v>
      </c>
      <c r="C86" s="75">
        <v>56949.521110000001</v>
      </c>
      <c r="D86" s="75">
        <v>2.0000000000000001E-4</v>
      </c>
      <c r="E86">
        <f t="shared" si="12"/>
        <v>23592.790015832386</v>
      </c>
      <c r="F86">
        <f t="shared" si="21"/>
        <v>23593</v>
      </c>
      <c r="G86">
        <f t="shared" si="19"/>
        <v>-7.5200999992375728E-2</v>
      </c>
      <c r="K86">
        <f t="shared" si="20"/>
        <v>-7.5200999992375728E-2</v>
      </c>
      <c r="O86">
        <f t="shared" ca="1" si="18"/>
        <v>-7.6293741672010404E-2</v>
      </c>
      <c r="P86" s="67">
        <f t="shared" si="14"/>
        <v>-7.6492854599603546E-2</v>
      </c>
      <c r="Q86" s="2">
        <f t="shared" si="15"/>
        <v>41931.021110000001</v>
      </c>
      <c r="R86" s="2" t="s">
        <v>67</v>
      </c>
      <c r="S86" s="69">
        <f t="shared" si="16"/>
        <v>1.6688883262157416E-6</v>
      </c>
      <c r="T86" s="70">
        <v>1</v>
      </c>
      <c r="U86" s="69">
        <f t="shared" si="17"/>
        <v>1.6688883262157416E-6</v>
      </c>
      <c r="V86" s="41"/>
    </row>
    <row r="87" spans="1:33">
      <c r="A87" s="73" t="s">
        <v>217</v>
      </c>
      <c r="B87" s="74" t="s">
        <v>37</v>
      </c>
      <c r="C87" s="75">
        <v>56949.521110000001</v>
      </c>
      <c r="D87" s="75">
        <v>2.9999999999999997E-4</v>
      </c>
      <c r="E87">
        <f t="shared" si="12"/>
        <v>23592.790015832386</v>
      </c>
      <c r="F87">
        <f t="shared" si="21"/>
        <v>23593</v>
      </c>
      <c r="G87">
        <f t="shared" si="19"/>
        <v>-7.5200999992375728E-2</v>
      </c>
      <c r="K87">
        <f t="shared" si="20"/>
        <v>-7.5200999992375728E-2</v>
      </c>
      <c r="O87">
        <f t="shared" ca="1" si="18"/>
        <v>-7.6293741672010404E-2</v>
      </c>
      <c r="P87" s="67">
        <f t="shared" si="14"/>
        <v>-7.6492854599603546E-2</v>
      </c>
      <c r="Q87" s="2">
        <f t="shared" si="15"/>
        <v>41931.021110000001</v>
      </c>
      <c r="R87" s="2" t="s">
        <v>67</v>
      </c>
      <c r="S87" s="69">
        <f t="shared" si="16"/>
        <v>1.6688883262157416E-6</v>
      </c>
      <c r="T87" s="70">
        <v>1</v>
      </c>
      <c r="U87" s="69">
        <f t="shared" si="17"/>
        <v>1.6688883262157416E-6</v>
      </c>
      <c r="V87" s="41"/>
    </row>
    <row r="88" spans="1:33">
      <c r="A88" s="73" t="s">
        <v>217</v>
      </c>
      <c r="B88" s="74" t="s">
        <v>37</v>
      </c>
      <c r="C88" s="75">
        <v>56958.472240000003</v>
      </c>
      <c r="D88" s="75">
        <v>4.0000000000000002E-4</v>
      </c>
      <c r="E88">
        <f t="shared" si="12"/>
        <v>23617.784305567595</v>
      </c>
      <c r="F88">
        <f t="shared" si="21"/>
        <v>23618</v>
      </c>
      <c r="G88">
        <f t="shared" si="19"/>
        <v>-7.7245999993465375E-2</v>
      </c>
      <c r="K88">
        <f t="shared" si="20"/>
        <v>-7.7245999993465375E-2</v>
      </c>
      <c r="O88">
        <f t="shared" ca="1" si="18"/>
        <v>-7.6457175716508577E-2</v>
      </c>
      <c r="P88" s="67">
        <f t="shared" si="14"/>
        <v>-7.6651875737430333E-2</v>
      </c>
      <c r="Q88" s="2">
        <f t="shared" si="15"/>
        <v>41939.972240000003</v>
      </c>
      <c r="R88" s="2" t="s">
        <v>67</v>
      </c>
      <c r="S88" s="69">
        <f t="shared" si="16"/>
        <v>3.5298363160919194E-7</v>
      </c>
      <c r="T88" s="70">
        <v>1</v>
      </c>
      <c r="U88" s="69">
        <f t="shared" si="17"/>
        <v>3.5298363160919194E-7</v>
      </c>
    </row>
    <row r="89" spans="1:33">
      <c r="A89" s="73" t="s">
        <v>217</v>
      </c>
      <c r="B89" s="74" t="s">
        <v>37</v>
      </c>
      <c r="C89" s="75">
        <v>56958.472849999998</v>
      </c>
      <c r="D89" s="75">
        <v>2.9999999999999997E-4</v>
      </c>
      <c r="E89">
        <f t="shared" si="12"/>
        <v>23617.786008873954</v>
      </c>
      <c r="F89">
        <f t="shared" si="21"/>
        <v>23618</v>
      </c>
      <c r="G89">
        <f t="shared" si="19"/>
        <v>-7.6635999997961335E-2</v>
      </c>
      <c r="K89">
        <f t="shared" si="20"/>
        <v>-7.6635999997961335E-2</v>
      </c>
      <c r="O89">
        <f t="shared" ca="1" si="18"/>
        <v>-7.6457175716508577E-2</v>
      </c>
      <c r="P89" s="67">
        <f t="shared" si="14"/>
        <v>-7.6651875737430333E-2</v>
      </c>
      <c r="Q89" s="2">
        <f t="shared" si="15"/>
        <v>41939.972849999998</v>
      </c>
      <c r="R89" s="2" t="s">
        <v>67</v>
      </c>
      <c r="S89" s="69">
        <f t="shared" si="16"/>
        <v>2.5203910368751519E-10</v>
      </c>
      <c r="T89" s="70">
        <v>1</v>
      </c>
      <c r="U89" s="69">
        <f t="shared" si="17"/>
        <v>2.5203910368751519E-10</v>
      </c>
    </row>
    <row r="90" spans="1:33">
      <c r="A90" s="73" t="s">
        <v>217</v>
      </c>
      <c r="B90" s="74" t="s">
        <v>37</v>
      </c>
      <c r="C90" s="75">
        <v>56958.473100000003</v>
      </c>
      <c r="D90" s="75">
        <v>2.0000000000000001E-4</v>
      </c>
      <c r="E90">
        <f t="shared" si="12"/>
        <v>23617.786706950345</v>
      </c>
      <c r="F90">
        <f t="shared" si="21"/>
        <v>23618</v>
      </c>
      <c r="G90">
        <f t="shared" si="19"/>
        <v>-7.638599999336293E-2</v>
      </c>
      <c r="K90">
        <f t="shared" si="20"/>
        <v>-7.638599999336293E-2</v>
      </c>
      <c r="O90">
        <f t="shared" ca="1" si="18"/>
        <v>-7.6457175716508577E-2</v>
      </c>
      <c r="P90" s="67">
        <f t="shared" si="14"/>
        <v>-7.6651875737430333E-2</v>
      </c>
      <c r="Q90" s="2">
        <f t="shared" si="15"/>
        <v>41939.973100000003</v>
      </c>
      <c r="R90" s="2" t="s">
        <v>67</v>
      </c>
      <c r="S90" s="69">
        <f t="shared" si="16"/>
        <v>7.0689911283395533E-8</v>
      </c>
      <c r="T90" s="70">
        <v>1</v>
      </c>
      <c r="U90" s="69">
        <f t="shared" si="17"/>
        <v>7.0689911283395533E-8</v>
      </c>
    </row>
    <row r="91" spans="1:33">
      <c r="A91" s="73" t="s">
        <v>217</v>
      </c>
      <c r="B91" s="74" t="s">
        <v>37</v>
      </c>
      <c r="C91" s="75">
        <v>56958.473140000002</v>
      </c>
      <c r="D91" s="75">
        <v>2.0000000000000001E-4</v>
      </c>
      <c r="E91">
        <f t="shared" si="12"/>
        <v>23617.786818642566</v>
      </c>
      <c r="F91">
        <f t="shared" si="21"/>
        <v>23618</v>
      </c>
      <c r="G91">
        <f t="shared" si="19"/>
        <v>-7.6345999994373415E-2</v>
      </c>
      <c r="K91">
        <f t="shared" si="20"/>
        <v>-7.6345999994373415E-2</v>
      </c>
      <c r="O91">
        <f t="shared" ca="1" si="18"/>
        <v>-7.6457175716508577E-2</v>
      </c>
      <c r="P91" s="67">
        <f t="shared" si="14"/>
        <v>-7.6651875737430333E-2</v>
      </c>
      <c r="Q91" s="2">
        <f t="shared" si="15"/>
        <v>41939.973140000002</v>
      </c>
      <c r="R91" s="2" t="s">
        <v>67</v>
      </c>
      <c r="S91" s="69">
        <f t="shared" si="16"/>
        <v>9.3559970190622127E-8</v>
      </c>
      <c r="T91" s="70">
        <v>1</v>
      </c>
      <c r="U91" s="69">
        <f t="shared" si="17"/>
        <v>9.3559970190622127E-8</v>
      </c>
    </row>
    <row r="92" spans="1:33">
      <c r="A92" s="73" t="s">
        <v>217</v>
      </c>
      <c r="B92" s="74" t="s">
        <v>35</v>
      </c>
      <c r="C92" s="75">
        <v>57122.313000000002</v>
      </c>
      <c r="D92" s="75">
        <v>2.0000000000000001E-4</v>
      </c>
      <c r="E92">
        <f t="shared" si="12"/>
        <v>24075.277764591905</v>
      </c>
      <c r="F92">
        <f t="shared" si="21"/>
        <v>24075.5</v>
      </c>
      <c r="G92">
        <f t="shared" si="19"/>
        <v>-7.9588499989768025E-2</v>
      </c>
      <c r="K92">
        <f t="shared" si="20"/>
        <v>-7.9588499989768025E-2</v>
      </c>
      <c r="O92">
        <f t="shared" ca="1" si="18"/>
        <v>-7.944801873082534E-2</v>
      </c>
      <c r="P92" s="67">
        <f t="shared" si="14"/>
        <v>-7.9589521697513141E-2</v>
      </c>
      <c r="Q92" s="2">
        <f t="shared" si="15"/>
        <v>42103.813000000002</v>
      </c>
      <c r="R92" s="2" t="s">
        <v>67</v>
      </c>
      <c r="S92" s="69">
        <f t="shared" si="16"/>
        <v>1.0438867164307167E-12</v>
      </c>
      <c r="T92" s="70">
        <v>1</v>
      </c>
      <c r="U92" s="69">
        <f t="shared" si="17"/>
        <v>1.0438867164307167E-12</v>
      </c>
    </row>
    <row r="93" spans="1:33">
      <c r="A93" s="73" t="s">
        <v>217</v>
      </c>
      <c r="B93" s="74" t="s">
        <v>35</v>
      </c>
      <c r="C93" s="75">
        <v>57122.313139999998</v>
      </c>
      <c r="D93" s="75">
        <v>1E-4</v>
      </c>
      <c r="E93">
        <f t="shared" si="12"/>
        <v>24075.278155514668</v>
      </c>
      <c r="F93">
        <f t="shared" si="21"/>
        <v>24075.5</v>
      </c>
      <c r="G93">
        <f t="shared" si="19"/>
        <v>-7.9448499993304722E-2</v>
      </c>
      <c r="K93">
        <f t="shared" si="20"/>
        <v>-7.9448499993304722E-2</v>
      </c>
      <c r="O93">
        <f t="shared" ca="1" si="18"/>
        <v>-7.944801873082534E-2</v>
      </c>
      <c r="P93" s="67">
        <f t="shared" si="14"/>
        <v>-7.9589521697513141E-2</v>
      </c>
      <c r="Q93" s="2">
        <f t="shared" si="15"/>
        <v>42103.813139999998</v>
      </c>
      <c r="R93" s="2" t="s">
        <v>67</v>
      </c>
      <c r="S93" s="69">
        <f t="shared" si="16"/>
        <v>1.9887121057846782E-8</v>
      </c>
      <c r="T93" s="70">
        <v>1</v>
      </c>
      <c r="U93" s="69">
        <f t="shared" si="17"/>
        <v>1.9887121057846782E-8</v>
      </c>
    </row>
    <row r="94" spans="1:33">
      <c r="A94" s="73" t="s">
        <v>217</v>
      </c>
      <c r="B94" s="74" t="s">
        <v>35</v>
      </c>
      <c r="C94" s="75">
        <v>57122.313340000001</v>
      </c>
      <c r="D94" s="75">
        <v>1E-4</v>
      </c>
      <c r="E94">
        <f t="shared" si="12"/>
        <v>24075.278713975782</v>
      </c>
      <c r="F94">
        <f t="shared" si="21"/>
        <v>24075.5</v>
      </c>
      <c r="G94">
        <f t="shared" si="19"/>
        <v>-7.9248499991081189E-2</v>
      </c>
      <c r="K94">
        <f t="shared" si="20"/>
        <v>-7.9248499991081189E-2</v>
      </c>
      <c r="O94">
        <f t="shared" ca="1" si="18"/>
        <v>-7.944801873082534E-2</v>
      </c>
      <c r="P94" s="67">
        <f t="shared" si="14"/>
        <v>-7.9589521697513141E-2</v>
      </c>
      <c r="Q94" s="2">
        <f t="shared" si="15"/>
        <v>42103.813340000001</v>
      </c>
      <c r="R94" s="2" t="s">
        <v>67</v>
      </c>
      <c r="S94" s="69">
        <f t="shared" si="16"/>
        <v>1.1629580425776012E-7</v>
      </c>
      <c r="T94" s="70">
        <v>1</v>
      </c>
      <c r="U94" s="69">
        <f t="shared" si="17"/>
        <v>1.1629580425776012E-7</v>
      </c>
    </row>
    <row r="95" spans="1:33">
      <c r="A95" s="73" t="s">
        <v>217</v>
      </c>
      <c r="B95" s="74" t="s">
        <v>35</v>
      </c>
      <c r="C95" s="75">
        <v>57122.313600000001</v>
      </c>
      <c r="D95" s="75">
        <v>2.9999999999999997E-4</v>
      </c>
      <c r="E95">
        <f t="shared" si="12"/>
        <v>24075.27943997522</v>
      </c>
      <c r="F95">
        <f t="shared" si="21"/>
        <v>24075.5</v>
      </c>
      <c r="G95">
        <f t="shared" si="19"/>
        <v>-7.8988499990373384E-2</v>
      </c>
      <c r="K95">
        <f t="shared" si="20"/>
        <v>-7.8988499990373384E-2</v>
      </c>
      <c r="O95">
        <f t="shared" ca="1" si="18"/>
        <v>-7.944801873082534E-2</v>
      </c>
      <c r="P95" s="67">
        <f t="shared" si="14"/>
        <v>-7.9589521697513141E-2</v>
      </c>
      <c r="Q95" s="2">
        <f t="shared" si="15"/>
        <v>42103.813600000001</v>
      </c>
      <c r="R95" s="2" t="s">
        <v>67</v>
      </c>
      <c r="S95" s="69">
        <f t="shared" si="16"/>
        <v>3.6122709245318745E-7</v>
      </c>
      <c r="T95" s="70">
        <v>1</v>
      </c>
      <c r="U95" s="69">
        <f t="shared" si="17"/>
        <v>3.6122709245318745E-7</v>
      </c>
    </row>
    <row r="96" spans="1:33">
      <c r="A96" s="57" t="s">
        <v>209</v>
      </c>
      <c r="B96" s="27"/>
      <c r="C96" s="29">
        <v>57755.6495</v>
      </c>
      <c r="D96" s="29">
        <v>2.9999999999999997E-4</v>
      </c>
      <c r="E96">
        <f t="shared" si="12"/>
        <v>25843.746771396749</v>
      </c>
      <c r="F96" s="58">
        <f>ROUND(2*E96,0)/2+0.5</f>
        <v>25844</v>
      </c>
      <c r="G96">
        <f t="shared" si="19"/>
        <v>-9.0687999996589497E-2</v>
      </c>
      <c r="K96">
        <f t="shared" si="20"/>
        <v>-9.0687999996589497E-2</v>
      </c>
      <c r="O96">
        <f t="shared" ca="1" si="18"/>
        <v>-9.100934303862683E-2</v>
      </c>
      <c r="P96" s="67">
        <f t="shared" si="14"/>
        <v>-9.1436690662240569E-2</v>
      </c>
      <c r="Q96" s="2">
        <f t="shared" si="15"/>
        <v>42737.1495</v>
      </c>
      <c r="R96" s="2" t="s">
        <v>67</v>
      </c>
      <c r="S96" s="69">
        <f t="shared" si="16"/>
        <v>5.6053771283304565E-7</v>
      </c>
      <c r="T96" s="70">
        <v>1</v>
      </c>
      <c r="U96" s="69">
        <f t="shared" si="17"/>
        <v>5.6053771283304565E-7</v>
      </c>
      <c r="V96" s="41"/>
    </row>
    <row r="97" spans="1:22">
      <c r="A97" s="76" t="s">
        <v>218</v>
      </c>
      <c r="B97" s="77" t="s">
        <v>37</v>
      </c>
      <c r="C97" s="78">
        <v>58151.372750000002</v>
      </c>
      <c r="D97" s="78">
        <v>1.8000000000000001E-4</v>
      </c>
      <c r="E97">
        <f t="shared" ref="E97:E104" si="22">+(C97-C$7)/C$8</f>
        <v>26948.726987912127</v>
      </c>
      <c r="F97" s="85">
        <f t="shared" ref="F97:F104" si="23">ROUND(2*E97,0)/2+0.5</f>
        <v>26949</v>
      </c>
      <c r="G97">
        <f>+C97-(C$7+F97*C$8)</f>
        <v>-9.7772999994049314E-2</v>
      </c>
      <c r="K97">
        <f>G97</f>
        <v>-9.7772999994049314E-2</v>
      </c>
      <c r="O97">
        <f ca="1">+C$11+C$12*F97</f>
        <v>-9.8233127805446505E-2</v>
      </c>
      <c r="P97" s="67">
        <f t="shared" ref="P97:P104" si="24">+D$11+D$12*F97+D$13*F97^2</f>
        <v>-9.9235493387746343E-2</v>
      </c>
      <c r="Q97" s="2">
        <f t="shared" ref="Q97:Q104" si="25">+C97-15018.5</f>
        <v>43132.872750000002</v>
      </c>
      <c r="R97" s="2" t="s">
        <v>67</v>
      </c>
      <c r="S97" s="69">
        <f t="shared" ref="S97:S104" si="26">+(P97-G97)^2</f>
        <v>2.138886926607452E-6</v>
      </c>
      <c r="T97" s="70">
        <v>1</v>
      </c>
      <c r="U97" s="69">
        <f t="shared" ref="U97:U104" si="27">+T97*S97</f>
        <v>2.138886926607452E-6</v>
      </c>
    </row>
    <row r="98" spans="1:22">
      <c r="A98" s="76" t="s">
        <v>218</v>
      </c>
      <c r="B98" s="77" t="s">
        <v>35</v>
      </c>
      <c r="C98" s="78">
        <v>58429.451659999999</v>
      </c>
      <c r="D98" s="78">
        <v>1.2999999999999999E-4</v>
      </c>
      <c r="E98">
        <f t="shared" si="22"/>
        <v>27725.208264107434</v>
      </c>
      <c r="F98" s="85">
        <f t="shared" si="23"/>
        <v>27725.5</v>
      </c>
      <c r="G98">
        <f>+C98-(C$7+F98*C$8)</f>
        <v>-0.10447849999764003</v>
      </c>
      <c r="K98">
        <f>G98</f>
        <v>-0.10447849999764003</v>
      </c>
      <c r="O98">
        <f ca="1">+C$11+C$12*F98</f>
        <v>-0.1033093892275601</v>
      </c>
      <c r="P98" s="67">
        <f t="shared" si="24"/>
        <v>-0.1048982277008156</v>
      </c>
      <c r="Q98" s="2">
        <f t="shared" si="25"/>
        <v>43410.951659999999</v>
      </c>
      <c r="R98" s="2" t="s">
        <v>67</v>
      </c>
      <c r="S98" s="69">
        <f t="shared" si="26"/>
        <v>1.7617134481303778E-7</v>
      </c>
      <c r="T98" s="70">
        <v>1</v>
      </c>
      <c r="U98" s="69">
        <f t="shared" si="27"/>
        <v>1.7617134481303778E-7</v>
      </c>
    </row>
    <row r="99" spans="1:22">
      <c r="A99" s="79" t="s">
        <v>218</v>
      </c>
      <c r="B99" s="80" t="s">
        <v>37</v>
      </c>
      <c r="C99" s="81">
        <v>58151.372750000002</v>
      </c>
      <c r="D99" s="81">
        <v>1.8000000000000001E-4</v>
      </c>
      <c r="E99">
        <f t="shared" si="22"/>
        <v>26948.726987912127</v>
      </c>
      <c r="F99" s="85">
        <f t="shared" si="23"/>
        <v>26949</v>
      </c>
      <c r="G99">
        <f>+C99-(C$7+F99*C$8)</f>
        <v>-9.7772999994049314E-2</v>
      </c>
      <c r="K99">
        <f>G99</f>
        <v>-9.7772999994049314E-2</v>
      </c>
      <c r="O99">
        <f ca="1">+C$11+C$12*F99</f>
        <v>-9.8233127805446505E-2</v>
      </c>
      <c r="P99" s="67">
        <f t="shared" si="24"/>
        <v>-9.9235493387746343E-2</v>
      </c>
      <c r="Q99" s="2">
        <f t="shared" si="25"/>
        <v>43132.872750000002</v>
      </c>
      <c r="R99" s="2" t="s">
        <v>67</v>
      </c>
      <c r="S99" s="69">
        <f t="shared" si="26"/>
        <v>2.138886926607452E-6</v>
      </c>
      <c r="T99" s="70">
        <v>1</v>
      </c>
      <c r="U99" s="69">
        <f t="shared" si="27"/>
        <v>2.138886926607452E-6</v>
      </c>
    </row>
    <row r="100" spans="1:22">
      <c r="A100" s="79" t="s">
        <v>218</v>
      </c>
      <c r="B100" s="80" t="s">
        <v>35</v>
      </c>
      <c r="C100" s="81">
        <v>58429.451659999999</v>
      </c>
      <c r="D100" s="81">
        <v>1.2999999999999999E-4</v>
      </c>
      <c r="E100">
        <f t="shared" si="22"/>
        <v>27725.208264107434</v>
      </c>
      <c r="F100" s="85">
        <f t="shared" si="23"/>
        <v>27725.5</v>
      </c>
      <c r="G100">
        <f>+C100-(C$7+F100*C$8)</f>
        <v>-0.10447849999764003</v>
      </c>
      <c r="K100">
        <f>G100</f>
        <v>-0.10447849999764003</v>
      </c>
      <c r="O100">
        <f ca="1">+C$11+C$12*F100</f>
        <v>-0.1033093892275601</v>
      </c>
      <c r="P100" s="67">
        <f t="shared" si="24"/>
        <v>-0.1048982277008156</v>
      </c>
      <c r="Q100" s="2">
        <f t="shared" si="25"/>
        <v>43410.951659999999</v>
      </c>
      <c r="R100" s="2" t="s">
        <v>67</v>
      </c>
      <c r="S100" s="69">
        <f t="shared" si="26"/>
        <v>1.7617134481303778E-7</v>
      </c>
      <c r="T100" s="70">
        <v>1</v>
      </c>
      <c r="U100" s="69">
        <f t="shared" si="27"/>
        <v>1.7617134481303778E-7</v>
      </c>
    </row>
    <row r="101" spans="1:22">
      <c r="A101" s="82" t="s">
        <v>219</v>
      </c>
      <c r="B101" s="83" t="s">
        <v>35</v>
      </c>
      <c r="C101" s="84">
        <v>57739.355880000163</v>
      </c>
      <c r="D101" s="84">
        <v>4.0000000000000002E-4</v>
      </c>
      <c r="E101">
        <f t="shared" si="22"/>
        <v>25798.250006283153</v>
      </c>
      <c r="F101" s="85">
        <f t="shared" si="23"/>
        <v>25799</v>
      </c>
      <c r="P101" s="67">
        <f t="shared" si="24"/>
        <v>-9.1125553180064836E-2</v>
      </c>
      <c r="Q101" s="2">
        <f t="shared" si="25"/>
        <v>42720.855880000163</v>
      </c>
      <c r="R101" s="2" t="s">
        <v>67</v>
      </c>
      <c r="S101" s="69">
        <f t="shared" si="26"/>
        <v>8.3038664423728242E-3</v>
      </c>
      <c r="T101" s="70">
        <v>2</v>
      </c>
      <c r="U101" s="69">
        <f t="shared" si="27"/>
        <v>1.6607732884745648E-2</v>
      </c>
      <c r="V101" s="86">
        <f>C101-(C$7+F101*C$8)</f>
        <v>-0.26859299983334495</v>
      </c>
    </row>
    <row r="102" spans="1:22">
      <c r="A102" s="82" t="s">
        <v>219</v>
      </c>
      <c r="B102" s="83" t="s">
        <v>35</v>
      </c>
      <c r="C102" s="84">
        <v>57739.356550000142</v>
      </c>
      <c r="D102" s="84">
        <v>2.9999999999999997E-4</v>
      </c>
      <c r="E102">
        <f t="shared" si="22"/>
        <v>25798.251877127797</v>
      </c>
      <c r="F102" s="85">
        <f t="shared" si="23"/>
        <v>25799</v>
      </c>
      <c r="P102" s="67">
        <f t="shared" si="24"/>
        <v>-9.1125553180064836E-2</v>
      </c>
      <c r="Q102" s="2">
        <f t="shared" si="25"/>
        <v>42720.856550000142</v>
      </c>
      <c r="R102" s="2" t="s">
        <v>67</v>
      </c>
      <c r="S102" s="69">
        <f t="shared" si="26"/>
        <v>8.3038664423728242E-3</v>
      </c>
      <c r="T102" s="70">
        <v>3</v>
      </c>
      <c r="U102" s="69">
        <f t="shared" si="27"/>
        <v>2.4911599327118471E-2</v>
      </c>
      <c r="V102" s="86">
        <f>C102-(C$7+F102*C$8)</f>
        <v>-0.26792299985390855</v>
      </c>
    </row>
    <row r="103" spans="1:22">
      <c r="A103" s="82" t="s">
        <v>219</v>
      </c>
      <c r="B103" s="83" t="s">
        <v>35</v>
      </c>
      <c r="C103" s="84">
        <v>57739.356689999811</v>
      </c>
      <c r="D103" s="84">
        <v>4.0000000000000002E-4</v>
      </c>
      <c r="E103">
        <f t="shared" si="22"/>
        <v>25798.252268049644</v>
      </c>
      <c r="F103" s="85">
        <f t="shared" si="23"/>
        <v>25799</v>
      </c>
      <c r="P103" s="67">
        <f t="shared" si="24"/>
        <v>-9.1125553180064836E-2</v>
      </c>
      <c r="Q103" s="2">
        <f t="shared" si="25"/>
        <v>42720.856689999811</v>
      </c>
      <c r="R103" s="2" t="s">
        <v>67</v>
      </c>
      <c r="S103" s="69">
        <f t="shared" si="26"/>
        <v>8.3038664423728242E-3</v>
      </c>
      <c r="T103" s="70">
        <v>4</v>
      </c>
      <c r="U103" s="69">
        <f t="shared" si="27"/>
        <v>3.3215465769491297E-2</v>
      </c>
      <c r="V103" s="86">
        <f>C103-(C$7+F103*C$8)</f>
        <v>-0.26778300018486334</v>
      </c>
    </row>
    <row r="104" spans="1:22">
      <c r="A104" s="82" t="s">
        <v>219</v>
      </c>
      <c r="B104" s="83" t="s">
        <v>35</v>
      </c>
      <c r="C104" s="84">
        <v>57739.356939999852</v>
      </c>
      <c r="D104" s="84">
        <v>2.9999999999999997E-4</v>
      </c>
      <c r="E104">
        <f t="shared" si="22"/>
        <v>25798.25296612614</v>
      </c>
      <c r="F104" s="85">
        <f t="shared" si="23"/>
        <v>25799</v>
      </c>
      <c r="P104" s="67">
        <f t="shared" si="24"/>
        <v>-9.1125553180064836E-2</v>
      </c>
      <c r="Q104" s="2">
        <f t="shared" si="25"/>
        <v>42720.856939999852</v>
      </c>
      <c r="R104" s="2" t="s">
        <v>67</v>
      </c>
      <c r="S104" s="69">
        <f t="shared" si="26"/>
        <v>8.3038664423728242E-3</v>
      </c>
      <c r="T104" s="70">
        <v>5</v>
      </c>
      <c r="U104" s="69">
        <f t="shared" si="27"/>
        <v>4.1519332211864123E-2</v>
      </c>
      <c r="V104" s="86">
        <f>C104-(C$7+F104*C$8)</f>
        <v>-0.26753300014388515</v>
      </c>
    </row>
    <row r="105" spans="1:22">
      <c r="P105" s="67"/>
    </row>
    <row r="106" spans="1:22">
      <c r="P106" s="67"/>
    </row>
    <row r="107" spans="1:22">
      <c r="P107" s="67"/>
    </row>
    <row r="108" spans="1:22">
      <c r="P108" s="67"/>
    </row>
    <row r="109" spans="1:22">
      <c r="P109" s="67"/>
    </row>
    <row r="110" spans="1:22">
      <c r="P110" s="67"/>
    </row>
    <row r="111" spans="1:22">
      <c r="P111" s="67"/>
    </row>
    <row r="112" spans="1:22">
      <c r="P112" s="67"/>
    </row>
    <row r="113" spans="16:16">
      <c r="P113" s="67"/>
    </row>
    <row r="114" spans="16:16">
      <c r="P114" s="67"/>
    </row>
    <row r="115" spans="16:16">
      <c r="P115" s="67"/>
    </row>
    <row r="116" spans="16:16">
      <c r="P116" s="67"/>
    </row>
    <row r="117" spans="16:16">
      <c r="P117" s="67"/>
    </row>
    <row r="118" spans="16:16">
      <c r="P118" s="67"/>
    </row>
    <row r="119" spans="16:16">
      <c r="P119" s="67"/>
    </row>
    <row r="120" spans="16:16">
      <c r="P120" s="67"/>
    </row>
    <row r="121" spans="16:16">
      <c r="P121" s="67"/>
    </row>
    <row r="122" spans="16:16">
      <c r="P122" s="67"/>
    </row>
    <row r="123" spans="16:16">
      <c r="P123" s="67"/>
    </row>
    <row r="124" spans="16:16">
      <c r="P124" s="67"/>
    </row>
    <row r="125" spans="16:16">
      <c r="P125" s="67"/>
    </row>
    <row r="126" spans="16:16">
      <c r="P126" s="67"/>
    </row>
    <row r="127" spans="16:16">
      <c r="P127" s="67"/>
    </row>
    <row r="128" spans="16:16">
      <c r="P128" s="67"/>
    </row>
    <row r="129" spans="16:16">
      <c r="P129" s="67"/>
    </row>
    <row r="130" spans="16:16">
      <c r="P130" s="67"/>
    </row>
    <row r="131" spans="16:16">
      <c r="P131" s="67"/>
    </row>
    <row r="132" spans="16:16">
      <c r="P132" s="67"/>
    </row>
    <row r="133" spans="16:16">
      <c r="P133" s="67"/>
    </row>
    <row r="134" spans="16:16">
      <c r="P134" s="67"/>
    </row>
    <row r="135" spans="16:16">
      <c r="P135" s="67"/>
    </row>
    <row r="136" spans="16:16">
      <c r="P136" s="67"/>
    </row>
    <row r="137" spans="16:16">
      <c r="P137" s="67"/>
    </row>
    <row r="138" spans="16:16">
      <c r="P138" s="67"/>
    </row>
    <row r="139" spans="16:16">
      <c r="P139" s="67"/>
    </row>
    <row r="140" spans="16:16">
      <c r="P140" s="67"/>
    </row>
    <row r="141" spans="16:16">
      <c r="P141" s="67"/>
    </row>
    <row r="142" spans="16:16">
      <c r="P142" s="67"/>
    </row>
    <row r="143" spans="16:16">
      <c r="P143" s="67"/>
    </row>
    <row r="144" spans="16:16">
      <c r="P144" s="67"/>
    </row>
    <row r="145" spans="16:16">
      <c r="P145" s="67"/>
    </row>
    <row r="146" spans="16:16">
      <c r="P146" s="67"/>
    </row>
    <row r="147" spans="16:16">
      <c r="P147" s="67"/>
    </row>
    <row r="148" spans="16:16">
      <c r="P148" s="67"/>
    </row>
    <row r="149" spans="16:16">
      <c r="P149" s="67"/>
    </row>
    <row r="150" spans="16:16">
      <c r="P150" s="67"/>
    </row>
    <row r="151" spans="16:16">
      <c r="P151" s="67"/>
    </row>
    <row r="152" spans="16:16">
      <c r="P152" s="67"/>
    </row>
    <row r="153" spans="16:16">
      <c r="P153" s="67"/>
    </row>
    <row r="154" spans="16:16">
      <c r="P154" s="67"/>
    </row>
    <row r="155" spans="16:16">
      <c r="P155" s="67"/>
    </row>
    <row r="156" spans="16:16">
      <c r="P156" s="67"/>
    </row>
    <row r="157" spans="16:16">
      <c r="P157" s="67"/>
    </row>
    <row r="158" spans="16:16">
      <c r="P158" s="67"/>
    </row>
    <row r="159" spans="16:16">
      <c r="P159" s="67"/>
    </row>
    <row r="160" spans="16:16">
      <c r="P160" s="67"/>
    </row>
    <row r="161" spans="16:16">
      <c r="P161" s="67"/>
    </row>
    <row r="162" spans="16:16">
      <c r="P162" s="67"/>
    </row>
    <row r="163" spans="16:16">
      <c r="P163" s="67"/>
    </row>
    <row r="164" spans="16:16">
      <c r="P164" s="67"/>
    </row>
    <row r="165" spans="16:16">
      <c r="P165" s="67"/>
    </row>
    <row r="166" spans="16:16">
      <c r="P166" s="67"/>
    </row>
    <row r="167" spans="16:16">
      <c r="P167" s="67"/>
    </row>
    <row r="168" spans="16:16">
      <c r="P168" s="67"/>
    </row>
    <row r="169" spans="16:16">
      <c r="P169" s="67"/>
    </row>
    <row r="170" spans="16:16">
      <c r="P170" s="67"/>
    </row>
    <row r="171" spans="16:16">
      <c r="P171" s="67"/>
    </row>
    <row r="172" spans="16:16">
      <c r="P172" s="67"/>
    </row>
    <row r="173" spans="16:16">
      <c r="P173" s="67"/>
    </row>
    <row r="174" spans="16:16">
      <c r="P174" s="67"/>
    </row>
    <row r="175" spans="16:16">
      <c r="P175" s="67"/>
    </row>
    <row r="176" spans="16:16">
      <c r="P176" s="67"/>
    </row>
    <row r="177" spans="16:16">
      <c r="P177" s="67"/>
    </row>
    <row r="178" spans="16:16">
      <c r="P178" s="67"/>
    </row>
    <row r="179" spans="16:16">
      <c r="P179" s="67"/>
    </row>
    <row r="180" spans="16:16">
      <c r="P180" s="67"/>
    </row>
    <row r="181" spans="16:16">
      <c r="P181" s="67"/>
    </row>
    <row r="182" spans="16:16">
      <c r="P182" s="67"/>
    </row>
    <row r="183" spans="16:16">
      <c r="P183" s="67"/>
    </row>
    <row r="184" spans="16:16">
      <c r="P184" s="67"/>
    </row>
    <row r="185" spans="16:16">
      <c r="P185" s="67"/>
    </row>
    <row r="186" spans="16:16">
      <c r="P186" s="67"/>
    </row>
    <row r="187" spans="16:16">
      <c r="P187" s="67"/>
    </row>
    <row r="188" spans="16:16">
      <c r="P188" s="67"/>
    </row>
    <row r="189" spans="16:16">
      <c r="P189" s="67"/>
    </row>
    <row r="190" spans="16:16">
      <c r="P190" s="67"/>
    </row>
    <row r="191" spans="16:16">
      <c r="P191" s="67"/>
    </row>
    <row r="192" spans="16:16">
      <c r="P192" s="67"/>
    </row>
    <row r="193" spans="16:16">
      <c r="P193" s="67"/>
    </row>
    <row r="194" spans="16:16">
      <c r="P194" s="67"/>
    </row>
    <row r="195" spans="16:16">
      <c r="P195" s="67"/>
    </row>
    <row r="196" spans="16:16">
      <c r="P196" s="67"/>
    </row>
    <row r="197" spans="16:16">
      <c r="P197" s="67"/>
    </row>
    <row r="198" spans="16:16">
      <c r="P198" s="67"/>
    </row>
    <row r="199" spans="16:16">
      <c r="P199" s="67"/>
    </row>
    <row r="200" spans="16:16">
      <c r="P200" s="67"/>
    </row>
    <row r="201" spans="16:16">
      <c r="P201" s="67"/>
    </row>
    <row r="202" spans="16:16">
      <c r="P202" s="67"/>
    </row>
    <row r="203" spans="16:16">
      <c r="P203" s="67"/>
    </row>
    <row r="204" spans="16:16">
      <c r="P204" s="67"/>
    </row>
    <row r="205" spans="16:16">
      <c r="P205" s="67"/>
    </row>
    <row r="206" spans="16:16">
      <c r="P206" s="67"/>
    </row>
    <row r="207" spans="16:16">
      <c r="P207" s="67"/>
    </row>
    <row r="208" spans="16:16">
      <c r="P208" s="67"/>
    </row>
    <row r="209" spans="16:16">
      <c r="P209" s="67"/>
    </row>
    <row r="210" spans="16:16">
      <c r="P210" s="67"/>
    </row>
    <row r="211" spans="16:16">
      <c r="P211" s="67"/>
    </row>
    <row r="212" spans="16:16">
      <c r="P212" s="67"/>
    </row>
    <row r="213" spans="16:16">
      <c r="P213" s="67"/>
    </row>
    <row r="214" spans="16:16">
      <c r="P214" s="67"/>
    </row>
    <row r="215" spans="16:16">
      <c r="P215" s="67"/>
    </row>
    <row r="216" spans="16:16">
      <c r="P216" s="67"/>
    </row>
    <row r="217" spans="16:16">
      <c r="P217" s="67"/>
    </row>
    <row r="218" spans="16:16">
      <c r="P218" s="67"/>
    </row>
    <row r="219" spans="16:16">
      <c r="P219" s="67"/>
    </row>
    <row r="220" spans="16:16">
      <c r="P220" s="67"/>
    </row>
    <row r="221" spans="16:16">
      <c r="P221" s="67"/>
    </row>
    <row r="222" spans="16:16">
      <c r="P222" s="67"/>
    </row>
    <row r="223" spans="16:16">
      <c r="P223" s="67"/>
    </row>
    <row r="224" spans="16:16">
      <c r="P224" s="67"/>
    </row>
    <row r="225" spans="16:16">
      <c r="P225" s="67"/>
    </row>
    <row r="226" spans="16:16">
      <c r="P226" s="67"/>
    </row>
    <row r="227" spans="16:16">
      <c r="P227" s="67"/>
    </row>
  </sheetData>
  <protectedRanges>
    <protectedRange sqref="A97:D104" name="Range1"/>
  </protectedRanges>
  <phoneticPr fontId="8" type="noConversion"/>
  <hyperlinks>
    <hyperlink ref="H400" r:id="rId1" display="http://vsolj.cetus-net.org/bulletin.html"/>
    <hyperlink ref="H393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1"/>
  <sheetViews>
    <sheetView topLeftCell="A19" workbookViewId="0">
      <selection activeCell="A50" sqref="A50:D50"/>
    </sheetView>
  </sheetViews>
  <sheetFormatPr defaultRowHeight="12.75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2" t="s">
        <v>65</v>
      </c>
      <c r="I1" s="43" t="s">
        <v>66</v>
      </c>
      <c r="J1" s="44" t="s">
        <v>67</v>
      </c>
    </row>
    <row r="2" spans="1:16">
      <c r="I2" s="45" t="s">
        <v>68</v>
      </c>
      <c r="J2" s="46" t="s">
        <v>69</v>
      </c>
    </row>
    <row r="3" spans="1:16">
      <c r="A3" s="47" t="s">
        <v>70</v>
      </c>
      <c r="I3" s="45" t="s">
        <v>71</v>
      </c>
      <c r="J3" s="46" t="s">
        <v>72</v>
      </c>
    </row>
    <row r="4" spans="1:16">
      <c r="I4" s="45" t="s">
        <v>73</v>
      </c>
      <c r="J4" s="46" t="s">
        <v>72</v>
      </c>
    </row>
    <row r="5" spans="1:16" ht="13.5" thickBot="1">
      <c r="I5" s="48" t="s">
        <v>74</v>
      </c>
      <c r="J5" s="49" t="s">
        <v>52</v>
      </c>
    </row>
    <row r="10" spans="1:16" ht="13.5" thickBot="1"/>
    <row r="11" spans="1:16" ht="12.75" customHeight="1" thickBot="1">
      <c r="A11" s="11" t="str">
        <f t="shared" ref="A11:A50" si="0">P11</f>
        <v>IBVS 5623 </v>
      </c>
      <c r="B11" s="3" t="str">
        <f t="shared" ref="B11:B50" si="1">IF(H11=INT(H11),"I","II")</f>
        <v>II</v>
      </c>
      <c r="C11" s="11">
        <f t="shared" ref="C11:C50" si="2">1*G11</f>
        <v>51927.392800000001</v>
      </c>
      <c r="D11" s="14" t="str">
        <f t="shared" ref="D11:D50" si="3">VLOOKUP(F11,I$1:J$5,2,FALSE)</f>
        <v>vis</v>
      </c>
      <c r="E11" s="50">
        <f>VLOOKUP(C11,Active!C$21:E$973,3,FALSE)</f>
        <v>9569.4733991014491</v>
      </c>
      <c r="F11" s="3" t="s">
        <v>74</v>
      </c>
      <c r="G11" s="14" t="str">
        <f t="shared" ref="G11:G50" si="4">MID(I11,3,LEN(I11)-3)</f>
        <v>51927.3928</v>
      </c>
      <c r="H11" s="11">
        <f t="shared" ref="H11:H50" si="5">1*K11</f>
        <v>-1599.5</v>
      </c>
      <c r="I11" s="51" t="s">
        <v>76</v>
      </c>
      <c r="J11" s="52" t="s">
        <v>77</v>
      </c>
      <c r="K11" s="51">
        <v>-1599.5</v>
      </c>
      <c r="L11" s="51" t="s">
        <v>78</v>
      </c>
      <c r="M11" s="52" t="s">
        <v>79</v>
      </c>
      <c r="N11" s="52" t="s">
        <v>31</v>
      </c>
      <c r="O11" s="53" t="s">
        <v>80</v>
      </c>
      <c r="P11" s="54" t="s">
        <v>81</v>
      </c>
    </row>
    <row r="12" spans="1:16" ht="12.75" customHeight="1" thickBot="1">
      <c r="A12" s="11" t="str">
        <f t="shared" si="0"/>
        <v>IBVS 5623 </v>
      </c>
      <c r="B12" s="3" t="str">
        <f t="shared" si="1"/>
        <v>I</v>
      </c>
      <c r="C12" s="11">
        <f t="shared" si="2"/>
        <v>51927.5723</v>
      </c>
      <c r="D12" s="14" t="str">
        <f t="shared" si="3"/>
        <v>vis</v>
      </c>
      <c r="E12" s="50">
        <f>VLOOKUP(C12,Active!C$21:E$973,3,FALSE)</f>
        <v>9569.9746179428057</v>
      </c>
      <c r="F12" s="3" t="s">
        <v>74</v>
      </c>
      <c r="G12" s="14" t="str">
        <f t="shared" si="4"/>
        <v>51927.5723</v>
      </c>
      <c r="H12" s="11">
        <f t="shared" si="5"/>
        <v>-1599</v>
      </c>
      <c r="I12" s="51" t="s">
        <v>82</v>
      </c>
      <c r="J12" s="52" t="s">
        <v>83</v>
      </c>
      <c r="K12" s="51">
        <v>-1599</v>
      </c>
      <c r="L12" s="51" t="s">
        <v>84</v>
      </c>
      <c r="M12" s="52" t="s">
        <v>79</v>
      </c>
      <c r="N12" s="52" t="s">
        <v>31</v>
      </c>
      <c r="O12" s="53" t="s">
        <v>80</v>
      </c>
      <c r="P12" s="54" t="s">
        <v>81</v>
      </c>
    </row>
    <row r="13" spans="1:16" ht="12.75" customHeight="1" thickBot="1">
      <c r="A13" s="11" t="str">
        <f t="shared" si="0"/>
        <v> BBS 127 </v>
      </c>
      <c r="B13" s="3" t="str">
        <f t="shared" si="1"/>
        <v>I</v>
      </c>
      <c r="C13" s="11">
        <f t="shared" si="2"/>
        <v>52308.256999999998</v>
      </c>
      <c r="D13" s="14" t="str">
        <f t="shared" si="3"/>
        <v>vis</v>
      </c>
      <c r="E13" s="50">
        <f>VLOOKUP(C13,Active!C$21:E$973,3,FALSE)</f>
        <v>10632.962608236747</v>
      </c>
      <c r="F13" s="3" t="s">
        <v>74</v>
      </c>
      <c r="G13" s="14" t="str">
        <f t="shared" si="4"/>
        <v>52308.2570</v>
      </c>
      <c r="H13" s="11">
        <f t="shared" si="5"/>
        <v>-536</v>
      </c>
      <c r="I13" s="51" t="s">
        <v>85</v>
      </c>
      <c r="J13" s="52" t="s">
        <v>86</v>
      </c>
      <c r="K13" s="51">
        <v>-536</v>
      </c>
      <c r="L13" s="51" t="s">
        <v>87</v>
      </c>
      <c r="M13" s="52" t="s">
        <v>79</v>
      </c>
      <c r="N13" s="52" t="s">
        <v>31</v>
      </c>
      <c r="O13" s="53" t="s">
        <v>88</v>
      </c>
      <c r="P13" s="53" t="s">
        <v>89</v>
      </c>
    </row>
    <row r="14" spans="1:16" ht="12.75" customHeight="1" thickBot="1">
      <c r="A14" s="11" t="str">
        <f t="shared" si="0"/>
        <v> BBS 129 </v>
      </c>
      <c r="B14" s="3" t="str">
        <f t="shared" si="1"/>
        <v>I</v>
      </c>
      <c r="C14" s="11">
        <f t="shared" si="2"/>
        <v>52655.276400000002</v>
      </c>
      <c r="D14" s="14" t="str">
        <f t="shared" si="3"/>
        <v>vis</v>
      </c>
      <c r="E14" s="50">
        <f>VLOOKUP(C14,Active!C$21:E$973,3,FALSE)</f>
        <v>11601.946795410584</v>
      </c>
      <c r="F14" s="3" t="s">
        <v>74</v>
      </c>
      <c r="G14" s="14" t="str">
        <f t="shared" si="4"/>
        <v>52655.2764</v>
      </c>
      <c r="H14" s="11">
        <f t="shared" si="5"/>
        <v>433</v>
      </c>
      <c r="I14" s="51" t="s">
        <v>90</v>
      </c>
      <c r="J14" s="52" t="s">
        <v>91</v>
      </c>
      <c r="K14" s="51">
        <v>433</v>
      </c>
      <c r="L14" s="51" t="s">
        <v>78</v>
      </c>
      <c r="M14" s="52" t="s">
        <v>79</v>
      </c>
      <c r="N14" s="52" t="s">
        <v>31</v>
      </c>
      <c r="O14" s="53" t="s">
        <v>88</v>
      </c>
      <c r="P14" s="53" t="s">
        <v>92</v>
      </c>
    </row>
    <row r="15" spans="1:16" ht="12.75" customHeight="1" thickBot="1">
      <c r="A15" s="11" t="str">
        <f t="shared" si="0"/>
        <v> BBS 129 </v>
      </c>
      <c r="B15" s="3" t="str">
        <f t="shared" si="1"/>
        <v>I</v>
      </c>
      <c r="C15" s="11">
        <f t="shared" si="2"/>
        <v>52689.299099999997</v>
      </c>
      <c r="D15" s="14" t="str">
        <f t="shared" si="3"/>
        <v>vis</v>
      </c>
      <c r="E15" s="50">
        <f>VLOOKUP(C15,Active!C$21:E$973,3,FALSE)</f>
        <v>11696.948568524575</v>
      </c>
      <c r="F15" s="3" t="s">
        <v>74</v>
      </c>
      <c r="G15" s="14" t="str">
        <f t="shared" si="4"/>
        <v>52689.2991</v>
      </c>
      <c r="H15" s="11">
        <f t="shared" si="5"/>
        <v>528</v>
      </c>
      <c r="I15" s="51" t="s">
        <v>93</v>
      </c>
      <c r="J15" s="52" t="s">
        <v>94</v>
      </c>
      <c r="K15" s="51">
        <v>528</v>
      </c>
      <c r="L15" s="51" t="s">
        <v>95</v>
      </c>
      <c r="M15" s="52" t="s">
        <v>79</v>
      </c>
      <c r="N15" s="52" t="s">
        <v>31</v>
      </c>
      <c r="O15" s="53" t="s">
        <v>88</v>
      </c>
      <c r="P15" s="53" t="s">
        <v>92</v>
      </c>
    </row>
    <row r="16" spans="1:16" ht="12.75" customHeight="1" thickBot="1">
      <c r="A16" s="11" t="str">
        <f t="shared" si="0"/>
        <v> BBS 129 </v>
      </c>
      <c r="B16" s="3" t="str">
        <f t="shared" si="1"/>
        <v>I</v>
      </c>
      <c r="C16" s="11">
        <f t="shared" si="2"/>
        <v>52694.313999999998</v>
      </c>
      <c r="D16" s="14" t="str">
        <f t="shared" si="3"/>
        <v>vis</v>
      </c>
      <c r="E16" s="50">
        <f>VLOOKUP(C16,Active!C$21:E$973,3,FALSE)</f>
        <v>11710.951701491376</v>
      </c>
      <c r="F16" s="3" t="s">
        <v>74</v>
      </c>
      <c r="G16" s="14" t="str">
        <f t="shared" si="4"/>
        <v>52694.314</v>
      </c>
      <c r="H16" s="11">
        <f t="shared" si="5"/>
        <v>542</v>
      </c>
      <c r="I16" s="51" t="s">
        <v>96</v>
      </c>
      <c r="J16" s="52" t="s">
        <v>97</v>
      </c>
      <c r="K16" s="51">
        <v>542</v>
      </c>
      <c r="L16" s="51" t="s">
        <v>98</v>
      </c>
      <c r="M16" s="52" t="s">
        <v>79</v>
      </c>
      <c r="N16" s="52" t="s">
        <v>31</v>
      </c>
      <c r="O16" s="53" t="s">
        <v>99</v>
      </c>
      <c r="P16" s="53" t="s">
        <v>92</v>
      </c>
    </row>
    <row r="17" spans="1:16" ht="12.75" customHeight="1" thickBot="1">
      <c r="A17" s="11" t="str">
        <f t="shared" si="0"/>
        <v>IBVS 5602 </v>
      </c>
      <c r="B17" s="3" t="str">
        <f t="shared" si="1"/>
        <v>I</v>
      </c>
      <c r="C17" s="11">
        <f t="shared" si="2"/>
        <v>53040.617200000001</v>
      </c>
      <c r="D17" s="14" t="str">
        <f t="shared" si="3"/>
        <v>vis</v>
      </c>
      <c r="E17" s="50">
        <f>VLOOKUP(C17,Active!C$21:E$973,3,FALSE)</f>
        <v>12677.936039449703</v>
      </c>
      <c r="F17" s="3" t="s">
        <v>74</v>
      </c>
      <c r="G17" s="14" t="str">
        <f t="shared" si="4"/>
        <v>53040.6172</v>
      </c>
      <c r="H17" s="11">
        <f t="shared" si="5"/>
        <v>1509</v>
      </c>
      <c r="I17" s="51" t="s">
        <v>100</v>
      </c>
      <c r="J17" s="52" t="s">
        <v>101</v>
      </c>
      <c r="K17" s="51">
        <v>1509</v>
      </c>
      <c r="L17" s="51" t="s">
        <v>87</v>
      </c>
      <c r="M17" s="52" t="s">
        <v>79</v>
      </c>
      <c r="N17" s="52" t="s">
        <v>31</v>
      </c>
      <c r="O17" s="53" t="s">
        <v>102</v>
      </c>
      <c r="P17" s="54" t="s">
        <v>103</v>
      </c>
    </row>
    <row r="18" spans="1:16" ht="12.75" customHeight="1" thickBot="1">
      <c r="A18" s="11" t="str">
        <f t="shared" si="0"/>
        <v>IBVS 5592 </v>
      </c>
      <c r="B18" s="3" t="str">
        <f t="shared" si="1"/>
        <v>II</v>
      </c>
      <c r="C18" s="11">
        <f t="shared" si="2"/>
        <v>53057.271399999998</v>
      </c>
      <c r="D18" s="14" t="str">
        <f t="shared" si="3"/>
        <v>vis</v>
      </c>
      <c r="E18" s="50">
        <f>VLOOKUP(C18,Active!C$21:E$973,3,FALSE)</f>
        <v>12724.439654089196</v>
      </c>
      <c r="F18" s="3" t="s">
        <v>74</v>
      </c>
      <c r="G18" s="14" t="str">
        <f t="shared" si="4"/>
        <v>53057.2714</v>
      </c>
      <c r="H18" s="11">
        <f t="shared" si="5"/>
        <v>1555.5</v>
      </c>
      <c r="I18" s="51" t="s">
        <v>104</v>
      </c>
      <c r="J18" s="52" t="s">
        <v>105</v>
      </c>
      <c r="K18" s="51">
        <v>1555.5</v>
      </c>
      <c r="L18" s="51" t="s">
        <v>106</v>
      </c>
      <c r="M18" s="52" t="s">
        <v>79</v>
      </c>
      <c r="N18" s="52" t="s">
        <v>31</v>
      </c>
      <c r="O18" s="53" t="s">
        <v>107</v>
      </c>
      <c r="P18" s="54" t="s">
        <v>108</v>
      </c>
    </row>
    <row r="19" spans="1:16" ht="12.75" customHeight="1" thickBot="1">
      <c r="A19" s="11" t="str">
        <f t="shared" si="0"/>
        <v>IBVS 5672 </v>
      </c>
      <c r="B19" s="3" t="str">
        <f t="shared" si="1"/>
        <v>I</v>
      </c>
      <c r="C19" s="11">
        <f t="shared" si="2"/>
        <v>53697.772900000004</v>
      </c>
      <c r="D19" s="14" t="str">
        <f t="shared" si="3"/>
        <v>vis</v>
      </c>
      <c r="E19" s="50">
        <f>VLOOKUP(C19,Active!C$21:E$973,3,FALSE)</f>
        <v>14512.915529965647</v>
      </c>
      <c r="F19" s="3" t="s">
        <v>74</v>
      </c>
      <c r="G19" s="14" t="str">
        <f t="shared" si="4"/>
        <v>53697.7729</v>
      </c>
      <c r="H19" s="11">
        <f t="shared" si="5"/>
        <v>3344</v>
      </c>
      <c r="I19" s="51" t="s">
        <v>109</v>
      </c>
      <c r="J19" s="52" t="s">
        <v>110</v>
      </c>
      <c r="K19" s="51">
        <v>3344</v>
      </c>
      <c r="L19" s="51" t="s">
        <v>111</v>
      </c>
      <c r="M19" s="52" t="s">
        <v>79</v>
      </c>
      <c r="N19" s="52" t="s">
        <v>31</v>
      </c>
      <c r="O19" s="53" t="s">
        <v>102</v>
      </c>
      <c r="P19" s="54" t="s">
        <v>112</v>
      </c>
    </row>
    <row r="20" spans="1:16" ht="12.75" customHeight="1" thickBot="1">
      <c r="A20" s="11" t="str">
        <f t="shared" si="0"/>
        <v>IBVS 5814 </v>
      </c>
      <c r="B20" s="3" t="str">
        <f t="shared" si="1"/>
        <v>I</v>
      </c>
      <c r="C20" s="11">
        <f t="shared" si="2"/>
        <v>54454.844499999999</v>
      </c>
      <c r="D20" s="14" t="str">
        <f t="shared" si="3"/>
        <v>vis</v>
      </c>
      <c r="E20" s="50">
        <f>VLOOKUP(C20,Active!C$21:E$973,3,FALSE)</f>
        <v>16626.890739877203</v>
      </c>
      <c r="F20" s="3" t="s">
        <v>74</v>
      </c>
      <c r="G20" s="14" t="str">
        <f t="shared" si="4"/>
        <v>54454.8445</v>
      </c>
      <c r="H20" s="11">
        <f t="shared" si="5"/>
        <v>5458</v>
      </c>
      <c r="I20" s="51" t="s">
        <v>120</v>
      </c>
      <c r="J20" s="52" t="s">
        <v>121</v>
      </c>
      <c r="K20" s="51">
        <v>5458</v>
      </c>
      <c r="L20" s="51" t="s">
        <v>122</v>
      </c>
      <c r="M20" s="52" t="s">
        <v>116</v>
      </c>
      <c r="N20" s="52" t="s">
        <v>74</v>
      </c>
      <c r="O20" s="53" t="s">
        <v>123</v>
      </c>
      <c r="P20" s="54" t="s">
        <v>124</v>
      </c>
    </row>
    <row r="21" spans="1:16" ht="12.75" customHeight="1" thickBot="1">
      <c r="A21" s="11" t="str">
        <f t="shared" si="0"/>
        <v>BAVM 201 </v>
      </c>
      <c r="B21" s="3" t="str">
        <f t="shared" si="1"/>
        <v>I</v>
      </c>
      <c r="C21" s="11">
        <f t="shared" si="2"/>
        <v>54506.413800000002</v>
      </c>
      <c r="D21" s="14" t="str">
        <f t="shared" si="3"/>
        <v>vis</v>
      </c>
      <c r="E21" s="50">
        <f>VLOOKUP(C21,Active!C$21:E$973,3,FALSE)</f>
        <v>16770.887981079355</v>
      </c>
      <c r="F21" s="3" t="s">
        <v>74</v>
      </c>
      <c r="G21" s="14" t="str">
        <f t="shared" si="4"/>
        <v>54506.4138</v>
      </c>
      <c r="H21" s="11">
        <f t="shared" si="5"/>
        <v>5602</v>
      </c>
      <c r="I21" s="51" t="s">
        <v>125</v>
      </c>
      <c r="J21" s="52" t="s">
        <v>126</v>
      </c>
      <c r="K21" s="51">
        <v>5602</v>
      </c>
      <c r="L21" s="51" t="s">
        <v>127</v>
      </c>
      <c r="M21" s="52" t="s">
        <v>116</v>
      </c>
      <c r="N21" s="52" t="s">
        <v>74</v>
      </c>
      <c r="O21" s="53" t="s">
        <v>128</v>
      </c>
      <c r="P21" s="54" t="s">
        <v>129</v>
      </c>
    </row>
    <row r="22" spans="1:16" ht="12.75" customHeight="1" thickBot="1">
      <c r="A22" s="11" t="str">
        <f t="shared" si="0"/>
        <v> JAAVSO 38;85 </v>
      </c>
      <c r="B22" s="3" t="str">
        <f t="shared" si="1"/>
        <v>I</v>
      </c>
      <c r="C22" s="11">
        <f t="shared" si="2"/>
        <v>54544.374300000003</v>
      </c>
      <c r="D22" s="14" t="str">
        <f t="shared" si="3"/>
        <v>vis</v>
      </c>
      <c r="E22" s="50">
        <f>VLOOKUP(C22,Active!C$21:E$973,3,FALSE)</f>
        <v>16876.885294881442</v>
      </c>
      <c r="F22" s="3" t="s">
        <v>74</v>
      </c>
      <c r="G22" s="14" t="str">
        <f t="shared" si="4"/>
        <v>54544.3743</v>
      </c>
      <c r="H22" s="11">
        <f t="shared" si="5"/>
        <v>5708</v>
      </c>
      <c r="I22" s="51" t="s">
        <v>130</v>
      </c>
      <c r="J22" s="52" t="s">
        <v>131</v>
      </c>
      <c r="K22" s="51">
        <v>5708</v>
      </c>
      <c r="L22" s="51" t="s">
        <v>106</v>
      </c>
      <c r="M22" s="52" t="s">
        <v>116</v>
      </c>
      <c r="N22" s="52" t="s">
        <v>132</v>
      </c>
      <c r="O22" s="53" t="s">
        <v>133</v>
      </c>
      <c r="P22" s="53" t="s">
        <v>134</v>
      </c>
    </row>
    <row r="23" spans="1:16" ht="12.75" customHeight="1" thickBot="1">
      <c r="A23" s="11" t="str">
        <f t="shared" si="0"/>
        <v>IBVS 5917 </v>
      </c>
      <c r="B23" s="3" t="str">
        <f t="shared" si="1"/>
        <v>I</v>
      </c>
      <c r="C23" s="11">
        <f t="shared" si="2"/>
        <v>54544.374600000003</v>
      </c>
      <c r="D23" s="14" t="str">
        <f t="shared" si="3"/>
        <v>vis</v>
      </c>
      <c r="E23" s="50">
        <f>VLOOKUP(C23,Active!C$21:E$973,3,FALSE)</f>
        <v>16876.886132573101</v>
      </c>
      <c r="F23" s="3" t="s">
        <v>74</v>
      </c>
      <c r="G23" s="14" t="str">
        <f t="shared" si="4"/>
        <v>54544.3746</v>
      </c>
      <c r="H23" s="11">
        <f t="shared" si="5"/>
        <v>5708</v>
      </c>
      <c r="I23" s="51" t="s">
        <v>135</v>
      </c>
      <c r="J23" s="52" t="s">
        <v>136</v>
      </c>
      <c r="K23" s="51">
        <v>5708</v>
      </c>
      <c r="L23" s="51" t="s">
        <v>137</v>
      </c>
      <c r="M23" s="52" t="s">
        <v>116</v>
      </c>
      <c r="N23" s="52" t="s">
        <v>132</v>
      </c>
      <c r="O23" s="53" t="s">
        <v>138</v>
      </c>
      <c r="P23" s="54" t="s">
        <v>139</v>
      </c>
    </row>
    <row r="24" spans="1:16" ht="12.75" customHeight="1" thickBot="1">
      <c r="A24" s="11" t="str">
        <f t="shared" si="0"/>
        <v>IBVS 5938 </v>
      </c>
      <c r="B24" s="3" t="str">
        <f t="shared" si="1"/>
        <v>I</v>
      </c>
      <c r="C24" s="11">
        <f t="shared" si="2"/>
        <v>54870.62</v>
      </c>
      <c r="D24" s="14" t="str">
        <f t="shared" si="3"/>
        <v>vis</v>
      </c>
      <c r="E24" s="50">
        <f>VLOOKUP(C24,Active!C$21:E$973,3,FALSE)</f>
        <v>17787.862964814176</v>
      </c>
      <c r="F24" s="3" t="s">
        <v>74</v>
      </c>
      <c r="G24" s="14" t="str">
        <f t="shared" si="4"/>
        <v>54870.620</v>
      </c>
      <c r="H24" s="11">
        <f t="shared" si="5"/>
        <v>6619</v>
      </c>
      <c r="I24" s="51" t="s">
        <v>140</v>
      </c>
      <c r="J24" s="52" t="s">
        <v>141</v>
      </c>
      <c r="K24" s="51">
        <v>6619</v>
      </c>
      <c r="L24" s="51" t="s">
        <v>75</v>
      </c>
      <c r="M24" s="52" t="s">
        <v>116</v>
      </c>
      <c r="N24" s="52" t="s">
        <v>74</v>
      </c>
      <c r="O24" s="53" t="s">
        <v>123</v>
      </c>
      <c r="P24" s="54" t="s">
        <v>142</v>
      </c>
    </row>
    <row r="25" spans="1:16" ht="12.75" customHeight="1" thickBot="1">
      <c r="A25" s="11" t="str">
        <f t="shared" si="0"/>
        <v>OEJV 0160 </v>
      </c>
      <c r="B25" s="3" t="str">
        <f t="shared" si="1"/>
        <v>I</v>
      </c>
      <c r="C25" s="11">
        <f t="shared" si="2"/>
        <v>55628.409540000001</v>
      </c>
      <c r="D25" s="14" t="str">
        <f t="shared" si="3"/>
        <v>vis</v>
      </c>
      <c r="E25" s="50">
        <f>VLOOKUP(C25,Active!C$21:E$973,3,FALSE)</f>
        <v>19903.84288255285</v>
      </c>
      <c r="F25" s="3" t="s">
        <v>74</v>
      </c>
      <c r="G25" s="14" t="str">
        <f t="shared" si="4"/>
        <v>55628.40954</v>
      </c>
      <c r="H25" s="11">
        <f t="shared" si="5"/>
        <v>8735</v>
      </c>
      <c r="I25" s="51" t="s">
        <v>143</v>
      </c>
      <c r="J25" s="52" t="s">
        <v>144</v>
      </c>
      <c r="K25" s="51">
        <v>8735</v>
      </c>
      <c r="L25" s="51" t="s">
        <v>145</v>
      </c>
      <c r="M25" s="52" t="s">
        <v>116</v>
      </c>
      <c r="N25" s="52" t="s">
        <v>37</v>
      </c>
      <c r="O25" s="53" t="s">
        <v>146</v>
      </c>
      <c r="P25" s="54" t="s">
        <v>147</v>
      </c>
    </row>
    <row r="26" spans="1:16" ht="12.75" customHeight="1" thickBot="1">
      <c r="A26" s="11" t="str">
        <f t="shared" si="0"/>
        <v>OEJV 0160 </v>
      </c>
      <c r="B26" s="3" t="str">
        <f t="shared" si="1"/>
        <v>I</v>
      </c>
      <c r="C26" s="11">
        <f t="shared" si="2"/>
        <v>55628.409679999997</v>
      </c>
      <c r="D26" s="14" t="str">
        <f t="shared" si="3"/>
        <v>vis</v>
      </c>
      <c r="E26" s="50">
        <f>VLOOKUP(C26,Active!C$21:E$973,3,FALSE)</f>
        <v>19903.843273475613</v>
      </c>
      <c r="F26" s="3" t="s">
        <v>74</v>
      </c>
      <c r="G26" s="14" t="str">
        <f t="shared" si="4"/>
        <v>55628.40968</v>
      </c>
      <c r="H26" s="11">
        <f t="shared" si="5"/>
        <v>8735</v>
      </c>
      <c r="I26" s="51" t="s">
        <v>148</v>
      </c>
      <c r="J26" s="52" t="s">
        <v>144</v>
      </c>
      <c r="K26" s="51">
        <v>8735</v>
      </c>
      <c r="L26" s="51" t="s">
        <v>149</v>
      </c>
      <c r="M26" s="52" t="s">
        <v>116</v>
      </c>
      <c r="N26" s="52" t="s">
        <v>150</v>
      </c>
      <c r="O26" s="53" t="s">
        <v>146</v>
      </c>
      <c r="P26" s="54" t="s">
        <v>147</v>
      </c>
    </row>
    <row r="27" spans="1:16" ht="12.75" customHeight="1" thickBot="1">
      <c r="A27" s="11" t="str">
        <f t="shared" si="0"/>
        <v>OEJV 0160 </v>
      </c>
      <c r="B27" s="3" t="str">
        <f t="shared" si="1"/>
        <v>I</v>
      </c>
      <c r="C27" s="11">
        <f t="shared" si="2"/>
        <v>55628.409890000003</v>
      </c>
      <c r="D27" s="14" t="str">
        <f t="shared" si="3"/>
        <v>vis</v>
      </c>
      <c r="E27" s="50">
        <f>VLOOKUP(C27,Active!C$21:E$973,3,FALSE)</f>
        <v>19903.84385985979</v>
      </c>
      <c r="F27" s="3" t="s">
        <v>74</v>
      </c>
      <c r="G27" s="14" t="str">
        <f t="shared" si="4"/>
        <v>55628.40989</v>
      </c>
      <c r="H27" s="11">
        <f t="shared" si="5"/>
        <v>8735</v>
      </c>
      <c r="I27" s="51" t="s">
        <v>151</v>
      </c>
      <c r="J27" s="52" t="s">
        <v>152</v>
      </c>
      <c r="K27" s="51">
        <v>8735</v>
      </c>
      <c r="L27" s="51" t="s">
        <v>153</v>
      </c>
      <c r="M27" s="52" t="s">
        <v>116</v>
      </c>
      <c r="N27" s="52" t="s">
        <v>27</v>
      </c>
      <c r="O27" s="53" t="s">
        <v>146</v>
      </c>
      <c r="P27" s="54" t="s">
        <v>147</v>
      </c>
    </row>
    <row r="28" spans="1:16" ht="12.75" customHeight="1" thickBot="1">
      <c r="A28" s="11" t="str">
        <f t="shared" si="0"/>
        <v>OEJV 0160 </v>
      </c>
      <c r="B28" s="3" t="str">
        <f t="shared" si="1"/>
        <v>I</v>
      </c>
      <c r="C28" s="11">
        <f t="shared" si="2"/>
        <v>55628.409939999998</v>
      </c>
      <c r="D28" s="14" t="str">
        <f t="shared" si="3"/>
        <v>vis</v>
      </c>
      <c r="E28" s="50">
        <f>VLOOKUP(C28,Active!C$21:E$973,3,FALSE)</f>
        <v>19903.843999475052</v>
      </c>
      <c r="F28" s="3" t="s">
        <v>74</v>
      </c>
      <c r="G28" s="14" t="str">
        <f t="shared" si="4"/>
        <v>55628.40994</v>
      </c>
      <c r="H28" s="11">
        <f t="shared" si="5"/>
        <v>8735</v>
      </c>
      <c r="I28" s="51" t="s">
        <v>154</v>
      </c>
      <c r="J28" s="52" t="s">
        <v>152</v>
      </c>
      <c r="K28" s="51">
        <v>8735</v>
      </c>
      <c r="L28" s="51" t="s">
        <v>155</v>
      </c>
      <c r="M28" s="52" t="s">
        <v>116</v>
      </c>
      <c r="N28" s="52" t="s">
        <v>74</v>
      </c>
      <c r="O28" s="53" t="s">
        <v>146</v>
      </c>
      <c r="P28" s="54" t="s">
        <v>147</v>
      </c>
    </row>
    <row r="29" spans="1:16" ht="12.75" customHeight="1" thickBot="1">
      <c r="A29" s="11" t="str">
        <f t="shared" si="0"/>
        <v>OEJV 0160 </v>
      </c>
      <c r="B29" s="3" t="str">
        <f t="shared" si="1"/>
        <v>II</v>
      </c>
      <c r="C29" s="11">
        <f t="shared" si="2"/>
        <v>55835.582580000002</v>
      </c>
      <c r="D29" s="14" t="str">
        <f t="shared" si="3"/>
        <v>vis</v>
      </c>
      <c r="E29" s="50">
        <f>VLOOKUP(C29,Active!C$21:E$973,3,FALSE)</f>
        <v>20482.333306341061</v>
      </c>
      <c r="F29" s="3" t="s">
        <v>74</v>
      </c>
      <c r="G29" s="14" t="str">
        <f t="shared" si="4"/>
        <v>55835.58258</v>
      </c>
      <c r="H29" s="11">
        <f t="shared" si="5"/>
        <v>9313.5</v>
      </c>
      <c r="I29" s="51" t="s">
        <v>156</v>
      </c>
      <c r="J29" s="52" t="s">
        <v>157</v>
      </c>
      <c r="K29" s="51">
        <v>9313.5</v>
      </c>
      <c r="L29" s="51" t="s">
        <v>158</v>
      </c>
      <c r="M29" s="52" t="s">
        <v>116</v>
      </c>
      <c r="N29" s="52" t="s">
        <v>27</v>
      </c>
      <c r="O29" s="53" t="s">
        <v>146</v>
      </c>
      <c r="P29" s="54" t="s">
        <v>147</v>
      </c>
    </row>
    <row r="30" spans="1:16" ht="12.75" customHeight="1" thickBot="1">
      <c r="A30" s="11" t="str">
        <f t="shared" si="0"/>
        <v>OEJV 0160 </v>
      </c>
      <c r="B30" s="3" t="str">
        <f t="shared" si="1"/>
        <v>II</v>
      </c>
      <c r="C30" s="11">
        <f t="shared" si="2"/>
        <v>55835.583030000002</v>
      </c>
      <c r="D30" s="14" t="str">
        <f t="shared" si="3"/>
        <v>vis</v>
      </c>
      <c r="E30" s="50">
        <f>VLOOKUP(C30,Active!C$21:E$973,3,FALSE)</f>
        <v>20482.334562878546</v>
      </c>
      <c r="F30" s="3" t="s">
        <v>74</v>
      </c>
      <c r="G30" s="14" t="str">
        <f t="shared" si="4"/>
        <v>55835.58303</v>
      </c>
      <c r="H30" s="11">
        <f t="shared" si="5"/>
        <v>9313.5</v>
      </c>
      <c r="I30" s="51" t="s">
        <v>159</v>
      </c>
      <c r="J30" s="52" t="s">
        <v>160</v>
      </c>
      <c r="K30" s="51">
        <v>9313.5</v>
      </c>
      <c r="L30" s="51" t="s">
        <v>161</v>
      </c>
      <c r="M30" s="52" t="s">
        <v>116</v>
      </c>
      <c r="N30" s="52" t="s">
        <v>150</v>
      </c>
      <c r="O30" s="53" t="s">
        <v>146</v>
      </c>
      <c r="P30" s="54" t="s">
        <v>147</v>
      </c>
    </row>
    <row r="31" spans="1:16" ht="12.75" customHeight="1" thickBot="1">
      <c r="A31" s="11" t="str">
        <f t="shared" si="0"/>
        <v>OEJV 0160 </v>
      </c>
      <c r="B31" s="3" t="str">
        <f t="shared" si="1"/>
        <v>II</v>
      </c>
      <c r="C31" s="11">
        <f t="shared" si="2"/>
        <v>55835.583200000001</v>
      </c>
      <c r="D31" s="14" t="str">
        <f t="shared" si="3"/>
        <v>vis</v>
      </c>
      <c r="E31" s="50">
        <f>VLOOKUP(C31,Active!C$21:E$973,3,FALSE)</f>
        <v>20482.335037570483</v>
      </c>
      <c r="F31" s="3" t="s">
        <v>74</v>
      </c>
      <c r="G31" s="14" t="str">
        <f t="shared" si="4"/>
        <v>55835.5832</v>
      </c>
      <c r="H31" s="11">
        <f t="shared" si="5"/>
        <v>9313.5</v>
      </c>
      <c r="I31" s="51" t="s">
        <v>162</v>
      </c>
      <c r="J31" s="52" t="s">
        <v>160</v>
      </c>
      <c r="K31" s="51">
        <v>9313.5</v>
      </c>
      <c r="L31" s="51" t="s">
        <v>163</v>
      </c>
      <c r="M31" s="52" t="s">
        <v>116</v>
      </c>
      <c r="N31" s="52" t="s">
        <v>37</v>
      </c>
      <c r="O31" s="53" t="s">
        <v>146</v>
      </c>
      <c r="P31" s="54" t="s">
        <v>147</v>
      </c>
    </row>
    <row r="32" spans="1:16" ht="12.75" customHeight="1" thickBot="1">
      <c r="A32" s="11" t="str">
        <f t="shared" si="0"/>
        <v>OEJV 0160 </v>
      </c>
      <c r="B32" s="3" t="str">
        <f t="shared" si="1"/>
        <v>II</v>
      </c>
      <c r="C32" s="11">
        <f t="shared" si="2"/>
        <v>55835.583310000002</v>
      </c>
      <c r="D32" s="14" t="str">
        <f t="shared" si="3"/>
        <v>vis</v>
      </c>
      <c r="E32" s="50">
        <f>VLOOKUP(C32,Active!C$21:E$973,3,FALSE)</f>
        <v>20482.335344724095</v>
      </c>
      <c r="F32" s="3" t="s">
        <v>74</v>
      </c>
      <c r="G32" s="14" t="str">
        <f t="shared" si="4"/>
        <v>55835.58331</v>
      </c>
      <c r="H32" s="11">
        <f t="shared" si="5"/>
        <v>9313.5</v>
      </c>
      <c r="I32" s="51" t="s">
        <v>164</v>
      </c>
      <c r="J32" s="52" t="s">
        <v>160</v>
      </c>
      <c r="K32" s="51">
        <v>9313.5</v>
      </c>
      <c r="L32" s="51" t="s">
        <v>165</v>
      </c>
      <c r="M32" s="52" t="s">
        <v>116</v>
      </c>
      <c r="N32" s="52" t="s">
        <v>74</v>
      </c>
      <c r="O32" s="53" t="s">
        <v>146</v>
      </c>
      <c r="P32" s="54" t="s">
        <v>147</v>
      </c>
    </row>
    <row r="33" spans="1:16" ht="12.75" customHeight="1" thickBot="1">
      <c r="A33" s="11" t="str">
        <f t="shared" si="0"/>
        <v>IBVS 6018 </v>
      </c>
      <c r="B33" s="3" t="str">
        <f t="shared" si="1"/>
        <v>I</v>
      </c>
      <c r="C33" s="11">
        <f t="shared" si="2"/>
        <v>55907.741800000003</v>
      </c>
      <c r="D33" s="14" t="str">
        <f t="shared" si="3"/>
        <v>vis</v>
      </c>
      <c r="E33" s="50">
        <f>VLOOKUP(C33,Active!C$21:E$973,3,FALSE)</f>
        <v>20683.823894875302</v>
      </c>
      <c r="F33" s="3" t="s">
        <v>74</v>
      </c>
      <c r="G33" s="14" t="str">
        <f t="shared" si="4"/>
        <v>55907.7418</v>
      </c>
      <c r="H33" s="11">
        <f t="shared" si="5"/>
        <v>9515</v>
      </c>
      <c r="I33" s="51" t="s">
        <v>166</v>
      </c>
      <c r="J33" s="52" t="s">
        <v>167</v>
      </c>
      <c r="K33" s="51">
        <v>9515</v>
      </c>
      <c r="L33" s="51" t="s">
        <v>168</v>
      </c>
      <c r="M33" s="52" t="s">
        <v>116</v>
      </c>
      <c r="N33" s="52" t="s">
        <v>66</v>
      </c>
      <c r="O33" s="53" t="s">
        <v>102</v>
      </c>
      <c r="P33" s="54" t="s">
        <v>169</v>
      </c>
    </row>
    <row r="34" spans="1:16" ht="12.75" customHeight="1" thickBot="1">
      <c r="A34" s="11" t="str">
        <f t="shared" si="0"/>
        <v>OEJV 0160 </v>
      </c>
      <c r="B34" s="3" t="str">
        <f t="shared" si="1"/>
        <v>I</v>
      </c>
      <c r="C34" s="11">
        <f t="shared" si="2"/>
        <v>55969.341200000003</v>
      </c>
      <c r="D34" s="14" t="str">
        <f t="shared" si="3"/>
        <v>vis</v>
      </c>
      <c r="E34" s="50">
        <f>VLOOKUP(C34,Active!C$21:E$973,3,FALSE)</f>
        <v>20855.828239702692</v>
      </c>
      <c r="F34" s="3" t="s">
        <v>74</v>
      </c>
      <c r="G34" s="14" t="str">
        <f t="shared" si="4"/>
        <v>55969.3412</v>
      </c>
      <c r="H34" s="11">
        <f t="shared" si="5"/>
        <v>9687</v>
      </c>
      <c r="I34" s="51" t="s">
        <v>170</v>
      </c>
      <c r="J34" s="52" t="s">
        <v>171</v>
      </c>
      <c r="K34" s="51">
        <v>9687</v>
      </c>
      <c r="L34" s="51" t="s">
        <v>95</v>
      </c>
      <c r="M34" s="52" t="s">
        <v>116</v>
      </c>
      <c r="N34" s="52" t="s">
        <v>74</v>
      </c>
      <c r="O34" s="53" t="s">
        <v>146</v>
      </c>
      <c r="P34" s="54" t="s">
        <v>147</v>
      </c>
    </row>
    <row r="35" spans="1:16" ht="12.75" customHeight="1" thickBot="1">
      <c r="A35" s="11" t="str">
        <f t="shared" si="0"/>
        <v>OEJV 0160 </v>
      </c>
      <c r="B35" s="3" t="str">
        <f t="shared" si="1"/>
        <v>I</v>
      </c>
      <c r="C35" s="11">
        <f t="shared" si="2"/>
        <v>55969.341350000002</v>
      </c>
      <c r="D35" s="14" t="str">
        <f t="shared" si="3"/>
        <v>vis</v>
      </c>
      <c r="E35" s="50">
        <f>VLOOKUP(C35,Active!C$21:E$973,3,FALSE)</f>
        <v>20855.828658548522</v>
      </c>
      <c r="F35" s="3" t="s">
        <v>74</v>
      </c>
      <c r="G35" s="14" t="str">
        <f t="shared" si="4"/>
        <v>55969.34135</v>
      </c>
      <c r="H35" s="11">
        <f t="shared" si="5"/>
        <v>9687</v>
      </c>
      <c r="I35" s="51" t="s">
        <v>172</v>
      </c>
      <c r="J35" s="52" t="s">
        <v>171</v>
      </c>
      <c r="K35" s="51">
        <v>9687</v>
      </c>
      <c r="L35" s="51" t="s">
        <v>173</v>
      </c>
      <c r="M35" s="52" t="s">
        <v>116</v>
      </c>
      <c r="N35" s="52" t="s">
        <v>37</v>
      </c>
      <c r="O35" s="53" t="s">
        <v>146</v>
      </c>
      <c r="P35" s="54" t="s">
        <v>147</v>
      </c>
    </row>
    <row r="36" spans="1:16" ht="12.75" customHeight="1" thickBot="1">
      <c r="A36" s="11" t="str">
        <f t="shared" si="0"/>
        <v>OEJV 0160 </v>
      </c>
      <c r="B36" s="3" t="str">
        <f t="shared" si="1"/>
        <v>I</v>
      </c>
      <c r="C36" s="11">
        <f t="shared" si="2"/>
        <v>55969.341419999997</v>
      </c>
      <c r="D36" s="14" t="str">
        <f t="shared" si="3"/>
        <v>vis</v>
      </c>
      <c r="E36" s="50">
        <f>VLOOKUP(C36,Active!C$21:E$973,3,FALSE)</f>
        <v>20855.828854009891</v>
      </c>
      <c r="F36" s="3" t="s">
        <v>74</v>
      </c>
      <c r="G36" s="14" t="str">
        <f t="shared" si="4"/>
        <v>55969.34142</v>
      </c>
      <c r="H36" s="11">
        <f t="shared" si="5"/>
        <v>9687</v>
      </c>
      <c r="I36" s="51" t="s">
        <v>174</v>
      </c>
      <c r="J36" s="52" t="s">
        <v>171</v>
      </c>
      <c r="K36" s="51">
        <v>9687</v>
      </c>
      <c r="L36" s="51" t="s">
        <v>175</v>
      </c>
      <c r="M36" s="52" t="s">
        <v>116</v>
      </c>
      <c r="N36" s="52" t="s">
        <v>150</v>
      </c>
      <c r="O36" s="53" t="s">
        <v>146</v>
      </c>
      <c r="P36" s="54" t="s">
        <v>147</v>
      </c>
    </row>
    <row r="37" spans="1:16" ht="12.75" customHeight="1" thickBot="1">
      <c r="A37" s="11" t="str">
        <f t="shared" si="0"/>
        <v>OEJV 0160 </v>
      </c>
      <c r="B37" s="3" t="str">
        <f t="shared" si="1"/>
        <v>I</v>
      </c>
      <c r="C37" s="11">
        <f t="shared" si="2"/>
        <v>55969.341500000002</v>
      </c>
      <c r="D37" s="14" t="str">
        <f t="shared" si="3"/>
        <v>vis</v>
      </c>
      <c r="E37" s="50">
        <f>VLOOKUP(C37,Active!C$21:E$973,3,FALSE)</f>
        <v>20855.829077394348</v>
      </c>
      <c r="F37" s="3" t="s">
        <v>74</v>
      </c>
      <c r="G37" s="14" t="str">
        <f t="shared" si="4"/>
        <v>55969.3415</v>
      </c>
      <c r="H37" s="11">
        <f t="shared" si="5"/>
        <v>9687</v>
      </c>
      <c r="I37" s="51" t="s">
        <v>176</v>
      </c>
      <c r="J37" s="52" t="s">
        <v>171</v>
      </c>
      <c r="K37" s="51">
        <v>9687</v>
      </c>
      <c r="L37" s="51" t="s">
        <v>177</v>
      </c>
      <c r="M37" s="52" t="s">
        <v>116</v>
      </c>
      <c r="N37" s="52" t="s">
        <v>27</v>
      </c>
      <c r="O37" s="53" t="s">
        <v>146</v>
      </c>
      <c r="P37" s="54" t="s">
        <v>147</v>
      </c>
    </row>
    <row r="38" spans="1:16" ht="12.75" customHeight="1" thickBot="1">
      <c r="A38" s="11" t="str">
        <f t="shared" si="0"/>
        <v>OEJV 0160 </v>
      </c>
      <c r="B38" s="3" t="str">
        <f t="shared" si="1"/>
        <v>II</v>
      </c>
      <c r="C38" s="11">
        <f t="shared" si="2"/>
        <v>55990.292049999996</v>
      </c>
      <c r="D38" s="14" t="str">
        <f t="shared" si="3"/>
        <v>vis</v>
      </c>
      <c r="E38" s="50">
        <f>VLOOKUP(C38,Active!C$21:E$973,3,FALSE)</f>
        <v>20914.329413867148</v>
      </c>
      <c r="F38" s="3" t="s">
        <v>74</v>
      </c>
      <c r="G38" s="14" t="str">
        <f t="shared" si="4"/>
        <v>55990.29205</v>
      </c>
      <c r="H38" s="11">
        <f t="shared" si="5"/>
        <v>9745.5</v>
      </c>
      <c r="I38" s="51" t="s">
        <v>178</v>
      </c>
      <c r="J38" s="52" t="s">
        <v>179</v>
      </c>
      <c r="K38" s="51">
        <v>9745.5</v>
      </c>
      <c r="L38" s="51" t="s">
        <v>180</v>
      </c>
      <c r="M38" s="52" t="s">
        <v>116</v>
      </c>
      <c r="N38" s="52" t="s">
        <v>37</v>
      </c>
      <c r="O38" s="53" t="s">
        <v>146</v>
      </c>
      <c r="P38" s="54" t="s">
        <v>147</v>
      </c>
    </row>
    <row r="39" spans="1:16" ht="12.75" customHeight="1" thickBot="1">
      <c r="A39" s="11" t="str">
        <f t="shared" si="0"/>
        <v>OEJV 0160 </v>
      </c>
      <c r="B39" s="3" t="str">
        <f t="shared" si="1"/>
        <v>II</v>
      </c>
      <c r="C39" s="11">
        <f t="shared" si="2"/>
        <v>55990.292159999997</v>
      </c>
      <c r="D39" s="14" t="str">
        <f t="shared" si="3"/>
        <v>vis</v>
      </c>
      <c r="E39" s="50">
        <f>VLOOKUP(C39,Active!C$21:E$973,3,FALSE)</f>
        <v>20914.329721020757</v>
      </c>
      <c r="F39" s="3" t="s">
        <v>74</v>
      </c>
      <c r="G39" s="14" t="str">
        <f t="shared" si="4"/>
        <v>55990.29216</v>
      </c>
      <c r="H39" s="11">
        <f t="shared" si="5"/>
        <v>9745.5</v>
      </c>
      <c r="I39" s="51" t="s">
        <v>181</v>
      </c>
      <c r="J39" s="52" t="s">
        <v>179</v>
      </c>
      <c r="K39" s="51">
        <v>9745.5</v>
      </c>
      <c r="L39" s="51" t="s">
        <v>182</v>
      </c>
      <c r="M39" s="52" t="s">
        <v>116</v>
      </c>
      <c r="N39" s="52" t="s">
        <v>150</v>
      </c>
      <c r="O39" s="53" t="s">
        <v>146</v>
      </c>
      <c r="P39" s="54" t="s">
        <v>147</v>
      </c>
    </row>
    <row r="40" spans="1:16" ht="12.75" customHeight="1" thickBot="1">
      <c r="A40" s="11" t="str">
        <f t="shared" si="0"/>
        <v>OEJV 0160 </v>
      </c>
      <c r="B40" s="3" t="str">
        <f t="shared" si="1"/>
        <v>II</v>
      </c>
      <c r="C40" s="11">
        <f t="shared" si="2"/>
        <v>55990.29232</v>
      </c>
      <c r="D40" s="14" t="str">
        <f t="shared" si="3"/>
        <v>vis</v>
      </c>
      <c r="E40" s="50">
        <f>VLOOKUP(C40,Active!C$21:E$973,3,FALSE)</f>
        <v>20914.330167789649</v>
      </c>
      <c r="F40" s="3" t="s">
        <v>74</v>
      </c>
      <c r="G40" s="14" t="str">
        <f t="shared" si="4"/>
        <v>55990.29232</v>
      </c>
      <c r="H40" s="11">
        <f t="shared" si="5"/>
        <v>9745.5</v>
      </c>
      <c r="I40" s="51" t="s">
        <v>183</v>
      </c>
      <c r="J40" s="52" t="s">
        <v>179</v>
      </c>
      <c r="K40" s="51">
        <v>9745.5</v>
      </c>
      <c r="L40" s="51" t="s">
        <v>184</v>
      </c>
      <c r="M40" s="52" t="s">
        <v>116</v>
      </c>
      <c r="N40" s="52" t="s">
        <v>27</v>
      </c>
      <c r="O40" s="53" t="s">
        <v>146</v>
      </c>
      <c r="P40" s="54" t="s">
        <v>147</v>
      </c>
    </row>
    <row r="41" spans="1:16" ht="12.75" customHeight="1" thickBot="1">
      <c r="A41" s="11" t="str">
        <f t="shared" si="0"/>
        <v>OEJV 0160 </v>
      </c>
      <c r="B41" s="3" t="str">
        <f t="shared" si="1"/>
        <v>II</v>
      </c>
      <c r="C41" s="11">
        <f t="shared" si="2"/>
        <v>55990.292529999999</v>
      </c>
      <c r="D41" s="14" t="str">
        <f t="shared" si="3"/>
        <v>vis</v>
      </c>
      <c r="E41" s="50">
        <f>VLOOKUP(C41,Active!C$21:E$973,3,FALSE)</f>
        <v>20914.330754173807</v>
      </c>
      <c r="F41" s="3" t="s">
        <v>74</v>
      </c>
      <c r="G41" s="14" t="str">
        <f t="shared" si="4"/>
        <v>55990.29253</v>
      </c>
      <c r="H41" s="11">
        <f t="shared" si="5"/>
        <v>9745.5</v>
      </c>
      <c r="I41" s="51" t="s">
        <v>185</v>
      </c>
      <c r="J41" s="52" t="s">
        <v>186</v>
      </c>
      <c r="K41" s="51">
        <v>9745.5</v>
      </c>
      <c r="L41" s="51" t="s">
        <v>187</v>
      </c>
      <c r="M41" s="52" t="s">
        <v>116</v>
      </c>
      <c r="N41" s="52" t="s">
        <v>74</v>
      </c>
      <c r="O41" s="53" t="s">
        <v>146</v>
      </c>
      <c r="P41" s="54" t="s">
        <v>147</v>
      </c>
    </row>
    <row r="42" spans="1:16" ht="12.75" customHeight="1" thickBot="1">
      <c r="A42" s="11" t="str">
        <f t="shared" si="0"/>
        <v>OEJV 0160 </v>
      </c>
      <c r="B42" s="3" t="str">
        <f t="shared" si="1"/>
        <v>II</v>
      </c>
      <c r="C42" s="11">
        <f t="shared" si="2"/>
        <v>56376.349549999999</v>
      </c>
      <c r="D42" s="14" t="str">
        <f t="shared" si="3"/>
        <v>vis</v>
      </c>
      <c r="E42" s="50">
        <f>VLOOKUP(C42,Active!C$21:E$973,3,FALSE)</f>
        <v>21992.319903274543</v>
      </c>
      <c r="F42" s="3" t="s">
        <v>74</v>
      </c>
      <c r="G42" s="14" t="str">
        <f t="shared" si="4"/>
        <v>56376.34955</v>
      </c>
      <c r="H42" s="11">
        <f t="shared" si="5"/>
        <v>10823.5</v>
      </c>
      <c r="I42" s="51" t="s">
        <v>188</v>
      </c>
      <c r="J42" s="52" t="s">
        <v>189</v>
      </c>
      <c r="K42" s="51">
        <v>10823.5</v>
      </c>
      <c r="L42" s="51" t="s">
        <v>190</v>
      </c>
      <c r="M42" s="52" t="s">
        <v>116</v>
      </c>
      <c r="N42" s="52" t="s">
        <v>37</v>
      </c>
      <c r="O42" s="53" t="s">
        <v>146</v>
      </c>
      <c r="P42" s="54" t="s">
        <v>147</v>
      </c>
    </row>
    <row r="43" spans="1:16" ht="12.75" customHeight="1" thickBot="1">
      <c r="A43" s="11" t="str">
        <f t="shared" si="0"/>
        <v>OEJV 0160 </v>
      </c>
      <c r="B43" s="3" t="str">
        <f t="shared" si="1"/>
        <v>II</v>
      </c>
      <c r="C43" s="11">
        <f t="shared" si="2"/>
        <v>56376.35007</v>
      </c>
      <c r="D43" s="14" t="str">
        <f t="shared" si="3"/>
        <v>vis</v>
      </c>
      <c r="E43" s="50">
        <f>VLOOKUP(C43,Active!C$21:E$973,3,FALSE)</f>
        <v>21992.32135527342</v>
      </c>
      <c r="F43" s="3" t="s">
        <v>74</v>
      </c>
      <c r="G43" s="14" t="str">
        <f t="shared" si="4"/>
        <v>56376.35007</v>
      </c>
      <c r="H43" s="11">
        <f t="shared" si="5"/>
        <v>10823.5</v>
      </c>
      <c r="I43" s="51" t="s">
        <v>191</v>
      </c>
      <c r="J43" s="52" t="s">
        <v>192</v>
      </c>
      <c r="K43" s="51">
        <v>10823.5</v>
      </c>
      <c r="L43" s="51" t="s">
        <v>193</v>
      </c>
      <c r="M43" s="52" t="s">
        <v>116</v>
      </c>
      <c r="N43" s="52" t="s">
        <v>74</v>
      </c>
      <c r="O43" s="53" t="s">
        <v>146</v>
      </c>
      <c r="P43" s="54" t="s">
        <v>147</v>
      </c>
    </row>
    <row r="44" spans="1:16" ht="12.75" customHeight="1" thickBot="1">
      <c r="A44" s="11" t="str">
        <f t="shared" si="0"/>
        <v>OEJV 0160 </v>
      </c>
      <c r="B44" s="3" t="str">
        <f t="shared" si="1"/>
        <v>II</v>
      </c>
      <c r="C44" s="11">
        <f t="shared" si="2"/>
        <v>56376.350489999997</v>
      </c>
      <c r="D44" s="14" t="str">
        <f t="shared" si="3"/>
        <v>vis</v>
      </c>
      <c r="E44" s="50">
        <f>VLOOKUP(C44,Active!C$21:E$973,3,FALSE)</f>
        <v>21992.322528041732</v>
      </c>
      <c r="F44" s="3" t="s">
        <v>74</v>
      </c>
      <c r="G44" s="14" t="str">
        <f t="shared" si="4"/>
        <v>56376.35049</v>
      </c>
      <c r="H44" s="11">
        <f t="shared" si="5"/>
        <v>10823.5</v>
      </c>
      <c r="I44" s="51" t="s">
        <v>194</v>
      </c>
      <c r="J44" s="52" t="s">
        <v>192</v>
      </c>
      <c r="K44" s="51">
        <v>10823.5</v>
      </c>
      <c r="L44" s="51" t="s">
        <v>195</v>
      </c>
      <c r="M44" s="52" t="s">
        <v>116</v>
      </c>
      <c r="N44" s="52" t="s">
        <v>27</v>
      </c>
      <c r="O44" s="53" t="s">
        <v>146</v>
      </c>
      <c r="P44" s="54" t="s">
        <v>147</v>
      </c>
    </row>
    <row r="45" spans="1:16" ht="12.75" customHeight="1" thickBot="1">
      <c r="A45" s="11" t="str">
        <f t="shared" si="0"/>
        <v>OEJV 0160 </v>
      </c>
      <c r="B45" s="3" t="str">
        <f t="shared" si="1"/>
        <v>II</v>
      </c>
      <c r="C45" s="11">
        <f t="shared" si="2"/>
        <v>56376.350890000002</v>
      </c>
      <c r="D45" s="14" t="str">
        <f t="shared" si="3"/>
        <v>vis</v>
      </c>
      <c r="E45" s="50">
        <f>VLOOKUP(C45,Active!C$21:E$973,3,FALSE)</f>
        <v>21992.323644963952</v>
      </c>
      <c r="F45" s="3" t="s">
        <v>74</v>
      </c>
      <c r="G45" s="14" t="str">
        <f t="shared" si="4"/>
        <v>56376.35089</v>
      </c>
      <c r="H45" s="11">
        <f t="shared" si="5"/>
        <v>10823.5</v>
      </c>
      <c r="I45" s="51" t="s">
        <v>196</v>
      </c>
      <c r="J45" s="52" t="s">
        <v>197</v>
      </c>
      <c r="K45" s="51">
        <v>10823.5</v>
      </c>
      <c r="L45" s="51" t="s">
        <v>198</v>
      </c>
      <c r="M45" s="52" t="s">
        <v>116</v>
      </c>
      <c r="N45" s="52" t="s">
        <v>150</v>
      </c>
      <c r="O45" s="53" t="s">
        <v>146</v>
      </c>
      <c r="P45" s="54" t="s">
        <v>147</v>
      </c>
    </row>
    <row r="46" spans="1:16" ht="12.75" customHeight="1" thickBot="1">
      <c r="A46" s="11" t="str">
        <f t="shared" si="0"/>
        <v>OEJV 0160 </v>
      </c>
      <c r="B46" s="3" t="str">
        <f t="shared" si="1"/>
        <v>I</v>
      </c>
      <c r="C46" s="11">
        <f t="shared" si="2"/>
        <v>56407.329879999998</v>
      </c>
      <c r="D46" s="14" t="str">
        <f t="shared" si="3"/>
        <v>vis</v>
      </c>
      <c r="E46" s="50">
        <f>VLOOKUP(C46,Active!C$21:E$973,3,FALSE)</f>
        <v>22078.82644983484</v>
      </c>
      <c r="F46" s="3" t="s">
        <v>74</v>
      </c>
      <c r="G46" s="14" t="str">
        <f t="shared" si="4"/>
        <v>56407.32988</v>
      </c>
      <c r="H46" s="11">
        <f t="shared" si="5"/>
        <v>10910</v>
      </c>
      <c r="I46" s="51" t="s">
        <v>199</v>
      </c>
      <c r="J46" s="52" t="s">
        <v>200</v>
      </c>
      <c r="K46" s="51">
        <v>10910</v>
      </c>
      <c r="L46" s="51" t="s">
        <v>201</v>
      </c>
      <c r="M46" s="52" t="s">
        <v>116</v>
      </c>
      <c r="N46" s="52" t="s">
        <v>27</v>
      </c>
      <c r="O46" s="53" t="s">
        <v>146</v>
      </c>
      <c r="P46" s="54" t="s">
        <v>147</v>
      </c>
    </row>
    <row r="47" spans="1:16" ht="12.75" customHeight="1" thickBot="1">
      <c r="A47" s="11" t="str">
        <f t="shared" si="0"/>
        <v>OEJV 0160 </v>
      </c>
      <c r="B47" s="3" t="str">
        <f t="shared" si="1"/>
        <v>I</v>
      </c>
      <c r="C47" s="11">
        <f t="shared" si="2"/>
        <v>56407.330150000002</v>
      </c>
      <c r="D47" s="14" t="str">
        <f t="shared" si="3"/>
        <v>vis</v>
      </c>
      <c r="E47" s="50">
        <f>VLOOKUP(C47,Active!C$21:E$973,3,FALSE)</f>
        <v>22078.827203757341</v>
      </c>
      <c r="F47" s="3" t="s">
        <v>74</v>
      </c>
      <c r="G47" s="14" t="str">
        <f t="shared" si="4"/>
        <v>56407.33015</v>
      </c>
      <c r="H47" s="11">
        <f t="shared" si="5"/>
        <v>10910</v>
      </c>
      <c r="I47" s="51" t="s">
        <v>202</v>
      </c>
      <c r="J47" s="52" t="s">
        <v>200</v>
      </c>
      <c r="K47" s="51">
        <v>10910</v>
      </c>
      <c r="L47" s="51" t="s">
        <v>203</v>
      </c>
      <c r="M47" s="52" t="s">
        <v>116</v>
      </c>
      <c r="N47" s="52" t="s">
        <v>74</v>
      </c>
      <c r="O47" s="53" t="s">
        <v>146</v>
      </c>
      <c r="P47" s="54" t="s">
        <v>147</v>
      </c>
    </row>
    <row r="48" spans="1:16" ht="12.75" customHeight="1" thickBot="1">
      <c r="A48" s="11" t="str">
        <f t="shared" si="0"/>
        <v>OEJV 0160 </v>
      </c>
      <c r="B48" s="3" t="str">
        <f t="shared" si="1"/>
        <v>I</v>
      </c>
      <c r="C48" s="11">
        <f t="shared" si="2"/>
        <v>56407.330379999999</v>
      </c>
      <c r="D48" s="14" t="str">
        <f t="shared" si="3"/>
        <v>vis</v>
      </c>
      <c r="E48" s="50">
        <f>VLOOKUP(C48,Active!C$21:E$973,3,FALSE)</f>
        <v>22078.827845987606</v>
      </c>
      <c r="F48" s="3" t="s">
        <v>74</v>
      </c>
      <c r="G48" s="14" t="str">
        <f t="shared" si="4"/>
        <v>56407.33038</v>
      </c>
      <c r="H48" s="11">
        <f t="shared" si="5"/>
        <v>10910</v>
      </c>
      <c r="I48" s="51" t="s">
        <v>204</v>
      </c>
      <c r="J48" s="52" t="s">
        <v>200</v>
      </c>
      <c r="K48" s="51">
        <v>10910</v>
      </c>
      <c r="L48" s="51" t="s">
        <v>205</v>
      </c>
      <c r="M48" s="52" t="s">
        <v>116</v>
      </c>
      <c r="N48" s="52" t="s">
        <v>37</v>
      </c>
      <c r="O48" s="53" t="s">
        <v>146</v>
      </c>
      <c r="P48" s="54" t="s">
        <v>147</v>
      </c>
    </row>
    <row r="49" spans="1:16" ht="12.75" customHeight="1" thickBot="1">
      <c r="A49" s="11" t="str">
        <f t="shared" si="0"/>
        <v>OEJV 0160 </v>
      </c>
      <c r="B49" s="3" t="str">
        <f t="shared" si="1"/>
        <v>I</v>
      </c>
      <c r="C49" s="11">
        <f t="shared" si="2"/>
        <v>56407.33092</v>
      </c>
      <c r="D49" s="14" t="str">
        <f t="shared" si="3"/>
        <v>vis</v>
      </c>
      <c r="E49" s="50">
        <f>VLOOKUP(C49,Active!C$21:E$973,3,FALSE)</f>
        <v>22078.829353832589</v>
      </c>
      <c r="F49" s="3" t="s">
        <v>74</v>
      </c>
      <c r="G49" s="14" t="str">
        <f t="shared" si="4"/>
        <v>56407.33092</v>
      </c>
      <c r="H49" s="11">
        <f t="shared" si="5"/>
        <v>10910</v>
      </c>
      <c r="I49" s="51" t="s">
        <v>206</v>
      </c>
      <c r="J49" s="52" t="s">
        <v>207</v>
      </c>
      <c r="K49" s="51">
        <v>10910</v>
      </c>
      <c r="L49" s="51" t="s">
        <v>208</v>
      </c>
      <c r="M49" s="52" t="s">
        <v>116</v>
      </c>
      <c r="N49" s="52" t="s">
        <v>150</v>
      </c>
      <c r="O49" s="53" t="s">
        <v>146</v>
      </c>
      <c r="P49" s="54" t="s">
        <v>147</v>
      </c>
    </row>
    <row r="50" spans="1:16" ht="12.75" customHeight="1" thickBot="1">
      <c r="A50" s="11" t="str">
        <f t="shared" si="0"/>
        <v>VSB 46 </v>
      </c>
      <c r="B50" s="3" t="str">
        <f t="shared" si="1"/>
        <v>I</v>
      </c>
      <c r="C50" s="11">
        <f t="shared" si="2"/>
        <v>54417.241999999998</v>
      </c>
      <c r="D50" s="14" t="str">
        <f t="shared" si="3"/>
        <v>vis</v>
      </c>
      <c r="E50" s="50">
        <f>VLOOKUP(C50,Active!C$21:E$973,3,FALSE)</f>
        <v>16521.893071452312</v>
      </c>
      <c r="F50" s="3" t="s">
        <v>74</v>
      </c>
      <c r="G50" s="14" t="str">
        <f t="shared" si="4"/>
        <v>54417.2420</v>
      </c>
      <c r="H50" s="11">
        <f t="shared" si="5"/>
        <v>5353</v>
      </c>
      <c r="I50" s="51" t="s">
        <v>113</v>
      </c>
      <c r="J50" s="52" t="s">
        <v>114</v>
      </c>
      <c r="K50" s="51">
        <v>5353</v>
      </c>
      <c r="L50" s="51" t="s">
        <v>115</v>
      </c>
      <c r="M50" s="52" t="s">
        <v>116</v>
      </c>
      <c r="N50" s="52" t="s">
        <v>117</v>
      </c>
      <c r="O50" s="53" t="s">
        <v>118</v>
      </c>
      <c r="P50" s="54" t="s">
        <v>119</v>
      </c>
    </row>
    <row r="51" spans="1:16">
      <c r="B51" s="3"/>
      <c r="E51" s="50"/>
      <c r="F51" s="3"/>
    </row>
    <row r="52" spans="1:16">
      <c r="B52" s="3"/>
      <c r="E52" s="50"/>
      <c r="F52" s="3"/>
    </row>
    <row r="53" spans="1:16">
      <c r="B53" s="3"/>
      <c r="E53" s="50"/>
      <c r="F53" s="3"/>
    </row>
    <row r="54" spans="1:16">
      <c r="B54" s="3"/>
      <c r="E54" s="50"/>
      <c r="F54" s="3"/>
    </row>
    <row r="55" spans="1:16">
      <c r="B55" s="3"/>
      <c r="E55" s="50"/>
      <c r="F55" s="3"/>
    </row>
    <row r="56" spans="1:16">
      <c r="B56" s="3"/>
      <c r="E56" s="50"/>
      <c r="F56" s="3"/>
    </row>
    <row r="57" spans="1:16">
      <c r="B57" s="3"/>
      <c r="E57" s="50"/>
      <c r="F57" s="3"/>
    </row>
    <row r="58" spans="1:16">
      <c r="B58" s="3"/>
      <c r="E58" s="50"/>
      <c r="F58" s="3"/>
    </row>
    <row r="59" spans="1:16">
      <c r="B59" s="3"/>
      <c r="E59" s="50"/>
      <c r="F59" s="3"/>
    </row>
    <row r="60" spans="1:16">
      <c r="B60" s="3"/>
      <c r="E60" s="50"/>
      <c r="F60" s="3"/>
    </row>
    <row r="61" spans="1:16">
      <c r="B61" s="3"/>
      <c r="E61" s="50"/>
      <c r="F61" s="3"/>
    </row>
    <row r="62" spans="1:16">
      <c r="B62" s="3"/>
      <c r="E62" s="50"/>
      <c r="F62" s="3"/>
    </row>
    <row r="63" spans="1:16">
      <c r="B63" s="3"/>
      <c r="E63" s="50"/>
      <c r="F63" s="3"/>
    </row>
    <row r="64" spans="1:16">
      <c r="B64" s="3"/>
      <c r="E64" s="50"/>
      <c r="F64" s="3"/>
    </row>
    <row r="65" spans="2:6">
      <c r="B65" s="3"/>
      <c r="E65" s="50"/>
      <c r="F65" s="3"/>
    </row>
    <row r="66" spans="2:6">
      <c r="B66" s="3"/>
      <c r="E66" s="50"/>
      <c r="F66" s="3"/>
    </row>
    <row r="67" spans="2:6">
      <c r="B67" s="3"/>
      <c r="E67" s="50"/>
      <c r="F67" s="3"/>
    </row>
    <row r="68" spans="2:6">
      <c r="B68" s="3"/>
      <c r="E68" s="50"/>
      <c r="F68" s="3"/>
    </row>
    <row r="69" spans="2:6">
      <c r="B69" s="3"/>
      <c r="E69" s="50"/>
      <c r="F69" s="3"/>
    </row>
    <row r="70" spans="2:6">
      <c r="B70" s="3"/>
      <c r="E70" s="50"/>
      <c r="F70" s="3"/>
    </row>
    <row r="71" spans="2:6">
      <c r="B71" s="3"/>
      <c r="E71" s="50"/>
      <c r="F71" s="3"/>
    </row>
    <row r="72" spans="2:6">
      <c r="B72" s="3"/>
      <c r="E72" s="50"/>
      <c r="F72" s="3"/>
    </row>
    <row r="73" spans="2:6">
      <c r="B73" s="3"/>
      <c r="E73" s="50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  <row r="853" spans="2:6">
      <c r="B853" s="3"/>
      <c r="F853" s="3"/>
    </row>
    <row r="854" spans="2:6">
      <c r="B854" s="3"/>
      <c r="F854" s="3"/>
    </row>
    <row r="855" spans="2:6">
      <c r="B855" s="3"/>
      <c r="F855" s="3"/>
    </row>
    <row r="856" spans="2:6">
      <c r="B856" s="3"/>
      <c r="F856" s="3"/>
    </row>
    <row r="857" spans="2:6">
      <c r="B857" s="3"/>
      <c r="F857" s="3"/>
    </row>
    <row r="858" spans="2:6">
      <c r="B858" s="3"/>
      <c r="F858" s="3"/>
    </row>
    <row r="859" spans="2:6">
      <c r="B859" s="3"/>
      <c r="F859" s="3"/>
    </row>
    <row r="860" spans="2:6">
      <c r="B860" s="3"/>
      <c r="F860" s="3"/>
    </row>
    <row r="861" spans="2:6">
      <c r="B861" s="3"/>
      <c r="F861" s="3"/>
    </row>
  </sheetData>
  <phoneticPr fontId="8" type="noConversion"/>
  <hyperlinks>
    <hyperlink ref="P11" r:id="rId1" display="http://www.konkoly.hu/cgi-bin/IBVS?5623"/>
    <hyperlink ref="P12" r:id="rId2" display="http://www.konkoly.hu/cgi-bin/IBVS?5623"/>
    <hyperlink ref="P17" r:id="rId3" display="http://www.konkoly.hu/cgi-bin/IBVS?5602"/>
    <hyperlink ref="P18" r:id="rId4" display="http://www.konkoly.hu/cgi-bin/IBVS?5592"/>
    <hyperlink ref="P19" r:id="rId5" display="http://www.konkoly.hu/cgi-bin/IBVS?5672"/>
    <hyperlink ref="P50" r:id="rId6" display="http://vsolj.cetus-net.org/no46.pdf"/>
    <hyperlink ref="P20" r:id="rId7" display="http://www.konkoly.hu/cgi-bin/IBVS?5814"/>
    <hyperlink ref="P21" r:id="rId8" display="http://www.bav-astro.de/sfs/BAVM_link.php?BAVMnr=201"/>
    <hyperlink ref="P23" r:id="rId9" display="http://www.konkoly.hu/cgi-bin/IBVS?5917"/>
    <hyperlink ref="P24" r:id="rId10" display="http://www.konkoly.hu/cgi-bin/IBVS?5938"/>
    <hyperlink ref="P25" r:id="rId11" display="http://var.astro.cz/oejv/issues/oejv0160.pdf"/>
    <hyperlink ref="P26" r:id="rId12" display="http://var.astro.cz/oejv/issues/oejv0160.pdf"/>
    <hyperlink ref="P27" r:id="rId13" display="http://var.astro.cz/oejv/issues/oejv0160.pdf"/>
    <hyperlink ref="P28" r:id="rId14" display="http://var.astro.cz/oejv/issues/oejv0160.pdf"/>
    <hyperlink ref="P29" r:id="rId15" display="http://var.astro.cz/oejv/issues/oejv0160.pdf"/>
    <hyperlink ref="P30" r:id="rId16" display="http://var.astro.cz/oejv/issues/oejv0160.pdf"/>
    <hyperlink ref="P31" r:id="rId17" display="http://var.astro.cz/oejv/issues/oejv0160.pdf"/>
    <hyperlink ref="P32" r:id="rId18" display="http://var.astro.cz/oejv/issues/oejv0160.pdf"/>
    <hyperlink ref="P33" r:id="rId19" display="http://www.konkoly.hu/cgi-bin/IBVS?6018"/>
    <hyperlink ref="P34" r:id="rId20" display="http://var.astro.cz/oejv/issues/oejv0160.pdf"/>
    <hyperlink ref="P35" r:id="rId21" display="http://var.astro.cz/oejv/issues/oejv0160.pdf"/>
    <hyperlink ref="P36" r:id="rId22" display="http://var.astro.cz/oejv/issues/oejv0160.pdf"/>
    <hyperlink ref="P37" r:id="rId23" display="http://var.astro.cz/oejv/issues/oejv0160.pdf"/>
    <hyperlink ref="P38" r:id="rId24" display="http://var.astro.cz/oejv/issues/oejv0160.pdf"/>
    <hyperlink ref="P39" r:id="rId25" display="http://var.astro.cz/oejv/issues/oejv0160.pdf"/>
    <hyperlink ref="P40" r:id="rId26" display="http://var.astro.cz/oejv/issues/oejv0160.pdf"/>
    <hyperlink ref="P41" r:id="rId27" display="http://var.astro.cz/oejv/issues/oejv0160.pdf"/>
    <hyperlink ref="P42" r:id="rId28" display="http://var.astro.cz/oejv/issues/oejv0160.pdf"/>
    <hyperlink ref="P43" r:id="rId29" display="http://var.astro.cz/oejv/issues/oejv0160.pdf"/>
    <hyperlink ref="P44" r:id="rId30" display="http://var.astro.cz/oejv/issues/oejv0160.pdf"/>
    <hyperlink ref="P45" r:id="rId31" display="http://var.astro.cz/oejv/issues/oejv0160.pdf"/>
    <hyperlink ref="P46" r:id="rId32" display="http://var.astro.cz/oejv/issues/oejv0160.pdf"/>
    <hyperlink ref="P47" r:id="rId33" display="http://var.astro.cz/oejv/issues/oejv0160.pdf"/>
    <hyperlink ref="P48" r:id="rId34" display="http://var.astro.cz/oejv/issues/oejv0160.pdf"/>
    <hyperlink ref="P49" r:id="rId3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2024-02-02T04:48:01Z</dcterms:modified>
</cp:coreProperties>
</file>