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539FEB9-5245-427A-857F-365D747DD85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22" i="1" l="1"/>
  <c r="F22" i="1"/>
  <c r="E23" i="1"/>
  <c r="F23" i="1"/>
  <c r="G23" i="1"/>
  <c r="J23" i="1"/>
  <c r="E26" i="1"/>
  <c r="F26" i="1"/>
  <c r="G26" i="1"/>
  <c r="J26" i="1"/>
  <c r="E34" i="1"/>
  <c r="F34" i="1"/>
  <c r="G34" i="1"/>
  <c r="K34" i="1"/>
  <c r="E36" i="1"/>
  <c r="F36" i="1"/>
  <c r="G36" i="1"/>
  <c r="J36" i="1"/>
  <c r="E37" i="1"/>
  <c r="F37" i="1"/>
  <c r="E47" i="1"/>
  <c r="F47" i="1"/>
  <c r="U47" i="1"/>
  <c r="E48" i="1"/>
  <c r="F48" i="1"/>
  <c r="G48" i="1"/>
  <c r="J48" i="1"/>
  <c r="E49" i="1"/>
  <c r="F49" i="1"/>
  <c r="G49" i="1"/>
  <c r="J49" i="1"/>
  <c r="E50" i="1"/>
  <c r="F50" i="1"/>
  <c r="G50" i="1"/>
  <c r="J50" i="1"/>
  <c r="E51" i="1"/>
  <c r="F51" i="1"/>
  <c r="G51" i="1"/>
  <c r="J51" i="1"/>
  <c r="E52" i="1"/>
  <c r="F52" i="1"/>
  <c r="G52" i="1"/>
  <c r="J52" i="1"/>
  <c r="E55" i="1"/>
  <c r="F55" i="1"/>
  <c r="G55" i="1"/>
  <c r="J55" i="1"/>
  <c r="E56" i="1"/>
  <c r="F56" i="1"/>
  <c r="G56" i="1"/>
  <c r="J56" i="1"/>
  <c r="E57" i="1"/>
  <c r="F57" i="1"/>
  <c r="G57" i="1"/>
  <c r="J57" i="1"/>
  <c r="E58" i="1"/>
  <c r="F58" i="1"/>
  <c r="G58" i="1"/>
  <c r="J58" i="1"/>
  <c r="E59" i="1"/>
  <c r="F59" i="1"/>
  <c r="G59" i="1"/>
  <c r="J59" i="1"/>
  <c r="E60" i="1"/>
  <c r="F60" i="1"/>
  <c r="G60" i="1"/>
  <c r="J60" i="1"/>
  <c r="E62" i="1"/>
  <c r="F62" i="1"/>
  <c r="G62" i="1"/>
  <c r="J62" i="1"/>
  <c r="E63" i="1"/>
  <c r="F63" i="1"/>
  <c r="G63" i="1"/>
  <c r="J63" i="1"/>
  <c r="E43" i="1"/>
  <c r="F43" i="1"/>
  <c r="E45" i="1"/>
  <c r="F45" i="1"/>
  <c r="E46" i="1"/>
  <c r="F46" i="1"/>
  <c r="G46" i="1"/>
  <c r="E53" i="1"/>
  <c r="F53" i="1"/>
  <c r="G53" i="1"/>
  <c r="E54" i="1"/>
  <c r="F54" i="1"/>
  <c r="E61" i="1"/>
  <c r="F61" i="1"/>
  <c r="G61" i="1"/>
  <c r="I61" i="1"/>
  <c r="E64" i="1"/>
  <c r="F64" i="1"/>
  <c r="G64" i="1"/>
  <c r="L64" i="1"/>
  <c r="D11" i="1"/>
  <c r="P34" i="1" s="1"/>
  <c r="R34" i="1" s="1"/>
  <c r="D12" i="1"/>
  <c r="Q22" i="1"/>
  <c r="Q23" i="1"/>
  <c r="Q26" i="1"/>
  <c r="Q34" i="1"/>
  <c r="Q36" i="1"/>
  <c r="Q37" i="1"/>
  <c r="Q47" i="1"/>
  <c r="Q48" i="1"/>
  <c r="Q49" i="1"/>
  <c r="Q50" i="1"/>
  <c r="Q51" i="1"/>
  <c r="Q52" i="1"/>
  <c r="Q55" i="1"/>
  <c r="Q56" i="1"/>
  <c r="Q57" i="1"/>
  <c r="Q58" i="1"/>
  <c r="Q59" i="1"/>
  <c r="Q60" i="1"/>
  <c r="Q62" i="1"/>
  <c r="Q63" i="1"/>
  <c r="G32" i="2"/>
  <c r="C32" i="2"/>
  <c r="E32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G31" i="2"/>
  <c r="C31" i="2"/>
  <c r="E31" i="2"/>
  <c r="G30" i="2"/>
  <c r="C30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29" i="2"/>
  <c r="C29" i="2"/>
  <c r="E29" i="2"/>
  <c r="G28" i="2"/>
  <c r="C28" i="2"/>
  <c r="G27" i="2"/>
  <c r="C27" i="2"/>
  <c r="E27" i="2"/>
  <c r="G26" i="2"/>
  <c r="C26" i="2"/>
  <c r="E26" i="2"/>
  <c r="E42" i="1"/>
  <c r="G25" i="2"/>
  <c r="C25" i="2"/>
  <c r="E25" i="2"/>
  <c r="E41" i="1"/>
  <c r="G24" i="2"/>
  <c r="C24" i="2"/>
  <c r="E24" i="2"/>
  <c r="E40" i="1"/>
  <c r="G23" i="2"/>
  <c r="C23" i="2"/>
  <c r="E23" i="2"/>
  <c r="E39" i="1"/>
  <c r="G22" i="2"/>
  <c r="C22" i="2"/>
  <c r="E22" i="2"/>
  <c r="E38" i="1"/>
  <c r="G38" i="2"/>
  <c r="C38" i="2"/>
  <c r="E38" i="2"/>
  <c r="G37" i="2"/>
  <c r="C37" i="2"/>
  <c r="E37" i="2"/>
  <c r="G21" i="2"/>
  <c r="C21" i="2"/>
  <c r="E21" i="2"/>
  <c r="E35" i="1"/>
  <c r="G36" i="2"/>
  <c r="C36" i="2"/>
  <c r="E36" i="2"/>
  <c r="G20" i="2"/>
  <c r="C20" i="2"/>
  <c r="E20" i="2"/>
  <c r="E33" i="1"/>
  <c r="G19" i="2"/>
  <c r="C19" i="2"/>
  <c r="E19" i="2"/>
  <c r="E32" i="1"/>
  <c r="G18" i="2"/>
  <c r="C18" i="2"/>
  <c r="E18" i="2"/>
  <c r="E31" i="1"/>
  <c r="G17" i="2"/>
  <c r="C17" i="2"/>
  <c r="E17" i="2"/>
  <c r="E30" i="1"/>
  <c r="G16" i="2"/>
  <c r="C16" i="2"/>
  <c r="E16" i="2"/>
  <c r="E29" i="1"/>
  <c r="G15" i="2"/>
  <c r="C15" i="2"/>
  <c r="E15" i="2"/>
  <c r="E28" i="1"/>
  <c r="G14" i="2"/>
  <c r="C14" i="2"/>
  <c r="E14" i="2"/>
  <c r="E27" i="1"/>
  <c r="G35" i="2"/>
  <c r="C35" i="2"/>
  <c r="E35" i="2"/>
  <c r="G13" i="2"/>
  <c r="C13" i="2"/>
  <c r="E13" i="2"/>
  <c r="E25" i="1"/>
  <c r="G12" i="2"/>
  <c r="C12" i="2"/>
  <c r="E12" i="2"/>
  <c r="E24" i="1"/>
  <c r="G34" i="2"/>
  <c r="C34" i="2"/>
  <c r="E34" i="2"/>
  <c r="G33" i="2"/>
  <c r="C33" i="2"/>
  <c r="E33" i="2"/>
  <c r="G11" i="2"/>
  <c r="C11" i="2"/>
  <c r="E21" i="1"/>
  <c r="E11" i="2"/>
  <c r="H32" i="2"/>
  <c r="D32" i="2"/>
  <c r="B32" i="2"/>
  <c r="A32" i="2"/>
  <c r="H52" i="2"/>
  <c r="D52" i="2"/>
  <c r="B52" i="2"/>
  <c r="A52" i="2"/>
  <c r="H51" i="2"/>
  <c r="D51" i="2"/>
  <c r="B51" i="2"/>
  <c r="A51" i="2"/>
  <c r="H50" i="2"/>
  <c r="D50" i="2"/>
  <c r="B50" i="2"/>
  <c r="A50" i="2"/>
  <c r="H49" i="2"/>
  <c r="D49" i="2"/>
  <c r="B49" i="2"/>
  <c r="A49" i="2"/>
  <c r="H48" i="2"/>
  <c r="D48" i="2"/>
  <c r="B48" i="2"/>
  <c r="A48" i="2"/>
  <c r="H47" i="2"/>
  <c r="D47" i="2"/>
  <c r="B47" i="2"/>
  <c r="A47" i="2"/>
  <c r="H46" i="2"/>
  <c r="D46" i="2"/>
  <c r="B46" i="2"/>
  <c r="A46" i="2"/>
  <c r="H45" i="2"/>
  <c r="D45" i="2"/>
  <c r="B45" i="2"/>
  <c r="A45" i="2"/>
  <c r="H31" i="2"/>
  <c r="D31" i="2"/>
  <c r="B31" i="2"/>
  <c r="A31" i="2"/>
  <c r="H30" i="2"/>
  <c r="D30" i="2"/>
  <c r="B30" i="2"/>
  <c r="A30" i="2"/>
  <c r="H44" i="2"/>
  <c r="D44" i="2"/>
  <c r="B44" i="2"/>
  <c r="A44" i="2"/>
  <c r="H43" i="2"/>
  <c r="D43" i="2"/>
  <c r="B43" i="2"/>
  <c r="A43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38" i="2"/>
  <c r="D38" i="2"/>
  <c r="B38" i="2"/>
  <c r="A38" i="2"/>
  <c r="H37" i="2"/>
  <c r="D37" i="2"/>
  <c r="B37" i="2"/>
  <c r="A37" i="2"/>
  <c r="H21" i="2"/>
  <c r="D21" i="2"/>
  <c r="B21" i="2"/>
  <c r="A21" i="2"/>
  <c r="H36" i="2"/>
  <c r="D36" i="2"/>
  <c r="B36" i="2"/>
  <c r="A36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35" i="2"/>
  <c r="D35" i="2"/>
  <c r="B35" i="2"/>
  <c r="A35" i="2"/>
  <c r="H13" i="2"/>
  <c r="D13" i="2"/>
  <c r="B13" i="2"/>
  <c r="A13" i="2"/>
  <c r="H12" i="2"/>
  <c r="D12" i="2"/>
  <c r="B12" i="2"/>
  <c r="A12" i="2"/>
  <c r="H34" i="2"/>
  <c r="D34" i="2"/>
  <c r="B34" i="2"/>
  <c r="A34" i="2"/>
  <c r="H33" i="2"/>
  <c r="D33" i="2"/>
  <c r="B33" i="2"/>
  <c r="A33" i="2"/>
  <c r="H11" i="2"/>
  <c r="D11" i="2"/>
  <c r="B11" i="2"/>
  <c r="A11" i="2"/>
  <c r="F21" i="1"/>
  <c r="F24" i="1"/>
  <c r="G24" i="1"/>
  <c r="K24" i="1"/>
  <c r="F25" i="1"/>
  <c r="F27" i="1"/>
  <c r="F28" i="1"/>
  <c r="F29" i="1"/>
  <c r="F30" i="1"/>
  <c r="P30" i="1"/>
  <c r="F31" i="1"/>
  <c r="F32" i="1"/>
  <c r="F33" i="1"/>
  <c r="G33" i="1"/>
  <c r="K33" i="1"/>
  <c r="F35" i="1"/>
  <c r="F38" i="1"/>
  <c r="F39" i="1"/>
  <c r="F40" i="1"/>
  <c r="F41" i="1"/>
  <c r="P41" i="1"/>
  <c r="F42" i="1"/>
  <c r="D13" i="1"/>
  <c r="P21" i="1"/>
  <c r="R21" i="1" s="1"/>
  <c r="G21" i="1"/>
  <c r="G27" i="1"/>
  <c r="G28" i="1"/>
  <c r="G29" i="1"/>
  <c r="K29" i="1"/>
  <c r="G31" i="1"/>
  <c r="P32" i="1"/>
  <c r="R32" i="1" s="1"/>
  <c r="G32" i="1"/>
  <c r="K32" i="1"/>
  <c r="P38" i="1"/>
  <c r="R38" i="1" s="1"/>
  <c r="G38" i="1"/>
  <c r="G39" i="1"/>
  <c r="G40" i="1"/>
  <c r="K40" i="1"/>
  <c r="G42" i="1"/>
  <c r="P46" i="1"/>
  <c r="R46" i="1" s="1"/>
  <c r="P64" i="1"/>
  <c r="R64" i="1"/>
  <c r="W18" i="1"/>
  <c r="W21" i="1"/>
  <c r="W27" i="1"/>
  <c r="W28" i="1"/>
  <c r="W29" i="1"/>
  <c r="W15" i="1"/>
  <c r="W14" i="1"/>
  <c r="W13" i="1"/>
  <c r="W12" i="1"/>
  <c r="W11" i="1"/>
  <c r="W10" i="1"/>
  <c r="W7" i="1"/>
  <c r="W6" i="1"/>
  <c r="W5" i="1"/>
  <c r="W4" i="1"/>
  <c r="W3" i="1"/>
  <c r="W2" i="1"/>
  <c r="Q21" i="1"/>
  <c r="E9" i="1"/>
  <c r="D9" i="1"/>
  <c r="F16" i="1"/>
  <c r="C44" i="1"/>
  <c r="E44" i="1"/>
  <c r="F44" i="1"/>
  <c r="Q64" i="1"/>
  <c r="Q61" i="1"/>
  <c r="K21" i="1"/>
  <c r="Q24" i="1"/>
  <c r="Q25" i="1"/>
  <c r="K27" i="1"/>
  <c r="Q27" i="1"/>
  <c r="K28" i="1"/>
  <c r="Q28" i="1"/>
  <c r="Q29" i="1"/>
  <c r="Q30" i="1"/>
  <c r="K31" i="1"/>
  <c r="Q31" i="1"/>
  <c r="Q32" i="1"/>
  <c r="Q33" i="1"/>
  <c r="Q35" i="1"/>
  <c r="K38" i="1"/>
  <c r="Q38" i="1"/>
  <c r="K39" i="1"/>
  <c r="Q39" i="1"/>
  <c r="Q40" i="1"/>
  <c r="Q41" i="1"/>
  <c r="K42" i="1"/>
  <c r="Q42" i="1"/>
  <c r="Q43" i="1"/>
  <c r="Q45" i="1"/>
  <c r="K46" i="1"/>
  <c r="Q46" i="1"/>
  <c r="K53" i="1"/>
  <c r="Q53" i="1"/>
  <c r="Q54" i="1"/>
  <c r="C17" i="1"/>
  <c r="G37" i="1"/>
  <c r="J37" i="1"/>
  <c r="P37" i="1"/>
  <c r="P45" i="1"/>
  <c r="G45" i="1"/>
  <c r="K45" i="1"/>
  <c r="G54" i="1"/>
  <c r="K54" i="1"/>
  <c r="P43" i="1"/>
  <c r="G43" i="1"/>
  <c r="G22" i="1"/>
  <c r="J22" i="1"/>
  <c r="D15" i="1"/>
  <c r="C19" i="1" s="1"/>
  <c r="P57" i="1"/>
  <c r="R57" i="1" s="1"/>
  <c r="P47" i="1"/>
  <c r="R47" i="1"/>
  <c r="P23" i="1"/>
  <c r="R23" i="1" s="1"/>
  <c r="P60" i="1"/>
  <c r="R60" i="1" s="1"/>
  <c r="P50" i="1"/>
  <c r="R50" i="1" s="1"/>
  <c r="P36" i="1"/>
  <c r="R36" i="1"/>
  <c r="G41" i="1"/>
  <c r="K41" i="1"/>
  <c r="P33" i="1"/>
  <c r="R33" i="1" s="1"/>
  <c r="G30" i="1"/>
  <c r="K30" i="1"/>
  <c r="P24" i="1"/>
  <c r="R24" i="1"/>
  <c r="P55" i="1"/>
  <c r="R55" i="1" s="1"/>
  <c r="P58" i="1"/>
  <c r="R58" i="1" s="1"/>
  <c r="P48" i="1"/>
  <c r="R48" i="1" s="1"/>
  <c r="P26" i="1"/>
  <c r="R26" i="1"/>
  <c r="E28" i="2"/>
  <c r="E30" i="2"/>
  <c r="P62" i="1"/>
  <c r="R62" i="1" s="1"/>
  <c r="P51" i="1"/>
  <c r="R51" i="1" s="1"/>
  <c r="P56" i="1"/>
  <c r="R56" i="1"/>
  <c r="P22" i="1"/>
  <c r="R22" i="1" s="1"/>
  <c r="G44" i="1"/>
  <c r="H44" i="1"/>
  <c r="Q44" i="1"/>
  <c r="G35" i="1"/>
  <c r="K35" i="1"/>
  <c r="G25" i="1"/>
  <c r="K25" i="1"/>
  <c r="D16" i="1"/>
  <c r="D19" i="1" s="1"/>
  <c r="P59" i="1"/>
  <c r="R59" i="1" s="1"/>
  <c r="P49" i="1"/>
  <c r="R49" i="1" s="1"/>
  <c r="P63" i="1"/>
  <c r="R63" i="1"/>
  <c r="R30" i="1"/>
  <c r="R41" i="1"/>
  <c r="K43" i="1"/>
  <c r="R45" i="1"/>
  <c r="R43" i="1"/>
  <c r="R37" i="1"/>
  <c r="C11" i="1"/>
  <c r="C12" i="1"/>
  <c r="C16" i="1" l="1"/>
  <c r="D18" i="1" s="1"/>
  <c r="O51" i="1"/>
  <c r="O60" i="1"/>
  <c r="O52" i="1"/>
  <c r="O34" i="1"/>
  <c r="O62" i="1"/>
  <c r="O45" i="1"/>
  <c r="O63" i="1"/>
  <c r="O49" i="1"/>
  <c r="O26" i="1"/>
  <c r="O64" i="1"/>
  <c r="C15" i="1"/>
  <c r="F18" i="1" s="1"/>
  <c r="O54" i="1"/>
  <c r="O59" i="1"/>
  <c r="O48" i="1"/>
  <c r="O46" i="1"/>
  <c r="O36" i="1"/>
  <c r="O56" i="1"/>
  <c r="O58" i="1"/>
  <c r="O23" i="1"/>
  <c r="O57" i="1"/>
  <c r="O61" i="1"/>
  <c r="O55" i="1"/>
  <c r="O47" i="1"/>
  <c r="O53" i="1"/>
  <c r="O37" i="1"/>
  <c r="O50" i="1"/>
  <c r="O22" i="1"/>
  <c r="T21" i="1"/>
  <c r="F17" i="1"/>
  <c r="W25" i="1"/>
  <c r="P28" i="1"/>
  <c r="R28" i="1" s="1"/>
  <c r="P52" i="1"/>
  <c r="R52" i="1" s="1"/>
  <c r="P40" i="1"/>
  <c r="R40" i="1" s="1"/>
  <c r="P29" i="1"/>
  <c r="R29" i="1" s="1"/>
  <c r="W24" i="1"/>
  <c r="P61" i="1"/>
  <c r="R61" i="1" s="1"/>
  <c r="P54" i="1"/>
  <c r="R54" i="1" s="1"/>
  <c r="W8" i="1"/>
  <c r="W16" i="1"/>
  <c r="W20" i="1"/>
  <c r="P53" i="1"/>
  <c r="R53" i="1" s="1"/>
  <c r="P39" i="1"/>
  <c r="R39" i="1" s="1"/>
  <c r="P27" i="1"/>
  <c r="R27" i="1" s="1"/>
  <c r="P42" i="1"/>
  <c r="R42" i="1" s="1"/>
  <c r="P31" i="1"/>
  <c r="R31" i="1" s="1"/>
  <c r="E14" i="1" s="1"/>
  <c r="P44" i="1"/>
  <c r="R44" i="1" s="1"/>
  <c r="W9" i="1"/>
  <c r="W17" i="1"/>
  <c r="W19" i="1"/>
  <c r="P35" i="1"/>
  <c r="R35" i="1" s="1"/>
  <c r="P25" i="1"/>
  <c r="R25" i="1" s="1"/>
  <c r="F19" i="1" l="1"/>
  <c r="C18" i="1"/>
</calcChain>
</file>

<file path=xl/sharedStrings.xml><?xml version="1.0" encoding="utf-8"?>
<sst xmlns="http://schemas.openxmlformats.org/spreadsheetml/2006/main" count="507" uniqueCount="235">
  <si>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</si>
  <si>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</si>
  <si>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</si>
  <si>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</si>
  <si>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</si>
  <si>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</si>
  <si>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</si>
  <si>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</si>
  <si>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</si>
  <si>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</si>
  <si>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</si>
  <si>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</si>
  <si>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</si>
  <si>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</si>
  <si>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</si>
  <si>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</si>
  <si>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</si>
  <si>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</si>
  <si>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</si>
  <si>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</si>
  <si>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</si>
  <si>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</si>
  <si>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</si>
  <si>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</si>
  <si>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</si>
  <si>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</si>
  <si>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</si>
  <si>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</si>
  <si>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</si>
  <si>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</si>
  <si>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</si>
  <si>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</si>
  <si>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</si>
  <si>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</si>
  <si>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</si>
  <si>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</si>
  <si>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</si>
  <si>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RY Gem</t>
  </si>
  <si>
    <t>RY Gem / GSC 1347-0922</t>
  </si>
  <si>
    <t>EA/DS</t>
  </si>
  <si>
    <t>Kreiner</t>
  </si>
  <si>
    <t>IBVS 1174</t>
  </si>
  <si>
    <t>I</t>
  </si>
  <si>
    <t>PE</t>
  </si>
  <si>
    <t>IBVS 6048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</si>
  <si>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</si>
  <si>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</si>
  <si>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</si>
  <si>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Linear Ephemeris =</t>
  </si>
  <si>
    <t>Quad. Ephemeris =</t>
  </si>
  <si>
    <t>This is a HUGE quadratic term!  Do we trust it?</t>
  </si>
  <si>
    <t>G1347-0922</t>
  </si>
  <si>
    <t>Minima from the Lichtenknecker Database of the BAV</t>
  </si>
  <si>
    <t>C</t>
  </si>
  <si>
    <t>CCD</t>
  </si>
  <si>
    <t>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</si>
  <si>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</si>
  <si>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</si>
  <si>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</si>
  <si>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</si>
  <si>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</si>
  <si>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</si>
  <si>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</si>
  <si>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</si>
  <si>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2418015.32 </t>
  </si>
  <si>
    <t> 14.03.1908 19:40 </t>
  </si>
  <si>
    <t> -0.49 </t>
  </si>
  <si>
    <t>V </t>
  </si>
  <si>
    <t> S.Blazko </t>
  </si>
  <si>
    <t> AN 178.164 </t>
  </si>
  <si>
    <t>2423512.157 </t>
  </si>
  <si>
    <t> 02.04.1923 15:46 </t>
  </si>
  <si>
    <t> -0.287 </t>
  </si>
  <si>
    <t> K.Graff </t>
  </si>
  <si>
    <t> BZ 5.17 </t>
  </si>
  <si>
    <t>2423763.28 </t>
  </si>
  <si>
    <t> 09.12.1923 18:43 </t>
  </si>
  <si>
    <t> -0.28 </t>
  </si>
  <si>
    <t> J.Gadomski </t>
  </si>
  <si>
    <t> CRAC 22 </t>
  </si>
  <si>
    <t>2423800.484 </t>
  </si>
  <si>
    <t> 15.01.1924 23:36 </t>
  </si>
  <si>
    <t> -0.278 </t>
  </si>
  <si>
    <t> M.Beyer </t>
  </si>
  <si>
    <t> AN 234.85 </t>
  </si>
  <si>
    <t>2424628.262 </t>
  </si>
  <si>
    <t> 22.04.1926 18:17 </t>
  </si>
  <si>
    <t> -0.250 </t>
  </si>
  <si>
    <t>2425679.249 </t>
  </si>
  <si>
    <t> 08.03.1929 17:58 </t>
  </si>
  <si>
    <t> -0.227 </t>
  </si>
  <si>
    <t> F.de Roy </t>
  </si>
  <si>
    <t> AAC 1.97 </t>
  </si>
  <si>
    <t>2427483.642 </t>
  </si>
  <si>
    <t> 15.02.1934 03:24 </t>
  </si>
  <si>
    <t> -0.144 </t>
  </si>
  <si>
    <t> F.Lause </t>
  </si>
  <si>
    <t> AN 260.289 </t>
  </si>
  <si>
    <t>2427827.744 </t>
  </si>
  <si>
    <t> 25.01.1935 05:51 </t>
  </si>
  <si>
    <t> -0.163 </t>
  </si>
  <si>
    <t>2427874.265 </t>
  </si>
  <si>
    <t> 12.03.1935 18:21 </t>
  </si>
  <si>
    <t> -0.145 </t>
  </si>
  <si>
    <t>2427883.563 </t>
  </si>
  <si>
    <t> 22.03.1935 01:30 </t>
  </si>
  <si>
    <t> -0.147 </t>
  </si>
  <si>
    <t>2428106.772 </t>
  </si>
  <si>
    <t> 31.10.1935 06:31 </t>
  </si>
  <si>
    <t> -0.152 </t>
  </si>
  <si>
    <t>2428209.090 </t>
  </si>
  <si>
    <t> 10.02.1936 14:09 </t>
  </si>
  <si>
    <t> -0.140 </t>
  </si>
  <si>
    <t>2428246.300 </t>
  </si>
  <si>
    <t> 18.03.1936 19:12 </t>
  </si>
  <si>
    <t> -0.133 </t>
  </si>
  <si>
    <t>2430487.850 </t>
  </si>
  <si>
    <t> 08.05.1942 08:24 </t>
  </si>
  <si>
    <t> -0.019 </t>
  </si>
  <si>
    <t> S.Gaposchkin </t>
  </si>
  <si>
    <t>2432245.67 </t>
  </si>
  <si>
    <t> 01.03.1947 04:04 </t>
  </si>
  <si>
    <t> -0.01 </t>
  </si>
  <si>
    <t> A.McKellar </t>
  </si>
  <si>
    <t> PDAO 8.235 </t>
  </si>
  <si>
    <t>2436663.334 </t>
  </si>
  <si>
    <t> 04.04.1959 20:00 </t>
  </si>
  <si>
    <t> -0.112 </t>
  </si>
  <si>
    <t>P </t>
  </si>
  <si>
    <t> H.Huth </t>
  </si>
  <si>
    <t> MVS 2.123 </t>
  </si>
  <si>
    <t>2437286.500 </t>
  </si>
  <si>
    <t> 18.12.1960 00:00 </t>
  </si>
  <si>
    <t> -0.084 </t>
  </si>
  <si>
    <t>2438681.700 </t>
  </si>
  <si>
    <t> 13.10.1964 04:48 </t>
  </si>
  <si>
    <t> 0.031 </t>
  </si>
  <si>
    <t>E </t>
  </si>
  <si>
    <t>?</t>
  </si>
  <si>
    <t> M.I.Kumsiashvili </t>
  </si>
  <si>
    <t> AC 499.4 </t>
  </si>
  <si>
    <t>2438700.285 </t>
  </si>
  <si>
    <t> 31.10.1964 18:50 </t>
  </si>
  <si>
    <t> 0.015 </t>
  </si>
  <si>
    <t>2438737.485 </t>
  </si>
  <si>
    <t> 07.12.1964 23:38 </t>
  </si>
  <si>
    <t> 0.013 </t>
  </si>
  <si>
    <t>2438765.385 </t>
  </si>
  <si>
    <t> 04.01.1965 21:14 </t>
  </si>
  <si>
    <t> 0.011 </t>
  </si>
  <si>
    <t>2439416.385 </t>
  </si>
  <si>
    <t> 17.10.1966 21:14 </t>
  </si>
  <si>
    <t> -0.029 </t>
  </si>
  <si>
    <t>2439593.100 </t>
  </si>
  <si>
    <t> 12.04.1967 14:24 </t>
  </si>
  <si>
    <t> -0.024 </t>
  </si>
  <si>
    <t>2439769.900 </t>
  </si>
  <si>
    <t> 06.10.1967 09:36 </t>
  </si>
  <si>
    <t> 0.065 </t>
  </si>
  <si>
    <t>2439779.150 </t>
  </si>
  <si>
    <t> 15.10.1967 15:36 </t>
  </si>
  <si>
    <t> 0.014 </t>
  </si>
  <si>
    <t>2439798.783 </t>
  </si>
  <si>
    <t> 04.11.1967 06:47 </t>
  </si>
  <si>
    <t> 1.046 </t>
  </si>
  <si>
    <t> R.C.Barnes </t>
  </si>
  <si>
    <t> AA 26.111 </t>
  </si>
  <si>
    <t>2440383.671 </t>
  </si>
  <si>
    <t> 11.06.1969 04:06 </t>
  </si>
  <si>
    <t> -0.001 </t>
  </si>
  <si>
    <t> D.S.Hall </t>
  </si>
  <si>
    <t>2441657.890 </t>
  </si>
  <si>
    <t> 06.12.1972 09:21 </t>
  </si>
  <si>
    <t> 0.040 </t>
  </si>
  <si>
    <t> B.Baldwin </t>
  </si>
  <si>
    <t>2442113.600 </t>
  </si>
  <si>
    <t> 07.03.1974 02:24 </t>
  </si>
  <si>
    <t> 0.022 </t>
  </si>
  <si>
    <t>2442708.793 </t>
  </si>
  <si>
    <t> 23.10.1975 07:01 </t>
  </si>
  <si>
    <t> -0.021 </t>
  </si>
  <si>
    <t> T.Stulinger </t>
  </si>
  <si>
    <t>2442736.713 </t>
  </si>
  <si>
    <t> 20.11.1975 05:06 </t>
  </si>
  <si>
    <t>2442792.521 </t>
  </si>
  <si>
    <t> 15.01.1976 00:30 </t>
  </si>
  <si>
    <t> 0.002 </t>
  </si>
  <si>
    <t> M.Cerruti-Sola </t>
  </si>
  <si>
    <t>IBVS 1174 </t>
  </si>
  <si>
    <t>2442820.419 </t>
  </si>
  <si>
    <t> 11.02.1976 22:03 </t>
  </si>
  <si>
    <t> -0.002 </t>
  </si>
  <si>
    <t>2443908.582 </t>
  </si>
  <si>
    <t> 04.02.1979 01:58 </t>
  </si>
  <si>
    <t> -0.005 </t>
  </si>
  <si>
    <t> J.Silhan </t>
  </si>
  <si>
    <t> BRNO 23 </t>
  </si>
  <si>
    <t>2444215.490 </t>
  </si>
  <si>
    <t> 07.12.1979 23:45 </t>
  </si>
  <si>
    <t> -0.016 </t>
  </si>
  <si>
    <t> D.S.Hall et al. </t>
  </si>
  <si>
    <t> AA 32.415 </t>
  </si>
  <si>
    <t>2445052.5369 </t>
  </si>
  <si>
    <t> 24.03.1982 00:53 </t>
  </si>
  <si>
    <t> -0.0202 </t>
  </si>
  <si>
    <t>B</t>
  </si>
  <si>
    <t> M.Fernandes </t>
  </si>
  <si>
    <t>BAVM 34 </t>
  </si>
  <si>
    <t>2445052.55 </t>
  </si>
  <si>
    <t> 24.03.1982 01:12 </t>
  </si>
  <si>
    <t> T.Brelstaff </t>
  </si>
  <si>
    <t> VSSC 60.21 </t>
  </si>
  <si>
    <t>2446475.543 </t>
  </si>
  <si>
    <t> 14.02.1986 01:01 </t>
  </si>
  <si>
    <t> BRNO 28 </t>
  </si>
  <si>
    <t>2451218.77 </t>
  </si>
  <si>
    <t> 09.02.1999 06:28 </t>
  </si>
  <si>
    <t> -0.06 </t>
  </si>
  <si>
    <t> R.Meyer </t>
  </si>
  <si>
    <t>BAVM 122 </t>
  </si>
  <si>
    <t>2452716.121 </t>
  </si>
  <si>
    <t> 17.03.2003 14:54 </t>
  </si>
  <si>
    <t> -0.103 </t>
  </si>
  <si>
    <t>BAVM 171 </t>
  </si>
  <si>
    <t>2454083.284 </t>
  </si>
  <si>
    <t> 13.12.2006 18:48 </t>
  </si>
  <si>
    <t> -0.124 </t>
  </si>
  <si>
    <t>BAVM 192 </t>
  </si>
  <si>
    <t>2455943.3217 </t>
  </si>
  <si>
    <t> 16.01.2012 19:43 </t>
  </si>
  <si>
    <t> -0.1994 </t>
  </si>
  <si>
    <t>C </t>
  </si>
  <si>
    <t>-I</t>
  </si>
  <si>
    <t> P.Frank </t>
  </si>
  <si>
    <t>BAVM 228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</si>
</sst>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4"/>
      <name val="Arial"/>
      <family val="2"/>
    </font>
    <font>
      <b/>
      <sz val="10"/>
      <color indexed="13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5" fillId="0" borderId="1" applyNumberFormat="0" applyFont="0" applyFill="0" applyAlignment="0" applyProtection="0"/>
  </cellStyleXfs>
  <cellXfs count="7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3" fillId="0" borderId="0" xfId="0" applyFont="1" applyAlignment="1">
      <alignment vertical="center"/>
    </xf>
    <xf numFmtId="0" fontId="10" fillId="0" borderId="0" xfId="0" applyFont="1" applyAlignment="1"/>
    <xf numFmtId="0" fontId="14" fillId="0" borderId="0" xfId="0" applyFont="1" applyAlignme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5" xfId="0" applyBorder="1" applyAlignment="1"/>
    <xf numFmtId="0" fontId="0" fillId="0" borderId="6" xfId="0" applyBorder="1" applyAlignment="1"/>
    <xf numFmtId="11" fontId="0" fillId="0" borderId="0" xfId="0" applyNumberFormat="1" applyAlignment="1"/>
    <xf numFmtId="0" fontId="0" fillId="0" borderId="7" xfId="0" applyBorder="1" applyAlignment="1"/>
    <xf numFmtId="0" fontId="11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3" fillId="0" borderId="0" xfId="0" applyFont="1" applyAlignment="1"/>
    <xf numFmtId="14" fontId="19" fillId="0" borderId="0" xfId="0" applyNumberFormat="1" applyFont="1" applyAlignment="1"/>
    <xf numFmtId="0" fontId="19" fillId="0" borderId="0" xfId="0" applyFont="1" applyAlignment="1"/>
    <xf numFmtId="0" fontId="20" fillId="0" borderId="0" xfId="0" applyFont="1" applyAlignment="1"/>
    <xf numFmtId="0" fontId="0" fillId="2" borderId="0" xfId="0" applyFill="1" applyAlignment="1"/>
    <xf numFmtId="0" fontId="21" fillId="2" borderId="0" xfId="0" applyFont="1" applyFill="1" applyAlignment="1"/>
    <xf numFmtId="0" fontId="6" fillId="2" borderId="0" xfId="0" applyFont="1" applyFill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22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23" fillId="0" borderId="0" xfId="7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3" borderId="18" xfId="0" applyFont="1" applyFill="1" applyBorder="1" applyAlignment="1">
      <alignment horizontal="left" vertical="top" wrapText="1" indent="1"/>
    </xf>
    <xf numFmtId="0" fontId="5" fillId="3" borderId="18" xfId="0" applyFont="1" applyFill="1" applyBorder="1" applyAlignment="1">
      <alignment horizontal="center" vertical="top" wrapText="1"/>
    </xf>
    <xf numFmtId="0" fontId="5" fillId="3" borderId="18" xfId="0" applyFont="1" applyFill="1" applyBorder="1" applyAlignment="1">
      <alignment horizontal="right" vertical="top" wrapText="1"/>
    </xf>
    <xf numFmtId="0" fontId="23" fillId="3" borderId="18" xfId="7" applyFill="1" applyBorder="1" applyAlignment="1" applyProtection="1">
      <alignment horizontal="right" vertical="top" wrapText="1"/>
    </xf>
    <xf numFmtId="0" fontId="24" fillId="0" borderId="0" xfId="0" applyFont="1" applyAlignment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RY Gem - O-C Diagr.</a:t>
            </a:r>
          </a:p>
        </c:rich>
      </c:tx>
      <c:layout>
        <c:manualLayout>
          <c:xMode val="edge"/>
          <c:yMode val="edge"/>
          <c:x val="0.3819548872180451"/>
          <c:y val="3.4883720930232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3953488372093023"/>
          <c:w val="0.83007518796992485"/>
          <c:h val="0.648255813953488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-3708</c:v>
                </c:pt>
                <c:pt idx="1">
                  <c:v>-3117</c:v>
                </c:pt>
                <c:pt idx="2">
                  <c:v>-3090</c:v>
                </c:pt>
                <c:pt idx="3">
                  <c:v>-3086</c:v>
                </c:pt>
                <c:pt idx="4">
                  <c:v>-2997</c:v>
                </c:pt>
                <c:pt idx="5">
                  <c:v>-2884</c:v>
                </c:pt>
                <c:pt idx="6">
                  <c:v>-2690</c:v>
                </c:pt>
                <c:pt idx="7">
                  <c:v>-2653</c:v>
                </c:pt>
                <c:pt idx="8">
                  <c:v>-2648</c:v>
                </c:pt>
                <c:pt idx="9">
                  <c:v>-2647</c:v>
                </c:pt>
                <c:pt idx="10">
                  <c:v>-2623</c:v>
                </c:pt>
                <c:pt idx="11">
                  <c:v>-2612</c:v>
                </c:pt>
                <c:pt idx="12">
                  <c:v>-2608</c:v>
                </c:pt>
                <c:pt idx="13">
                  <c:v>-2367</c:v>
                </c:pt>
                <c:pt idx="14">
                  <c:v>-2178</c:v>
                </c:pt>
                <c:pt idx="15">
                  <c:v>-1703</c:v>
                </c:pt>
                <c:pt idx="16">
                  <c:v>-1636</c:v>
                </c:pt>
                <c:pt idx="17">
                  <c:v>-1486</c:v>
                </c:pt>
                <c:pt idx="18">
                  <c:v>-1484</c:v>
                </c:pt>
                <c:pt idx="19">
                  <c:v>-1480</c:v>
                </c:pt>
                <c:pt idx="20">
                  <c:v>-1477</c:v>
                </c:pt>
                <c:pt idx="21">
                  <c:v>-1407</c:v>
                </c:pt>
                <c:pt idx="22">
                  <c:v>-1388</c:v>
                </c:pt>
                <c:pt idx="23">
                  <c:v>-1373</c:v>
                </c:pt>
                <c:pt idx="24">
                  <c:v>-1369</c:v>
                </c:pt>
                <c:pt idx="25">
                  <c:v>-1368</c:v>
                </c:pt>
                <c:pt idx="26">
                  <c:v>-1366</c:v>
                </c:pt>
                <c:pt idx="27">
                  <c:v>-1303</c:v>
                </c:pt>
                <c:pt idx="28">
                  <c:v>-1166</c:v>
                </c:pt>
                <c:pt idx="29">
                  <c:v>-1117</c:v>
                </c:pt>
                <c:pt idx="30">
                  <c:v>-1053</c:v>
                </c:pt>
                <c:pt idx="31">
                  <c:v>-1050</c:v>
                </c:pt>
                <c:pt idx="32">
                  <c:v>-1044</c:v>
                </c:pt>
                <c:pt idx="33">
                  <c:v>-1041</c:v>
                </c:pt>
                <c:pt idx="34">
                  <c:v>-924</c:v>
                </c:pt>
                <c:pt idx="35">
                  <c:v>-891</c:v>
                </c:pt>
                <c:pt idx="36">
                  <c:v>-801</c:v>
                </c:pt>
                <c:pt idx="37">
                  <c:v>-801</c:v>
                </c:pt>
                <c:pt idx="38">
                  <c:v>-648</c:v>
                </c:pt>
                <c:pt idx="39">
                  <c:v>-138</c:v>
                </c:pt>
                <c:pt idx="40">
                  <c:v>0</c:v>
                </c:pt>
                <c:pt idx="41">
                  <c:v>23</c:v>
                </c:pt>
                <c:pt idx="42">
                  <c:v>170</c:v>
                </c:pt>
                <c:pt idx="43">
                  <c:v>370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23">
                  <c:v>-3.1889999998384155E-2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EF-4627-B1FE-4D2101DECCA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-3708</c:v>
                </c:pt>
                <c:pt idx="1">
                  <c:v>-3117</c:v>
                </c:pt>
                <c:pt idx="2">
                  <c:v>-3090</c:v>
                </c:pt>
                <c:pt idx="3">
                  <c:v>-3086</c:v>
                </c:pt>
                <c:pt idx="4">
                  <c:v>-2997</c:v>
                </c:pt>
                <c:pt idx="5">
                  <c:v>-2884</c:v>
                </c:pt>
                <c:pt idx="6">
                  <c:v>-2690</c:v>
                </c:pt>
                <c:pt idx="7">
                  <c:v>-2653</c:v>
                </c:pt>
                <c:pt idx="8">
                  <c:v>-2648</c:v>
                </c:pt>
                <c:pt idx="9">
                  <c:v>-2647</c:v>
                </c:pt>
                <c:pt idx="10">
                  <c:v>-2623</c:v>
                </c:pt>
                <c:pt idx="11">
                  <c:v>-2612</c:v>
                </c:pt>
                <c:pt idx="12">
                  <c:v>-2608</c:v>
                </c:pt>
                <c:pt idx="13">
                  <c:v>-2367</c:v>
                </c:pt>
                <c:pt idx="14">
                  <c:v>-2178</c:v>
                </c:pt>
                <c:pt idx="15">
                  <c:v>-1703</c:v>
                </c:pt>
                <c:pt idx="16">
                  <c:v>-1636</c:v>
                </c:pt>
                <c:pt idx="17">
                  <c:v>-1486</c:v>
                </c:pt>
                <c:pt idx="18">
                  <c:v>-1484</c:v>
                </c:pt>
                <c:pt idx="19">
                  <c:v>-1480</c:v>
                </c:pt>
                <c:pt idx="20">
                  <c:v>-1477</c:v>
                </c:pt>
                <c:pt idx="21">
                  <c:v>-1407</c:v>
                </c:pt>
                <c:pt idx="22">
                  <c:v>-1388</c:v>
                </c:pt>
                <c:pt idx="23">
                  <c:v>-1373</c:v>
                </c:pt>
                <c:pt idx="24">
                  <c:v>-1369</c:v>
                </c:pt>
                <c:pt idx="25">
                  <c:v>-1368</c:v>
                </c:pt>
                <c:pt idx="26">
                  <c:v>-1366</c:v>
                </c:pt>
                <c:pt idx="27">
                  <c:v>-1303</c:v>
                </c:pt>
                <c:pt idx="28">
                  <c:v>-1166</c:v>
                </c:pt>
                <c:pt idx="29">
                  <c:v>-1117</c:v>
                </c:pt>
                <c:pt idx="30">
                  <c:v>-1053</c:v>
                </c:pt>
                <c:pt idx="31">
                  <c:v>-1050</c:v>
                </c:pt>
                <c:pt idx="32">
                  <c:v>-1044</c:v>
                </c:pt>
                <c:pt idx="33">
                  <c:v>-1041</c:v>
                </c:pt>
                <c:pt idx="34">
                  <c:v>-924</c:v>
                </c:pt>
                <c:pt idx="35">
                  <c:v>-891</c:v>
                </c:pt>
                <c:pt idx="36">
                  <c:v>-801</c:v>
                </c:pt>
                <c:pt idx="37">
                  <c:v>-801</c:v>
                </c:pt>
                <c:pt idx="38">
                  <c:v>-648</c:v>
                </c:pt>
                <c:pt idx="39">
                  <c:v>-138</c:v>
                </c:pt>
                <c:pt idx="40">
                  <c:v>0</c:v>
                </c:pt>
                <c:pt idx="41">
                  <c:v>23</c:v>
                </c:pt>
                <c:pt idx="42">
                  <c:v>170</c:v>
                </c:pt>
                <c:pt idx="43">
                  <c:v>370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4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EF-4627-B1FE-4D2101DECCA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-3708</c:v>
                </c:pt>
                <c:pt idx="1">
                  <c:v>-3117</c:v>
                </c:pt>
                <c:pt idx="2">
                  <c:v>-3090</c:v>
                </c:pt>
                <c:pt idx="3">
                  <c:v>-3086</c:v>
                </c:pt>
                <c:pt idx="4">
                  <c:v>-2997</c:v>
                </c:pt>
                <c:pt idx="5">
                  <c:v>-2884</c:v>
                </c:pt>
                <c:pt idx="6">
                  <c:v>-2690</c:v>
                </c:pt>
                <c:pt idx="7">
                  <c:v>-2653</c:v>
                </c:pt>
                <c:pt idx="8">
                  <c:v>-2648</c:v>
                </c:pt>
                <c:pt idx="9">
                  <c:v>-2647</c:v>
                </c:pt>
                <c:pt idx="10">
                  <c:v>-2623</c:v>
                </c:pt>
                <c:pt idx="11">
                  <c:v>-2612</c:v>
                </c:pt>
                <c:pt idx="12">
                  <c:v>-2608</c:v>
                </c:pt>
                <c:pt idx="13">
                  <c:v>-2367</c:v>
                </c:pt>
                <c:pt idx="14">
                  <c:v>-2178</c:v>
                </c:pt>
                <c:pt idx="15">
                  <c:v>-1703</c:v>
                </c:pt>
                <c:pt idx="16">
                  <c:v>-1636</c:v>
                </c:pt>
                <c:pt idx="17">
                  <c:v>-1486</c:v>
                </c:pt>
                <c:pt idx="18">
                  <c:v>-1484</c:v>
                </c:pt>
                <c:pt idx="19">
                  <c:v>-1480</c:v>
                </c:pt>
                <c:pt idx="20">
                  <c:v>-1477</c:v>
                </c:pt>
                <c:pt idx="21">
                  <c:v>-1407</c:v>
                </c:pt>
                <c:pt idx="22">
                  <c:v>-1388</c:v>
                </c:pt>
                <c:pt idx="23">
                  <c:v>-1373</c:v>
                </c:pt>
                <c:pt idx="24">
                  <c:v>-1369</c:v>
                </c:pt>
                <c:pt idx="25">
                  <c:v>-1368</c:v>
                </c:pt>
                <c:pt idx="26">
                  <c:v>-1366</c:v>
                </c:pt>
                <c:pt idx="27">
                  <c:v>-1303</c:v>
                </c:pt>
                <c:pt idx="28">
                  <c:v>-1166</c:v>
                </c:pt>
                <c:pt idx="29">
                  <c:v>-1117</c:v>
                </c:pt>
                <c:pt idx="30">
                  <c:v>-1053</c:v>
                </c:pt>
                <c:pt idx="31">
                  <c:v>-1050</c:v>
                </c:pt>
                <c:pt idx="32">
                  <c:v>-1044</c:v>
                </c:pt>
                <c:pt idx="33">
                  <c:v>-1041</c:v>
                </c:pt>
                <c:pt idx="34">
                  <c:v>-924</c:v>
                </c:pt>
                <c:pt idx="35">
                  <c:v>-891</c:v>
                </c:pt>
                <c:pt idx="36">
                  <c:v>-801</c:v>
                </c:pt>
                <c:pt idx="37">
                  <c:v>-801</c:v>
                </c:pt>
                <c:pt idx="38">
                  <c:v>-648</c:v>
                </c:pt>
                <c:pt idx="39">
                  <c:v>-138</c:v>
                </c:pt>
                <c:pt idx="40">
                  <c:v>0</c:v>
                </c:pt>
                <c:pt idx="41">
                  <c:v>23</c:v>
                </c:pt>
                <c:pt idx="42">
                  <c:v>170</c:v>
                </c:pt>
                <c:pt idx="43">
                  <c:v>370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-0.48800999999730266</c:v>
                </c:pt>
                <c:pt idx="2">
                  <c:v>-0.47769999999945867</c:v>
                </c:pt>
                <c:pt idx="5">
                  <c:v>-0.40551999999661348</c:v>
                </c:pt>
                <c:pt idx="15">
                  <c:v>-0.17558999999891967</c:v>
                </c:pt>
                <c:pt idx="16">
                  <c:v>-0.14108000000123866</c:v>
                </c:pt>
                <c:pt idx="27">
                  <c:v>-2.6589999994030222E-2</c:v>
                </c:pt>
                <c:pt idx="28">
                  <c:v>2.8019999997923151E-2</c:v>
                </c:pt>
                <c:pt idx="29">
                  <c:v>1.4990000003308523E-2</c:v>
                </c:pt>
                <c:pt idx="30">
                  <c:v>-2.208999999857042E-2</c:v>
                </c:pt>
                <c:pt idx="31">
                  <c:v>-3.4999999916180968E-3</c:v>
                </c:pt>
                <c:pt idx="34">
                  <c:v>6.2800000014249235E-3</c:v>
                </c:pt>
                <c:pt idx="35">
                  <c:v>-1.2300000016693957E-3</c:v>
                </c:pt>
                <c:pt idx="36">
                  <c:v>3.3699999985401519E-3</c:v>
                </c:pt>
                <c:pt idx="37">
                  <c:v>1.6470000002300367E-2</c:v>
                </c:pt>
                <c:pt idx="38">
                  <c:v>3.7559999997029081E-2</c:v>
                </c:pt>
                <c:pt idx="39">
                  <c:v>2.4859999997715931E-2</c:v>
                </c:pt>
                <c:pt idx="41">
                  <c:v>1.8999999883817509E-4</c:v>
                </c:pt>
                <c:pt idx="42">
                  <c:v>-5.8999999964726157E-3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4EF-4627-B1FE-4D2101DECCA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-3708</c:v>
                </c:pt>
                <c:pt idx="1">
                  <c:v>-3117</c:v>
                </c:pt>
                <c:pt idx="2">
                  <c:v>-3090</c:v>
                </c:pt>
                <c:pt idx="3">
                  <c:v>-3086</c:v>
                </c:pt>
                <c:pt idx="4">
                  <c:v>-2997</c:v>
                </c:pt>
                <c:pt idx="5">
                  <c:v>-2884</c:v>
                </c:pt>
                <c:pt idx="6">
                  <c:v>-2690</c:v>
                </c:pt>
                <c:pt idx="7">
                  <c:v>-2653</c:v>
                </c:pt>
                <c:pt idx="8">
                  <c:v>-2648</c:v>
                </c:pt>
                <c:pt idx="9">
                  <c:v>-2647</c:v>
                </c:pt>
                <c:pt idx="10">
                  <c:v>-2623</c:v>
                </c:pt>
                <c:pt idx="11">
                  <c:v>-2612</c:v>
                </c:pt>
                <c:pt idx="12">
                  <c:v>-2608</c:v>
                </c:pt>
                <c:pt idx="13">
                  <c:v>-2367</c:v>
                </c:pt>
                <c:pt idx="14">
                  <c:v>-2178</c:v>
                </c:pt>
                <c:pt idx="15">
                  <c:v>-1703</c:v>
                </c:pt>
                <c:pt idx="16">
                  <c:v>-1636</c:v>
                </c:pt>
                <c:pt idx="17">
                  <c:v>-1486</c:v>
                </c:pt>
                <c:pt idx="18">
                  <c:v>-1484</c:v>
                </c:pt>
                <c:pt idx="19">
                  <c:v>-1480</c:v>
                </c:pt>
                <c:pt idx="20">
                  <c:v>-1477</c:v>
                </c:pt>
                <c:pt idx="21">
                  <c:v>-1407</c:v>
                </c:pt>
                <c:pt idx="22">
                  <c:v>-1388</c:v>
                </c:pt>
                <c:pt idx="23">
                  <c:v>-1373</c:v>
                </c:pt>
                <c:pt idx="24">
                  <c:v>-1369</c:v>
                </c:pt>
                <c:pt idx="25">
                  <c:v>-1368</c:v>
                </c:pt>
                <c:pt idx="26">
                  <c:v>-1366</c:v>
                </c:pt>
                <c:pt idx="27">
                  <c:v>-1303</c:v>
                </c:pt>
                <c:pt idx="28">
                  <c:v>-1166</c:v>
                </c:pt>
                <c:pt idx="29">
                  <c:v>-1117</c:v>
                </c:pt>
                <c:pt idx="30">
                  <c:v>-1053</c:v>
                </c:pt>
                <c:pt idx="31">
                  <c:v>-1050</c:v>
                </c:pt>
                <c:pt idx="32">
                  <c:v>-1044</c:v>
                </c:pt>
                <c:pt idx="33">
                  <c:v>-1041</c:v>
                </c:pt>
                <c:pt idx="34">
                  <c:v>-924</c:v>
                </c:pt>
                <c:pt idx="35">
                  <c:v>-891</c:v>
                </c:pt>
                <c:pt idx="36">
                  <c:v>-801</c:v>
                </c:pt>
                <c:pt idx="37">
                  <c:v>-801</c:v>
                </c:pt>
                <c:pt idx="38">
                  <c:v>-648</c:v>
                </c:pt>
                <c:pt idx="39">
                  <c:v>-138</c:v>
                </c:pt>
                <c:pt idx="40">
                  <c:v>0</c:v>
                </c:pt>
                <c:pt idx="41">
                  <c:v>23</c:v>
                </c:pt>
                <c:pt idx="42">
                  <c:v>170</c:v>
                </c:pt>
                <c:pt idx="43">
                  <c:v>370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-0.74723999999696389</c:v>
                </c:pt>
                <c:pt idx="3">
                  <c:v>-0.47557999999844469</c:v>
                </c:pt>
                <c:pt idx="4">
                  <c:v>-0.43940999999904307</c:v>
                </c:pt>
                <c:pt idx="6">
                  <c:v>-0.30369999999675201</c:v>
                </c:pt>
                <c:pt idx="7">
                  <c:v>-0.31908999999723164</c:v>
                </c:pt>
                <c:pt idx="8">
                  <c:v>-0.30043999999907101</c:v>
                </c:pt>
                <c:pt idx="9">
                  <c:v>-0.3029099999985192</c:v>
                </c:pt>
                <c:pt idx="10">
                  <c:v>-0.30518999999549123</c:v>
                </c:pt>
                <c:pt idx="11">
                  <c:v>-0.29235999999582418</c:v>
                </c:pt>
                <c:pt idx="12">
                  <c:v>-0.28423999999722582</c:v>
                </c:pt>
                <c:pt idx="13">
                  <c:v>-0.14750999999887426</c:v>
                </c:pt>
                <c:pt idx="14">
                  <c:v>-0.11634000000049127</c:v>
                </c:pt>
                <c:pt idx="17">
                  <c:v>-1.1579999998502899E-2</c:v>
                </c:pt>
                <c:pt idx="18">
                  <c:v>-2.7519999996002298E-2</c:v>
                </c:pt>
                <c:pt idx="19">
                  <c:v>-2.9399999999441206E-2</c:v>
                </c:pt>
                <c:pt idx="20">
                  <c:v>-3.080999999656342E-2</c:v>
                </c:pt>
                <c:pt idx="21">
                  <c:v>-6.3709999994898681E-2</c:v>
                </c:pt>
                <c:pt idx="22">
                  <c:v>-5.7639999999082647E-2</c:v>
                </c:pt>
                <c:pt idx="24">
                  <c:v>3.3430000003136229E-2</c:v>
                </c:pt>
                <c:pt idx="25">
                  <c:v>-1.7039999998814892E-2</c:v>
                </c:pt>
                <c:pt idx="32">
                  <c:v>1.680000001215376E-3</c:v>
                </c:pt>
                <c:pt idx="33">
                  <c:v>-1.7299999963142909E-3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4EF-4627-B1FE-4D2101DECCA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-3708</c:v>
                </c:pt>
                <c:pt idx="1">
                  <c:v>-3117</c:v>
                </c:pt>
                <c:pt idx="2">
                  <c:v>-3090</c:v>
                </c:pt>
                <c:pt idx="3">
                  <c:v>-3086</c:v>
                </c:pt>
                <c:pt idx="4">
                  <c:v>-2997</c:v>
                </c:pt>
                <c:pt idx="5">
                  <c:v>-2884</c:v>
                </c:pt>
                <c:pt idx="6">
                  <c:v>-2690</c:v>
                </c:pt>
                <c:pt idx="7">
                  <c:v>-2653</c:v>
                </c:pt>
                <c:pt idx="8">
                  <c:v>-2648</c:v>
                </c:pt>
                <c:pt idx="9">
                  <c:v>-2647</c:v>
                </c:pt>
                <c:pt idx="10">
                  <c:v>-2623</c:v>
                </c:pt>
                <c:pt idx="11">
                  <c:v>-2612</c:v>
                </c:pt>
                <c:pt idx="12">
                  <c:v>-2608</c:v>
                </c:pt>
                <c:pt idx="13">
                  <c:v>-2367</c:v>
                </c:pt>
                <c:pt idx="14">
                  <c:v>-2178</c:v>
                </c:pt>
                <c:pt idx="15">
                  <c:v>-1703</c:v>
                </c:pt>
                <c:pt idx="16">
                  <c:v>-1636</c:v>
                </c:pt>
                <c:pt idx="17">
                  <c:v>-1486</c:v>
                </c:pt>
                <c:pt idx="18">
                  <c:v>-1484</c:v>
                </c:pt>
                <c:pt idx="19">
                  <c:v>-1480</c:v>
                </c:pt>
                <c:pt idx="20">
                  <c:v>-1477</c:v>
                </c:pt>
                <c:pt idx="21">
                  <c:v>-1407</c:v>
                </c:pt>
                <c:pt idx="22">
                  <c:v>-1388</c:v>
                </c:pt>
                <c:pt idx="23">
                  <c:v>-1373</c:v>
                </c:pt>
                <c:pt idx="24">
                  <c:v>-1369</c:v>
                </c:pt>
                <c:pt idx="25">
                  <c:v>-1368</c:v>
                </c:pt>
                <c:pt idx="26">
                  <c:v>-1366</c:v>
                </c:pt>
                <c:pt idx="27">
                  <c:v>-1303</c:v>
                </c:pt>
                <c:pt idx="28">
                  <c:v>-1166</c:v>
                </c:pt>
                <c:pt idx="29">
                  <c:v>-1117</c:v>
                </c:pt>
                <c:pt idx="30">
                  <c:v>-1053</c:v>
                </c:pt>
                <c:pt idx="31">
                  <c:v>-1050</c:v>
                </c:pt>
                <c:pt idx="32">
                  <c:v>-1044</c:v>
                </c:pt>
                <c:pt idx="33">
                  <c:v>-1041</c:v>
                </c:pt>
                <c:pt idx="34">
                  <c:v>-924</c:v>
                </c:pt>
                <c:pt idx="35">
                  <c:v>-891</c:v>
                </c:pt>
                <c:pt idx="36">
                  <c:v>-801</c:v>
                </c:pt>
                <c:pt idx="37">
                  <c:v>-801</c:v>
                </c:pt>
                <c:pt idx="38">
                  <c:v>-648</c:v>
                </c:pt>
                <c:pt idx="39">
                  <c:v>-138</c:v>
                </c:pt>
                <c:pt idx="40">
                  <c:v>0</c:v>
                </c:pt>
                <c:pt idx="41">
                  <c:v>23</c:v>
                </c:pt>
                <c:pt idx="42">
                  <c:v>170</c:v>
                </c:pt>
                <c:pt idx="43">
                  <c:v>370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43">
                  <c:v>-6.220000000030268E-2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4EF-4627-B1FE-4D2101DECCA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-3708</c:v>
                </c:pt>
                <c:pt idx="1">
                  <c:v>-3117</c:v>
                </c:pt>
                <c:pt idx="2">
                  <c:v>-3090</c:v>
                </c:pt>
                <c:pt idx="3">
                  <c:v>-3086</c:v>
                </c:pt>
                <c:pt idx="4">
                  <c:v>-2997</c:v>
                </c:pt>
                <c:pt idx="5">
                  <c:v>-2884</c:v>
                </c:pt>
                <c:pt idx="6">
                  <c:v>-2690</c:v>
                </c:pt>
                <c:pt idx="7">
                  <c:v>-2653</c:v>
                </c:pt>
                <c:pt idx="8">
                  <c:v>-2648</c:v>
                </c:pt>
                <c:pt idx="9">
                  <c:v>-2647</c:v>
                </c:pt>
                <c:pt idx="10">
                  <c:v>-2623</c:v>
                </c:pt>
                <c:pt idx="11">
                  <c:v>-2612</c:v>
                </c:pt>
                <c:pt idx="12">
                  <c:v>-2608</c:v>
                </c:pt>
                <c:pt idx="13">
                  <c:v>-2367</c:v>
                </c:pt>
                <c:pt idx="14">
                  <c:v>-2178</c:v>
                </c:pt>
                <c:pt idx="15">
                  <c:v>-1703</c:v>
                </c:pt>
                <c:pt idx="16">
                  <c:v>-1636</c:v>
                </c:pt>
                <c:pt idx="17">
                  <c:v>-1486</c:v>
                </c:pt>
                <c:pt idx="18">
                  <c:v>-1484</c:v>
                </c:pt>
                <c:pt idx="19">
                  <c:v>-1480</c:v>
                </c:pt>
                <c:pt idx="20">
                  <c:v>-1477</c:v>
                </c:pt>
                <c:pt idx="21">
                  <c:v>-1407</c:v>
                </c:pt>
                <c:pt idx="22">
                  <c:v>-1388</c:v>
                </c:pt>
                <c:pt idx="23">
                  <c:v>-1373</c:v>
                </c:pt>
                <c:pt idx="24">
                  <c:v>-1369</c:v>
                </c:pt>
                <c:pt idx="25">
                  <c:v>-1368</c:v>
                </c:pt>
                <c:pt idx="26">
                  <c:v>-1366</c:v>
                </c:pt>
                <c:pt idx="27">
                  <c:v>-1303</c:v>
                </c:pt>
                <c:pt idx="28">
                  <c:v>-1166</c:v>
                </c:pt>
                <c:pt idx="29">
                  <c:v>-1117</c:v>
                </c:pt>
                <c:pt idx="30">
                  <c:v>-1053</c:v>
                </c:pt>
                <c:pt idx="31">
                  <c:v>-1050</c:v>
                </c:pt>
                <c:pt idx="32">
                  <c:v>-1044</c:v>
                </c:pt>
                <c:pt idx="33">
                  <c:v>-1041</c:v>
                </c:pt>
                <c:pt idx="34">
                  <c:v>-924</c:v>
                </c:pt>
                <c:pt idx="35">
                  <c:v>-891</c:v>
                </c:pt>
                <c:pt idx="36">
                  <c:v>-801</c:v>
                </c:pt>
                <c:pt idx="37">
                  <c:v>-801</c:v>
                </c:pt>
                <c:pt idx="38">
                  <c:v>-648</c:v>
                </c:pt>
                <c:pt idx="39">
                  <c:v>-138</c:v>
                </c:pt>
                <c:pt idx="40">
                  <c:v>0</c:v>
                </c:pt>
                <c:pt idx="41">
                  <c:v>23</c:v>
                </c:pt>
                <c:pt idx="42">
                  <c:v>170</c:v>
                </c:pt>
                <c:pt idx="43">
                  <c:v>370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4EF-4627-B1FE-4D2101DECCA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-3708</c:v>
                </c:pt>
                <c:pt idx="1">
                  <c:v>-3117</c:v>
                </c:pt>
                <c:pt idx="2">
                  <c:v>-3090</c:v>
                </c:pt>
                <c:pt idx="3">
                  <c:v>-3086</c:v>
                </c:pt>
                <c:pt idx="4">
                  <c:v>-2997</c:v>
                </c:pt>
                <c:pt idx="5">
                  <c:v>-2884</c:v>
                </c:pt>
                <c:pt idx="6">
                  <c:v>-2690</c:v>
                </c:pt>
                <c:pt idx="7">
                  <c:v>-2653</c:v>
                </c:pt>
                <c:pt idx="8">
                  <c:v>-2648</c:v>
                </c:pt>
                <c:pt idx="9">
                  <c:v>-2647</c:v>
                </c:pt>
                <c:pt idx="10">
                  <c:v>-2623</c:v>
                </c:pt>
                <c:pt idx="11">
                  <c:v>-2612</c:v>
                </c:pt>
                <c:pt idx="12">
                  <c:v>-2608</c:v>
                </c:pt>
                <c:pt idx="13">
                  <c:v>-2367</c:v>
                </c:pt>
                <c:pt idx="14">
                  <c:v>-2178</c:v>
                </c:pt>
                <c:pt idx="15">
                  <c:v>-1703</c:v>
                </c:pt>
                <c:pt idx="16">
                  <c:v>-1636</c:v>
                </c:pt>
                <c:pt idx="17">
                  <c:v>-1486</c:v>
                </c:pt>
                <c:pt idx="18">
                  <c:v>-1484</c:v>
                </c:pt>
                <c:pt idx="19">
                  <c:v>-1480</c:v>
                </c:pt>
                <c:pt idx="20">
                  <c:v>-1477</c:v>
                </c:pt>
                <c:pt idx="21">
                  <c:v>-1407</c:v>
                </c:pt>
                <c:pt idx="22">
                  <c:v>-1388</c:v>
                </c:pt>
                <c:pt idx="23">
                  <c:v>-1373</c:v>
                </c:pt>
                <c:pt idx="24">
                  <c:v>-1369</c:v>
                </c:pt>
                <c:pt idx="25">
                  <c:v>-1368</c:v>
                </c:pt>
                <c:pt idx="26">
                  <c:v>-1366</c:v>
                </c:pt>
                <c:pt idx="27">
                  <c:v>-1303</c:v>
                </c:pt>
                <c:pt idx="28">
                  <c:v>-1166</c:v>
                </c:pt>
                <c:pt idx="29">
                  <c:v>-1117</c:v>
                </c:pt>
                <c:pt idx="30">
                  <c:v>-1053</c:v>
                </c:pt>
                <c:pt idx="31">
                  <c:v>-1050</c:v>
                </c:pt>
                <c:pt idx="32">
                  <c:v>-1044</c:v>
                </c:pt>
                <c:pt idx="33">
                  <c:v>-1041</c:v>
                </c:pt>
                <c:pt idx="34">
                  <c:v>-924</c:v>
                </c:pt>
                <c:pt idx="35">
                  <c:v>-891</c:v>
                </c:pt>
                <c:pt idx="36">
                  <c:v>-801</c:v>
                </c:pt>
                <c:pt idx="37">
                  <c:v>-801</c:v>
                </c:pt>
                <c:pt idx="38">
                  <c:v>-648</c:v>
                </c:pt>
                <c:pt idx="39">
                  <c:v>-138</c:v>
                </c:pt>
                <c:pt idx="40">
                  <c:v>0</c:v>
                </c:pt>
                <c:pt idx="41">
                  <c:v>23</c:v>
                </c:pt>
                <c:pt idx="42">
                  <c:v>170</c:v>
                </c:pt>
                <c:pt idx="43">
                  <c:v>370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4EF-4627-B1FE-4D2101DECCA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-3708</c:v>
                </c:pt>
                <c:pt idx="1">
                  <c:v>-3117</c:v>
                </c:pt>
                <c:pt idx="2">
                  <c:v>-3090</c:v>
                </c:pt>
                <c:pt idx="3">
                  <c:v>-3086</c:v>
                </c:pt>
                <c:pt idx="4">
                  <c:v>-2997</c:v>
                </c:pt>
                <c:pt idx="5">
                  <c:v>-2884</c:v>
                </c:pt>
                <c:pt idx="6">
                  <c:v>-2690</c:v>
                </c:pt>
                <c:pt idx="7">
                  <c:v>-2653</c:v>
                </c:pt>
                <c:pt idx="8">
                  <c:v>-2648</c:v>
                </c:pt>
                <c:pt idx="9">
                  <c:v>-2647</c:v>
                </c:pt>
                <c:pt idx="10">
                  <c:v>-2623</c:v>
                </c:pt>
                <c:pt idx="11">
                  <c:v>-2612</c:v>
                </c:pt>
                <c:pt idx="12">
                  <c:v>-2608</c:v>
                </c:pt>
                <c:pt idx="13">
                  <c:v>-2367</c:v>
                </c:pt>
                <c:pt idx="14">
                  <c:v>-2178</c:v>
                </c:pt>
                <c:pt idx="15">
                  <c:v>-1703</c:v>
                </c:pt>
                <c:pt idx="16">
                  <c:v>-1636</c:v>
                </c:pt>
                <c:pt idx="17">
                  <c:v>-1486</c:v>
                </c:pt>
                <c:pt idx="18">
                  <c:v>-1484</c:v>
                </c:pt>
                <c:pt idx="19">
                  <c:v>-1480</c:v>
                </c:pt>
                <c:pt idx="20">
                  <c:v>-1477</c:v>
                </c:pt>
                <c:pt idx="21">
                  <c:v>-1407</c:v>
                </c:pt>
                <c:pt idx="22">
                  <c:v>-1388</c:v>
                </c:pt>
                <c:pt idx="23">
                  <c:v>-1373</c:v>
                </c:pt>
                <c:pt idx="24">
                  <c:v>-1369</c:v>
                </c:pt>
                <c:pt idx="25">
                  <c:v>-1368</c:v>
                </c:pt>
                <c:pt idx="26">
                  <c:v>-1366</c:v>
                </c:pt>
                <c:pt idx="27">
                  <c:v>-1303</c:v>
                </c:pt>
                <c:pt idx="28">
                  <c:v>-1166</c:v>
                </c:pt>
                <c:pt idx="29">
                  <c:v>-1117</c:v>
                </c:pt>
                <c:pt idx="30">
                  <c:v>-1053</c:v>
                </c:pt>
                <c:pt idx="31">
                  <c:v>-1050</c:v>
                </c:pt>
                <c:pt idx="32">
                  <c:v>-1044</c:v>
                </c:pt>
                <c:pt idx="33">
                  <c:v>-1041</c:v>
                </c:pt>
                <c:pt idx="34">
                  <c:v>-924</c:v>
                </c:pt>
                <c:pt idx="35">
                  <c:v>-891</c:v>
                </c:pt>
                <c:pt idx="36">
                  <c:v>-801</c:v>
                </c:pt>
                <c:pt idx="37">
                  <c:v>-801</c:v>
                </c:pt>
                <c:pt idx="38">
                  <c:v>-648</c:v>
                </c:pt>
                <c:pt idx="39">
                  <c:v>-138</c:v>
                </c:pt>
                <c:pt idx="40">
                  <c:v>0</c:v>
                </c:pt>
                <c:pt idx="41">
                  <c:v>23</c:v>
                </c:pt>
                <c:pt idx="42">
                  <c:v>170</c:v>
                </c:pt>
                <c:pt idx="43">
                  <c:v>370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1">
                  <c:v>5.7835822966149659E-4</c:v>
                </c:pt>
                <c:pt idx="2">
                  <c:v>5.3658566574118702E-4</c:v>
                </c:pt>
                <c:pt idx="5">
                  <c:v>2.1787647434919847E-4</c:v>
                </c:pt>
                <c:pt idx="13">
                  <c:v>-5.8199076812487111E-4</c:v>
                </c:pt>
                <c:pt idx="15">
                  <c:v>-1.6092864141650683E-3</c:v>
                </c:pt>
                <c:pt idx="16">
                  <c:v>-1.7129442579673173E-3</c:v>
                </c:pt>
                <c:pt idx="24">
                  <c:v>-2.1260285011792637E-3</c:v>
                </c:pt>
                <c:pt idx="25">
                  <c:v>-2.1275756331763122E-3</c:v>
                </c:pt>
                <c:pt idx="26">
                  <c:v>-2.1306698971704095E-3</c:v>
                </c:pt>
                <c:pt idx="27">
                  <c:v>-2.2281392129844643E-3</c:v>
                </c:pt>
                <c:pt idx="28">
                  <c:v>-2.4400962965801074E-3</c:v>
                </c:pt>
                <c:pt idx="29">
                  <c:v>-2.5159057644354834E-3</c:v>
                </c:pt>
                <c:pt idx="30">
                  <c:v>-2.6149222122465866E-3</c:v>
                </c:pt>
                <c:pt idx="31">
                  <c:v>-2.619563608237732E-3</c:v>
                </c:pt>
                <c:pt idx="32">
                  <c:v>-2.6288464002200231E-3</c:v>
                </c:pt>
                <c:pt idx="33">
                  <c:v>-2.6334877962111685E-3</c:v>
                </c:pt>
                <c:pt idx="34">
                  <c:v>-2.8145022398658416E-3</c:v>
                </c:pt>
                <c:pt idx="35">
                  <c:v>-2.8655575957684419E-3</c:v>
                </c:pt>
                <c:pt idx="36">
                  <c:v>-3.0047994755028062E-3</c:v>
                </c:pt>
                <c:pt idx="37">
                  <c:v>-3.0047994755028062E-3</c:v>
                </c:pt>
                <c:pt idx="38">
                  <c:v>-3.241510671051225E-3</c:v>
                </c:pt>
                <c:pt idx="39">
                  <c:v>-4.0305479895459545E-3</c:v>
                </c:pt>
                <c:pt idx="40">
                  <c:v>-4.2440522051386464E-3</c:v>
                </c:pt>
                <c:pt idx="41">
                  <c:v>-4.2796362410707613E-3</c:v>
                </c:pt>
                <c:pt idx="42">
                  <c:v>-4.5070646446368897E-3</c:v>
                </c:pt>
                <c:pt idx="43">
                  <c:v>-4.8164910440465876E-3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4EF-4627-B1FE-4D2101DECCA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-3708</c:v>
                </c:pt>
                <c:pt idx="1">
                  <c:v>-3117</c:v>
                </c:pt>
                <c:pt idx="2">
                  <c:v>-3090</c:v>
                </c:pt>
                <c:pt idx="3">
                  <c:v>-3086</c:v>
                </c:pt>
                <c:pt idx="4">
                  <c:v>-2997</c:v>
                </c:pt>
                <c:pt idx="5">
                  <c:v>-2884</c:v>
                </c:pt>
                <c:pt idx="6">
                  <c:v>-2690</c:v>
                </c:pt>
                <c:pt idx="7">
                  <c:v>-2653</c:v>
                </c:pt>
                <c:pt idx="8">
                  <c:v>-2648</c:v>
                </c:pt>
                <c:pt idx="9">
                  <c:v>-2647</c:v>
                </c:pt>
                <c:pt idx="10">
                  <c:v>-2623</c:v>
                </c:pt>
                <c:pt idx="11">
                  <c:v>-2612</c:v>
                </c:pt>
                <c:pt idx="12">
                  <c:v>-2608</c:v>
                </c:pt>
                <c:pt idx="13">
                  <c:v>-2367</c:v>
                </c:pt>
                <c:pt idx="14">
                  <c:v>-2178</c:v>
                </c:pt>
                <c:pt idx="15">
                  <c:v>-1703</c:v>
                </c:pt>
                <c:pt idx="16">
                  <c:v>-1636</c:v>
                </c:pt>
                <c:pt idx="17">
                  <c:v>-1486</c:v>
                </c:pt>
                <c:pt idx="18">
                  <c:v>-1484</c:v>
                </c:pt>
                <c:pt idx="19">
                  <c:v>-1480</c:v>
                </c:pt>
                <c:pt idx="20">
                  <c:v>-1477</c:v>
                </c:pt>
                <c:pt idx="21">
                  <c:v>-1407</c:v>
                </c:pt>
                <c:pt idx="22">
                  <c:v>-1388</c:v>
                </c:pt>
                <c:pt idx="23">
                  <c:v>-1373</c:v>
                </c:pt>
                <c:pt idx="24">
                  <c:v>-1369</c:v>
                </c:pt>
                <c:pt idx="25">
                  <c:v>-1368</c:v>
                </c:pt>
                <c:pt idx="26">
                  <c:v>-1366</c:v>
                </c:pt>
                <c:pt idx="27">
                  <c:v>-1303</c:v>
                </c:pt>
                <c:pt idx="28">
                  <c:v>-1166</c:v>
                </c:pt>
                <c:pt idx="29">
                  <c:v>-1117</c:v>
                </c:pt>
                <c:pt idx="30">
                  <c:v>-1053</c:v>
                </c:pt>
                <c:pt idx="31">
                  <c:v>-1050</c:v>
                </c:pt>
                <c:pt idx="32">
                  <c:v>-1044</c:v>
                </c:pt>
                <c:pt idx="33">
                  <c:v>-1041</c:v>
                </c:pt>
                <c:pt idx="34">
                  <c:v>-924</c:v>
                </c:pt>
                <c:pt idx="35">
                  <c:v>-891</c:v>
                </c:pt>
                <c:pt idx="36">
                  <c:v>-801</c:v>
                </c:pt>
                <c:pt idx="37">
                  <c:v>-801</c:v>
                </c:pt>
                <c:pt idx="38">
                  <c:v>-648</c:v>
                </c:pt>
                <c:pt idx="39">
                  <c:v>-138</c:v>
                </c:pt>
                <c:pt idx="40">
                  <c:v>0</c:v>
                </c:pt>
                <c:pt idx="41">
                  <c:v>23</c:v>
                </c:pt>
                <c:pt idx="42">
                  <c:v>170</c:v>
                </c:pt>
                <c:pt idx="43">
                  <c:v>370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26">
                  <c:v>1.0150200000061886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4EF-4627-B1FE-4D2101DECCAE}"/>
            </c:ext>
          </c:extLst>
        </c:ser>
        <c:ser>
          <c:idx val="9"/>
          <c:order val="9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Active!$V$2:$V$26</c:f>
              <c:numCache>
                <c:formatCode>General</c:formatCode>
                <c:ptCount val="25"/>
                <c:pt idx="0">
                  <c:v>-4000</c:v>
                </c:pt>
                <c:pt idx="1">
                  <c:v>-3800</c:v>
                </c:pt>
                <c:pt idx="2">
                  <c:v>-3600</c:v>
                </c:pt>
                <c:pt idx="3">
                  <c:v>-3400</c:v>
                </c:pt>
                <c:pt idx="4">
                  <c:v>-3200</c:v>
                </c:pt>
                <c:pt idx="5">
                  <c:v>-3000</c:v>
                </c:pt>
                <c:pt idx="6">
                  <c:v>-2800</c:v>
                </c:pt>
                <c:pt idx="7">
                  <c:v>-2600</c:v>
                </c:pt>
                <c:pt idx="8">
                  <c:v>-2400</c:v>
                </c:pt>
                <c:pt idx="9">
                  <c:v>-2200</c:v>
                </c:pt>
                <c:pt idx="10">
                  <c:v>-2000</c:v>
                </c:pt>
                <c:pt idx="11">
                  <c:v>-1800</c:v>
                </c:pt>
                <c:pt idx="12">
                  <c:v>-1600</c:v>
                </c:pt>
                <c:pt idx="13">
                  <c:v>-1400</c:v>
                </c:pt>
                <c:pt idx="14">
                  <c:v>-1200</c:v>
                </c:pt>
                <c:pt idx="15">
                  <c:v>-1000</c:v>
                </c:pt>
                <c:pt idx="16">
                  <c:v>-800</c:v>
                </c:pt>
                <c:pt idx="17">
                  <c:v>-600</c:v>
                </c:pt>
                <c:pt idx="18">
                  <c:v>-400</c:v>
                </c:pt>
                <c:pt idx="19">
                  <c:v>-200</c:v>
                </c:pt>
                <c:pt idx="22">
                  <c:v>0</c:v>
                </c:pt>
                <c:pt idx="23">
                  <c:v>200</c:v>
                </c:pt>
              </c:numCache>
            </c:numRef>
          </c:xVal>
          <c:yVal>
            <c:numRef>
              <c:f>Active!$W$2:$W$26</c:f>
              <c:numCache>
                <c:formatCode>General</c:formatCode>
                <c:ptCount val="25"/>
                <c:pt idx="0">
                  <c:v>-0.90249554135511401</c:v>
                </c:pt>
                <c:pt idx="1">
                  <c:v>-0.79479750609830224</c:v>
                </c:pt>
                <c:pt idx="2">
                  <c:v>-0.69374543953655399</c:v>
                </c:pt>
                <c:pt idx="3">
                  <c:v>-0.59933934166986935</c:v>
                </c:pt>
                <c:pt idx="4">
                  <c:v>-0.51157921249824811</c:v>
                </c:pt>
                <c:pt idx="5">
                  <c:v>-0.43046505202169066</c:v>
                </c:pt>
                <c:pt idx="6">
                  <c:v>-0.35599686024019656</c:v>
                </c:pt>
                <c:pt idx="7">
                  <c:v>-0.28817463715376623</c:v>
                </c:pt>
                <c:pt idx="8">
                  <c:v>-0.22699838276239925</c:v>
                </c:pt>
                <c:pt idx="9">
                  <c:v>-0.17246809706609592</c:v>
                </c:pt>
                <c:pt idx="10">
                  <c:v>-0.12458378006485615</c:v>
                </c:pt>
                <c:pt idx="11">
                  <c:v>-8.3345431758679922E-2</c:v>
                </c:pt>
                <c:pt idx="12">
                  <c:v>-4.8753052147567255E-2</c:v>
                </c:pt>
                <c:pt idx="13">
                  <c:v>-2.0806641231518125E-2</c:v>
                </c:pt>
                <c:pt idx="14">
                  <c:v>4.9380098946741335E-4</c:v>
                </c:pt>
                <c:pt idx="15">
                  <c:v>1.5148274515389401E-2</c:v>
                </c:pt>
                <c:pt idx="16">
                  <c:v>2.3156779346247845E-2</c:v>
                </c:pt>
                <c:pt idx="17">
                  <c:v>2.4519315482042725E-2</c:v>
                </c:pt>
                <c:pt idx="18">
                  <c:v>1.9235882922774047E-2</c:v>
                </c:pt>
                <c:pt idx="19">
                  <c:v>7.3064816684418211E-3</c:v>
                </c:pt>
                <c:pt idx="22">
                  <c:v>-1.1268888280953964E-2</c:v>
                </c:pt>
                <c:pt idx="23">
                  <c:v>-3.6490226925413302E-2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4EF-4627-B1FE-4D2101DEC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4294920"/>
        <c:axId val="1"/>
      </c:scatterChart>
      <c:valAx>
        <c:axId val="874294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3023255813953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4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4294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2481203007518797"/>
          <c:y val="0.92441860465116277"/>
          <c:w val="0.86917293233082704"/>
          <c:h val="5.81395348837209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RY Gem - O-C Diagr.</a:t>
            </a:r>
          </a:p>
        </c:rich>
      </c:tx>
      <c:layout>
        <c:manualLayout>
          <c:xMode val="edge"/>
          <c:yMode val="edge"/>
          <c:x val="0.38138201193319299"/>
          <c:y val="3.4782608695652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2480736323339"/>
          <c:y val="0.13913082860855019"/>
          <c:w val="0.83033154785383212"/>
          <c:h val="0.649277200173234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-3708</c:v>
                </c:pt>
                <c:pt idx="1">
                  <c:v>-3117</c:v>
                </c:pt>
                <c:pt idx="2">
                  <c:v>-3090</c:v>
                </c:pt>
                <c:pt idx="3">
                  <c:v>-3086</c:v>
                </c:pt>
                <c:pt idx="4">
                  <c:v>-2997</c:v>
                </c:pt>
                <c:pt idx="5">
                  <c:v>-2884</c:v>
                </c:pt>
                <c:pt idx="6">
                  <c:v>-2690</c:v>
                </c:pt>
                <c:pt idx="7">
                  <c:v>-2653</c:v>
                </c:pt>
                <c:pt idx="8">
                  <c:v>-2648</c:v>
                </c:pt>
                <c:pt idx="9">
                  <c:v>-2647</c:v>
                </c:pt>
                <c:pt idx="10">
                  <c:v>-2623</c:v>
                </c:pt>
                <c:pt idx="11">
                  <c:v>-2612</c:v>
                </c:pt>
                <c:pt idx="12">
                  <c:v>-2608</c:v>
                </c:pt>
                <c:pt idx="13">
                  <c:v>-2367</c:v>
                </c:pt>
                <c:pt idx="14">
                  <c:v>-2178</c:v>
                </c:pt>
                <c:pt idx="15">
                  <c:v>-1703</c:v>
                </c:pt>
                <c:pt idx="16">
                  <c:v>-1636</c:v>
                </c:pt>
                <c:pt idx="17">
                  <c:v>-1486</c:v>
                </c:pt>
                <c:pt idx="18">
                  <c:v>-1484</c:v>
                </c:pt>
                <c:pt idx="19">
                  <c:v>-1480</c:v>
                </c:pt>
                <c:pt idx="20">
                  <c:v>-1477</c:v>
                </c:pt>
                <c:pt idx="21">
                  <c:v>-1407</c:v>
                </c:pt>
                <c:pt idx="22">
                  <c:v>-1388</c:v>
                </c:pt>
                <c:pt idx="23">
                  <c:v>-1373</c:v>
                </c:pt>
                <c:pt idx="24">
                  <c:v>-1369</c:v>
                </c:pt>
                <c:pt idx="25">
                  <c:v>-1368</c:v>
                </c:pt>
                <c:pt idx="26">
                  <c:v>-1366</c:v>
                </c:pt>
                <c:pt idx="27">
                  <c:v>-1303</c:v>
                </c:pt>
                <c:pt idx="28">
                  <c:v>-1166</c:v>
                </c:pt>
                <c:pt idx="29">
                  <c:v>-1117</c:v>
                </c:pt>
                <c:pt idx="30">
                  <c:v>-1053</c:v>
                </c:pt>
                <c:pt idx="31">
                  <c:v>-1050</c:v>
                </c:pt>
                <c:pt idx="32">
                  <c:v>-1044</c:v>
                </c:pt>
                <c:pt idx="33">
                  <c:v>-1041</c:v>
                </c:pt>
                <c:pt idx="34">
                  <c:v>-924</c:v>
                </c:pt>
                <c:pt idx="35">
                  <c:v>-891</c:v>
                </c:pt>
                <c:pt idx="36">
                  <c:v>-801</c:v>
                </c:pt>
                <c:pt idx="37">
                  <c:v>-801</c:v>
                </c:pt>
                <c:pt idx="38">
                  <c:v>-648</c:v>
                </c:pt>
                <c:pt idx="39">
                  <c:v>-138</c:v>
                </c:pt>
                <c:pt idx="40">
                  <c:v>0</c:v>
                </c:pt>
                <c:pt idx="41">
                  <c:v>23</c:v>
                </c:pt>
                <c:pt idx="42">
                  <c:v>170</c:v>
                </c:pt>
                <c:pt idx="43">
                  <c:v>370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23">
                  <c:v>-3.1889999998384155E-2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D8-46AB-A3E9-7A6F42456D0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-3708</c:v>
                </c:pt>
                <c:pt idx="1">
                  <c:v>-3117</c:v>
                </c:pt>
                <c:pt idx="2">
                  <c:v>-3090</c:v>
                </c:pt>
                <c:pt idx="3">
                  <c:v>-3086</c:v>
                </c:pt>
                <c:pt idx="4">
                  <c:v>-2997</c:v>
                </c:pt>
                <c:pt idx="5">
                  <c:v>-2884</c:v>
                </c:pt>
                <c:pt idx="6">
                  <c:v>-2690</c:v>
                </c:pt>
                <c:pt idx="7">
                  <c:v>-2653</c:v>
                </c:pt>
                <c:pt idx="8">
                  <c:v>-2648</c:v>
                </c:pt>
                <c:pt idx="9">
                  <c:v>-2647</c:v>
                </c:pt>
                <c:pt idx="10">
                  <c:v>-2623</c:v>
                </c:pt>
                <c:pt idx="11">
                  <c:v>-2612</c:v>
                </c:pt>
                <c:pt idx="12">
                  <c:v>-2608</c:v>
                </c:pt>
                <c:pt idx="13">
                  <c:v>-2367</c:v>
                </c:pt>
                <c:pt idx="14">
                  <c:v>-2178</c:v>
                </c:pt>
                <c:pt idx="15">
                  <c:v>-1703</c:v>
                </c:pt>
                <c:pt idx="16">
                  <c:v>-1636</c:v>
                </c:pt>
                <c:pt idx="17">
                  <c:v>-1486</c:v>
                </c:pt>
                <c:pt idx="18">
                  <c:v>-1484</c:v>
                </c:pt>
                <c:pt idx="19">
                  <c:v>-1480</c:v>
                </c:pt>
                <c:pt idx="20">
                  <c:v>-1477</c:v>
                </c:pt>
                <c:pt idx="21">
                  <c:v>-1407</c:v>
                </c:pt>
                <c:pt idx="22">
                  <c:v>-1388</c:v>
                </c:pt>
                <c:pt idx="23">
                  <c:v>-1373</c:v>
                </c:pt>
                <c:pt idx="24">
                  <c:v>-1369</c:v>
                </c:pt>
                <c:pt idx="25">
                  <c:v>-1368</c:v>
                </c:pt>
                <c:pt idx="26">
                  <c:v>-1366</c:v>
                </c:pt>
                <c:pt idx="27">
                  <c:v>-1303</c:v>
                </c:pt>
                <c:pt idx="28">
                  <c:v>-1166</c:v>
                </c:pt>
                <c:pt idx="29">
                  <c:v>-1117</c:v>
                </c:pt>
                <c:pt idx="30">
                  <c:v>-1053</c:v>
                </c:pt>
                <c:pt idx="31">
                  <c:v>-1050</c:v>
                </c:pt>
                <c:pt idx="32">
                  <c:v>-1044</c:v>
                </c:pt>
                <c:pt idx="33">
                  <c:v>-1041</c:v>
                </c:pt>
                <c:pt idx="34">
                  <c:v>-924</c:v>
                </c:pt>
                <c:pt idx="35">
                  <c:v>-891</c:v>
                </c:pt>
                <c:pt idx="36">
                  <c:v>-801</c:v>
                </c:pt>
                <c:pt idx="37">
                  <c:v>-801</c:v>
                </c:pt>
                <c:pt idx="38">
                  <c:v>-648</c:v>
                </c:pt>
                <c:pt idx="39">
                  <c:v>-138</c:v>
                </c:pt>
                <c:pt idx="40">
                  <c:v>0</c:v>
                </c:pt>
                <c:pt idx="41">
                  <c:v>23</c:v>
                </c:pt>
                <c:pt idx="42">
                  <c:v>170</c:v>
                </c:pt>
                <c:pt idx="43">
                  <c:v>370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4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7D8-46AB-A3E9-7A6F42456D0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-3708</c:v>
                </c:pt>
                <c:pt idx="1">
                  <c:v>-3117</c:v>
                </c:pt>
                <c:pt idx="2">
                  <c:v>-3090</c:v>
                </c:pt>
                <c:pt idx="3">
                  <c:v>-3086</c:v>
                </c:pt>
                <c:pt idx="4">
                  <c:v>-2997</c:v>
                </c:pt>
                <c:pt idx="5">
                  <c:v>-2884</c:v>
                </c:pt>
                <c:pt idx="6">
                  <c:v>-2690</c:v>
                </c:pt>
                <c:pt idx="7">
                  <c:v>-2653</c:v>
                </c:pt>
                <c:pt idx="8">
                  <c:v>-2648</c:v>
                </c:pt>
                <c:pt idx="9">
                  <c:v>-2647</c:v>
                </c:pt>
                <c:pt idx="10">
                  <c:v>-2623</c:v>
                </c:pt>
                <c:pt idx="11">
                  <c:v>-2612</c:v>
                </c:pt>
                <c:pt idx="12">
                  <c:v>-2608</c:v>
                </c:pt>
                <c:pt idx="13">
                  <c:v>-2367</c:v>
                </c:pt>
                <c:pt idx="14">
                  <c:v>-2178</c:v>
                </c:pt>
                <c:pt idx="15">
                  <c:v>-1703</c:v>
                </c:pt>
                <c:pt idx="16">
                  <c:v>-1636</c:v>
                </c:pt>
                <c:pt idx="17">
                  <c:v>-1486</c:v>
                </c:pt>
                <c:pt idx="18">
                  <c:v>-1484</c:v>
                </c:pt>
                <c:pt idx="19">
                  <c:v>-1480</c:v>
                </c:pt>
                <c:pt idx="20">
                  <c:v>-1477</c:v>
                </c:pt>
                <c:pt idx="21">
                  <c:v>-1407</c:v>
                </c:pt>
                <c:pt idx="22">
                  <c:v>-1388</c:v>
                </c:pt>
                <c:pt idx="23">
                  <c:v>-1373</c:v>
                </c:pt>
                <c:pt idx="24">
                  <c:v>-1369</c:v>
                </c:pt>
                <c:pt idx="25">
                  <c:v>-1368</c:v>
                </c:pt>
                <c:pt idx="26">
                  <c:v>-1366</c:v>
                </c:pt>
                <c:pt idx="27">
                  <c:v>-1303</c:v>
                </c:pt>
                <c:pt idx="28">
                  <c:v>-1166</c:v>
                </c:pt>
                <c:pt idx="29">
                  <c:v>-1117</c:v>
                </c:pt>
                <c:pt idx="30">
                  <c:v>-1053</c:v>
                </c:pt>
                <c:pt idx="31">
                  <c:v>-1050</c:v>
                </c:pt>
                <c:pt idx="32">
                  <c:v>-1044</c:v>
                </c:pt>
                <c:pt idx="33">
                  <c:v>-1041</c:v>
                </c:pt>
                <c:pt idx="34">
                  <c:v>-924</c:v>
                </c:pt>
                <c:pt idx="35">
                  <c:v>-891</c:v>
                </c:pt>
                <c:pt idx="36">
                  <c:v>-801</c:v>
                </c:pt>
                <c:pt idx="37">
                  <c:v>-801</c:v>
                </c:pt>
                <c:pt idx="38">
                  <c:v>-648</c:v>
                </c:pt>
                <c:pt idx="39">
                  <c:v>-138</c:v>
                </c:pt>
                <c:pt idx="40">
                  <c:v>0</c:v>
                </c:pt>
                <c:pt idx="41">
                  <c:v>23</c:v>
                </c:pt>
                <c:pt idx="42">
                  <c:v>170</c:v>
                </c:pt>
                <c:pt idx="43">
                  <c:v>370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-0.48800999999730266</c:v>
                </c:pt>
                <c:pt idx="2">
                  <c:v>-0.47769999999945867</c:v>
                </c:pt>
                <c:pt idx="5">
                  <c:v>-0.40551999999661348</c:v>
                </c:pt>
                <c:pt idx="15">
                  <c:v>-0.17558999999891967</c:v>
                </c:pt>
                <c:pt idx="16">
                  <c:v>-0.14108000000123866</c:v>
                </c:pt>
                <c:pt idx="27">
                  <c:v>-2.6589999994030222E-2</c:v>
                </c:pt>
                <c:pt idx="28">
                  <c:v>2.8019999997923151E-2</c:v>
                </c:pt>
                <c:pt idx="29">
                  <c:v>1.4990000003308523E-2</c:v>
                </c:pt>
                <c:pt idx="30">
                  <c:v>-2.208999999857042E-2</c:v>
                </c:pt>
                <c:pt idx="31">
                  <c:v>-3.4999999916180968E-3</c:v>
                </c:pt>
                <c:pt idx="34">
                  <c:v>6.2800000014249235E-3</c:v>
                </c:pt>
                <c:pt idx="35">
                  <c:v>-1.2300000016693957E-3</c:v>
                </c:pt>
                <c:pt idx="36">
                  <c:v>3.3699999985401519E-3</c:v>
                </c:pt>
                <c:pt idx="37">
                  <c:v>1.6470000002300367E-2</c:v>
                </c:pt>
                <c:pt idx="38">
                  <c:v>3.7559999997029081E-2</c:v>
                </c:pt>
                <c:pt idx="39">
                  <c:v>2.4859999997715931E-2</c:v>
                </c:pt>
                <c:pt idx="41">
                  <c:v>1.8999999883817509E-4</c:v>
                </c:pt>
                <c:pt idx="42">
                  <c:v>-5.8999999964726157E-3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7D8-46AB-A3E9-7A6F42456D0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-3708</c:v>
                </c:pt>
                <c:pt idx="1">
                  <c:v>-3117</c:v>
                </c:pt>
                <c:pt idx="2">
                  <c:v>-3090</c:v>
                </c:pt>
                <c:pt idx="3">
                  <c:v>-3086</c:v>
                </c:pt>
                <c:pt idx="4">
                  <c:v>-2997</c:v>
                </c:pt>
                <c:pt idx="5">
                  <c:v>-2884</c:v>
                </c:pt>
                <c:pt idx="6">
                  <c:v>-2690</c:v>
                </c:pt>
                <c:pt idx="7">
                  <c:v>-2653</c:v>
                </c:pt>
                <c:pt idx="8">
                  <c:v>-2648</c:v>
                </c:pt>
                <c:pt idx="9">
                  <c:v>-2647</c:v>
                </c:pt>
                <c:pt idx="10">
                  <c:v>-2623</c:v>
                </c:pt>
                <c:pt idx="11">
                  <c:v>-2612</c:v>
                </c:pt>
                <c:pt idx="12">
                  <c:v>-2608</c:v>
                </c:pt>
                <c:pt idx="13">
                  <c:v>-2367</c:v>
                </c:pt>
                <c:pt idx="14">
                  <c:v>-2178</c:v>
                </c:pt>
                <c:pt idx="15">
                  <c:v>-1703</c:v>
                </c:pt>
                <c:pt idx="16">
                  <c:v>-1636</c:v>
                </c:pt>
                <c:pt idx="17">
                  <c:v>-1486</c:v>
                </c:pt>
                <c:pt idx="18">
                  <c:v>-1484</c:v>
                </c:pt>
                <c:pt idx="19">
                  <c:v>-1480</c:v>
                </c:pt>
                <c:pt idx="20">
                  <c:v>-1477</c:v>
                </c:pt>
                <c:pt idx="21">
                  <c:v>-1407</c:v>
                </c:pt>
                <c:pt idx="22">
                  <c:v>-1388</c:v>
                </c:pt>
                <c:pt idx="23">
                  <c:v>-1373</c:v>
                </c:pt>
                <c:pt idx="24">
                  <c:v>-1369</c:v>
                </c:pt>
                <c:pt idx="25">
                  <c:v>-1368</c:v>
                </c:pt>
                <c:pt idx="26">
                  <c:v>-1366</c:v>
                </c:pt>
                <c:pt idx="27">
                  <c:v>-1303</c:v>
                </c:pt>
                <c:pt idx="28">
                  <c:v>-1166</c:v>
                </c:pt>
                <c:pt idx="29">
                  <c:v>-1117</c:v>
                </c:pt>
                <c:pt idx="30">
                  <c:v>-1053</c:v>
                </c:pt>
                <c:pt idx="31">
                  <c:v>-1050</c:v>
                </c:pt>
                <c:pt idx="32">
                  <c:v>-1044</c:v>
                </c:pt>
                <c:pt idx="33">
                  <c:v>-1041</c:v>
                </c:pt>
                <c:pt idx="34">
                  <c:v>-924</c:v>
                </c:pt>
                <c:pt idx="35">
                  <c:v>-891</c:v>
                </c:pt>
                <c:pt idx="36">
                  <c:v>-801</c:v>
                </c:pt>
                <c:pt idx="37">
                  <c:v>-801</c:v>
                </c:pt>
                <c:pt idx="38">
                  <c:v>-648</c:v>
                </c:pt>
                <c:pt idx="39">
                  <c:v>-138</c:v>
                </c:pt>
                <c:pt idx="40">
                  <c:v>0</c:v>
                </c:pt>
                <c:pt idx="41">
                  <c:v>23</c:v>
                </c:pt>
                <c:pt idx="42">
                  <c:v>170</c:v>
                </c:pt>
                <c:pt idx="43">
                  <c:v>370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-0.74723999999696389</c:v>
                </c:pt>
                <c:pt idx="3">
                  <c:v>-0.47557999999844469</c:v>
                </c:pt>
                <c:pt idx="4">
                  <c:v>-0.43940999999904307</c:v>
                </c:pt>
                <c:pt idx="6">
                  <c:v>-0.30369999999675201</c:v>
                </c:pt>
                <c:pt idx="7">
                  <c:v>-0.31908999999723164</c:v>
                </c:pt>
                <c:pt idx="8">
                  <c:v>-0.30043999999907101</c:v>
                </c:pt>
                <c:pt idx="9">
                  <c:v>-0.3029099999985192</c:v>
                </c:pt>
                <c:pt idx="10">
                  <c:v>-0.30518999999549123</c:v>
                </c:pt>
                <c:pt idx="11">
                  <c:v>-0.29235999999582418</c:v>
                </c:pt>
                <c:pt idx="12">
                  <c:v>-0.28423999999722582</c:v>
                </c:pt>
                <c:pt idx="13">
                  <c:v>-0.14750999999887426</c:v>
                </c:pt>
                <c:pt idx="14">
                  <c:v>-0.11634000000049127</c:v>
                </c:pt>
                <c:pt idx="17">
                  <c:v>-1.1579999998502899E-2</c:v>
                </c:pt>
                <c:pt idx="18">
                  <c:v>-2.7519999996002298E-2</c:v>
                </c:pt>
                <c:pt idx="19">
                  <c:v>-2.9399999999441206E-2</c:v>
                </c:pt>
                <c:pt idx="20">
                  <c:v>-3.080999999656342E-2</c:v>
                </c:pt>
                <c:pt idx="21">
                  <c:v>-6.3709999994898681E-2</c:v>
                </c:pt>
                <c:pt idx="22">
                  <c:v>-5.7639999999082647E-2</c:v>
                </c:pt>
                <c:pt idx="24">
                  <c:v>3.3430000003136229E-2</c:v>
                </c:pt>
                <c:pt idx="25">
                  <c:v>-1.7039999998814892E-2</c:v>
                </c:pt>
                <c:pt idx="32">
                  <c:v>1.680000001215376E-3</c:v>
                </c:pt>
                <c:pt idx="33">
                  <c:v>-1.7299999963142909E-3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7D8-46AB-A3E9-7A6F42456D0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-3708</c:v>
                </c:pt>
                <c:pt idx="1">
                  <c:v>-3117</c:v>
                </c:pt>
                <c:pt idx="2">
                  <c:v>-3090</c:v>
                </c:pt>
                <c:pt idx="3">
                  <c:v>-3086</c:v>
                </c:pt>
                <c:pt idx="4">
                  <c:v>-2997</c:v>
                </c:pt>
                <c:pt idx="5">
                  <c:v>-2884</c:v>
                </c:pt>
                <c:pt idx="6">
                  <c:v>-2690</c:v>
                </c:pt>
                <c:pt idx="7">
                  <c:v>-2653</c:v>
                </c:pt>
                <c:pt idx="8">
                  <c:v>-2648</c:v>
                </c:pt>
                <c:pt idx="9">
                  <c:v>-2647</c:v>
                </c:pt>
                <c:pt idx="10">
                  <c:v>-2623</c:v>
                </c:pt>
                <c:pt idx="11">
                  <c:v>-2612</c:v>
                </c:pt>
                <c:pt idx="12">
                  <c:v>-2608</c:v>
                </c:pt>
                <c:pt idx="13">
                  <c:v>-2367</c:v>
                </c:pt>
                <c:pt idx="14">
                  <c:v>-2178</c:v>
                </c:pt>
                <c:pt idx="15">
                  <c:v>-1703</c:v>
                </c:pt>
                <c:pt idx="16">
                  <c:v>-1636</c:v>
                </c:pt>
                <c:pt idx="17">
                  <c:v>-1486</c:v>
                </c:pt>
                <c:pt idx="18">
                  <c:v>-1484</c:v>
                </c:pt>
                <c:pt idx="19">
                  <c:v>-1480</c:v>
                </c:pt>
                <c:pt idx="20">
                  <c:v>-1477</c:v>
                </c:pt>
                <c:pt idx="21">
                  <c:v>-1407</c:v>
                </c:pt>
                <c:pt idx="22">
                  <c:v>-1388</c:v>
                </c:pt>
                <c:pt idx="23">
                  <c:v>-1373</c:v>
                </c:pt>
                <c:pt idx="24">
                  <c:v>-1369</c:v>
                </c:pt>
                <c:pt idx="25">
                  <c:v>-1368</c:v>
                </c:pt>
                <c:pt idx="26">
                  <c:v>-1366</c:v>
                </c:pt>
                <c:pt idx="27">
                  <c:v>-1303</c:v>
                </c:pt>
                <c:pt idx="28">
                  <c:v>-1166</c:v>
                </c:pt>
                <c:pt idx="29">
                  <c:v>-1117</c:v>
                </c:pt>
                <c:pt idx="30">
                  <c:v>-1053</c:v>
                </c:pt>
                <c:pt idx="31">
                  <c:v>-1050</c:v>
                </c:pt>
                <c:pt idx="32">
                  <c:v>-1044</c:v>
                </c:pt>
                <c:pt idx="33">
                  <c:v>-1041</c:v>
                </c:pt>
                <c:pt idx="34">
                  <c:v>-924</c:v>
                </c:pt>
                <c:pt idx="35">
                  <c:v>-891</c:v>
                </c:pt>
                <c:pt idx="36">
                  <c:v>-801</c:v>
                </c:pt>
                <c:pt idx="37">
                  <c:v>-801</c:v>
                </c:pt>
                <c:pt idx="38">
                  <c:v>-648</c:v>
                </c:pt>
                <c:pt idx="39">
                  <c:v>-138</c:v>
                </c:pt>
                <c:pt idx="40">
                  <c:v>0</c:v>
                </c:pt>
                <c:pt idx="41">
                  <c:v>23</c:v>
                </c:pt>
                <c:pt idx="42">
                  <c:v>170</c:v>
                </c:pt>
                <c:pt idx="43">
                  <c:v>370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43">
                  <c:v>-6.220000000030268E-2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7D8-46AB-A3E9-7A6F42456D0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-3708</c:v>
                </c:pt>
                <c:pt idx="1">
                  <c:v>-3117</c:v>
                </c:pt>
                <c:pt idx="2">
                  <c:v>-3090</c:v>
                </c:pt>
                <c:pt idx="3">
                  <c:v>-3086</c:v>
                </c:pt>
                <c:pt idx="4">
                  <c:v>-2997</c:v>
                </c:pt>
                <c:pt idx="5">
                  <c:v>-2884</c:v>
                </c:pt>
                <c:pt idx="6">
                  <c:v>-2690</c:v>
                </c:pt>
                <c:pt idx="7">
                  <c:v>-2653</c:v>
                </c:pt>
                <c:pt idx="8">
                  <c:v>-2648</c:v>
                </c:pt>
                <c:pt idx="9">
                  <c:v>-2647</c:v>
                </c:pt>
                <c:pt idx="10">
                  <c:v>-2623</c:v>
                </c:pt>
                <c:pt idx="11">
                  <c:v>-2612</c:v>
                </c:pt>
                <c:pt idx="12">
                  <c:v>-2608</c:v>
                </c:pt>
                <c:pt idx="13">
                  <c:v>-2367</c:v>
                </c:pt>
                <c:pt idx="14">
                  <c:v>-2178</c:v>
                </c:pt>
                <c:pt idx="15">
                  <c:v>-1703</c:v>
                </c:pt>
                <c:pt idx="16">
                  <c:v>-1636</c:v>
                </c:pt>
                <c:pt idx="17">
                  <c:v>-1486</c:v>
                </c:pt>
                <c:pt idx="18">
                  <c:v>-1484</c:v>
                </c:pt>
                <c:pt idx="19">
                  <c:v>-1480</c:v>
                </c:pt>
                <c:pt idx="20">
                  <c:v>-1477</c:v>
                </c:pt>
                <c:pt idx="21">
                  <c:v>-1407</c:v>
                </c:pt>
                <c:pt idx="22">
                  <c:v>-1388</c:v>
                </c:pt>
                <c:pt idx="23">
                  <c:v>-1373</c:v>
                </c:pt>
                <c:pt idx="24">
                  <c:v>-1369</c:v>
                </c:pt>
                <c:pt idx="25">
                  <c:v>-1368</c:v>
                </c:pt>
                <c:pt idx="26">
                  <c:v>-1366</c:v>
                </c:pt>
                <c:pt idx="27">
                  <c:v>-1303</c:v>
                </c:pt>
                <c:pt idx="28">
                  <c:v>-1166</c:v>
                </c:pt>
                <c:pt idx="29">
                  <c:v>-1117</c:v>
                </c:pt>
                <c:pt idx="30">
                  <c:v>-1053</c:v>
                </c:pt>
                <c:pt idx="31">
                  <c:v>-1050</c:v>
                </c:pt>
                <c:pt idx="32">
                  <c:v>-1044</c:v>
                </c:pt>
                <c:pt idx="33">
                  <c:v>-1041</c:v>
                </c:pt>
                <c:pt idx="34">
                  <c:v>-924</c:v>
                </c:pt>
                <c:pt idx="35">
                  <c:v>-891</c:v>
                </c:pt>
                <c:pt idx="36">
                  <c:v>-801</c:v>
                </c:pt>
                <c:pt idx="37">
                  <c:v>-801</c:v>
                </c:pt>
                <c:pt idx="38">
                  <c:v>-648</c:v>
                </c:pt>
                <c:pt idx="39">
                  <c:v>-138</c:v>
                </c:pt>
                <c:pt idx="40">
                  <c:v>0</c:v>
                </c:pt>
                <c:pt idx="41">
                  <c:v>23</c:v>
                </c:pt>
                <c:pt idx="42">
                  <c:v>170</c:v>
                </c:pt>
                <c:pt idx="43">
                  <c:v>370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7D8-46AB-A3E9-7A6F42456D0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-3708</c:v>
                </c:pt>
                <c:pt idx="1">
                  <c:v>-3117</c:v>
                </c:pt>
                <c:pt idx="2">
                  <c:v>-3090</c:v>
                </c:pt>
                <c:pt idx="3">
                  <c:v>-3086</c:v>
                </c:pt>
                <c:pt idx="4">
                  <c:v>-2997</c:v>
                </c:pt>
                <c:pt idx="5">
                  <c:v>-2884</c:v>
                </c:pt>
                <c:pt idx="6">
                  <c:v>-2690</c:v>
                </c:pt>
                <c:pt idx="7">
                  <c:v>-2653</c:v>
                </c:pt>
                <c:pt idx="8">
                  <c:v>-2648</c:v>
                </c:pt>
                <c:pt idx="9">
                  <c:v>-2647</c:v>
                </c:pt>
                <c:pt idx="10">
                  <c:v>-2623</c:v>
                </c:pt>
                <c:pt idx="11">
                  <c:v>-2612</c:v>
                </c:pt>
                <c:pt idx="12">
                  <c:v>-2608</c:v>
                </c:pt>
                <c:pt idx="13">
                  <c:v>-2367</c:v>
                </c:pt>
                <c:pt idx="14">
                  <c:v>-2178</c:v>
                </c:pt>
                <c:pt idx="15">
                  <c:v>-1703</c:v>
                </c:pt>
                <c:pt idx="16">
                  <c:v>-1636</c:v>
                </c:pt>
                <c:pt idx="17">
                  <c:v>-1486</c:v>
                </c:pt>
                <c:pt idx="18">
                  <c:v>-1484</c:v>
                </c:pt>
                <c:pt idx="19">
                  <c:v>-1480</c:v>
                </c:pt>
                <c:pt idx="20">
                  <c:v>-1477</c:v>
                </c:pt>
                <c:pt idx="21">
                  <c:v>-1407</c:v>
                </c:pt>
                <c:pt idx="22">
                  <c:v>-1388</c:v>
                </c:pt>
                <c:pt idx="23">
                  <c:v>-1373</c:v>
                </c:pt>
                <c:pt idx="24">
                  <c:v>-1369</c:v>
                </c:pt>
                <c:pt idx="25">
                  <c:v>-1368</c:v>
                </c:pt>
                <c:pt idx="26">
                  <c:v>-1366</c:v>
                </c:pt>
                <c:pt idx="27">
                  <c:v>-1303</c:v>
                </c:pt>
                <c:pt idx="28">
                  <c:v>-1166</c:v>
                </c:pt>
                <c:pt idx="29">
                  <c:v>-1117</c:v>
                </c:pt>
                <c:pt idx="30">
                  <c:v>-1053</c:v>
                </c:pt>
                <c:pt idx="31">
                  <c:v>-1050</c:v>
                </c:pt>
                <c:pt idx="32">
                  <c:v>-1044</c:v>
                </c:pt>
                <c:pt idx="33">
                  <c:v>-1041</c:v>
                </c:pt>
                <c:pt idx="34">
                  <c:v>-924</c:v>
                </c:pt>
                <c:pt idx="35">
                  <c:v>-891</c:v>
                </c:pt>
                <c:pt idx="36">
                  <c:v>-801</c:v>
                </c:pt>
                <c:pt idx="37">
                  <c:v>-801</c:v>
                </c:pt>
                <c:pt idx="38">
                  <c:v>-648</c:v>
                </c:pt>
                <c:pt idx="39">
                  <c:v>-138</c:v>
                </c:pt>
                <c:pt idx="40">
                  <c:v>0</c:v>
                </c:pt>
                <c:pt idx="41">
                  <c:v>23</c:v>
                </c:pt>
                <c:pt idx="42">
                  <c:v>170</c:v>
                </c:pt>
                <c:pt idx="43">
                  <c:v>370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7D8-46AB-A3E9-7A6F42456D0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-3708</c:v>
                </c:pt>
                <c:pt idx="1">
                  <c:v>-3117</c:v>
                </c:pt>
                <c:pt idx="2">
                  <c:v>-3090</c:v>
                </c:pt>
                <c:pt idx="3">
                  <c:v>-3086</c:v>
                </c:pt>
                <c:pt idx="4">
                  <c:v>-2997</c:v>
                </c:pt>
                <c:pt idx="5">
                  <c:v>-2884</c:v>
                </c:pt>
                <c:pt idx="6">
                  <c:v>-2690</c:v>
                </c:pt>
                <c:pt idx="7">
                  <c:v>-2653</c:v>
                </c:pt>
                <c:pt idx="8">
                  <c:v>-2648</c:v>
                </c:pt>
                <c:pt idx="9">
                  <c:v>-2647</c:v>
                </c:pt>
                <c:pt idx="10">
                  <c:v>-2623</c:v>
                </c:pt>
                <c:pt idx="11">
                  <c:v>-2612</c:v>
                </c:pt>
                <c:pt idx="12">
                  <c:v>-2608</c:v>
                </c:pt>
                <c:pt idx="13">
                  <c:v>-2367</c:v>
                </c:pt>
                <c:pt idx="14">
                  <c:v>-2178</c:v>
                </c:pt>
                <c:pt idx="15">
                  <c:v>-1703</c:v>
                </c:pt>
                <c:pt idx="16">
                  <c:v>-1636</c:v>
                </c:pt>
                <c:pt idx="17">
                  <c:v>-1486</c:v>
                </c:pt>
                <c:pt idx="18">
                  <c:v>-1484</c:v>
                </c:pt>
                <c:pt idx="19">
                  <c:v>-1480</c:v>
                </c:pt>
                <c:pt idx="20">
                  <c:v>-1477</c:v>
                </c:pt>
                <c:pt idx="21">
                  <c:v>-1407</c:v>
                </c:pt>
                <c:pt idx="22">
                  <c:v>-1388</c:v>
                </c:pt>
                <c:pt idx="23">
                  <c:v>-1373</c:v>
                </c:pt>
                <c:pt idx="24">
                  <c:v>-1369</c:v>
                </c:pt>
                <c:pt idx="25">
                  <c:v>-1368</c:v>
                </c:pt>
                <c:pt idx="26">
                  <c:v>-1366</c:v>
                </c:pt>
                <c:pt idx="27">
                  <c:v>-1303</c:v>
                </c:pt>
                <c:pt idx="28">
                  <c:v>-1166</c:v>
                </c:pt>
                <c:pt idx="29">
                  <c:v>-1117</c:v>
                </c:pt>
                <c:pt idx="30">
                  <c:v>-1053</c:v>
                </c:pt>
                <c:pt idx="31">
                  <c:v>-1050</c:v>
                </c:pt>
                <c:pt idx="32">
                  <c:v>-1044</c:v>
                </c:pt>
                <c:pt idx="33">
                  <c:v>-1041</c:v>
                </c:pt>
                <c:pt idx="34">
                  <c:v>-924</c:v>
                </c:pt>
                <c:pt idx="35">
                  <c:v>-891</c:v>
                </c:pt>
                <c:pt idx="36">
                  <c:v>-801</c:v>
                </c:pt>
                <c:pt idx="37">
                  <c:v>-801</c:v>
                </c:pt>
                <c:pt idx="38">
                  <c:v>-648</c:v>
                </c:pt>
                <c:pt idx="39">
                  <c:v>-138</c:v>
                </c:pt>
                <c:pt idx="40">
                  <c:v>0</c:v>
                </c:pt>
                <c:pt idx="41">
                  <c:v>23</c:v>
                </c:pt>
                <c:pt idx="42">
                  <c:v>170</c:v>
                </c:pt>
                <c:pt idx="43">
                  <c:v>370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1">
                  <c:v>5.7835822966149659E-4</c:v>
                </c:pt>
                <c:pt idx="2">
                  <c:v>5.3658566574118702E-4</c:v>
                </c:pt>
                <c:pt idx="5">
                  <c:v>2.1787647434919847E-4</c:v>
                </c:pt>
                <c:pt idx="13">
                  <c:v>-5.8199076812487111E-4</c:v>
                </c:pt>
                <c:pt idx="15">
                  <c:v>-1.6092864141650683E-3</c:v>
                </c:pt>
                <c:pt idx="16">
                  <c:v>-1.7129442579673173E-3</c:v>
                </c:pt>
                <c:pt idx="24">
                  <c:v>-2.1260285011792637E-3</c:v>
                </c:pt>
                <c:pt idx="25">
                  <c:v>-2.1275756331763122E-3</c:v>
                </c:pt>
                <c:pt idx="26">
                  <c:v>-2.1306698971704095E-3</c:v>
                </c:pt>
                <c:pt idx="27">
                  <c:v>-2.2281392129844643E-3</c:v>
                </c:pt>
                <c:pt idx="28">
                  <c:v>-2.4400962965801074E-3</c:v>
                </c:pt>
                <c:pt idx="29">
                  <c:v>-2.5159057644354834E-3</c:v>
                </c:pt>
                <c:pt idx="30">
                  <c:v>-2.6149222122465866E-3</c:v>
                </c:pt>
                <c:pt idx="31">
                  <c:v>-2.619563608237732E-3</c:v>
                </c:pt>
                <c:pt idx="32">
                  <c:v>-2.6288464002200231E-3</c:v>
                </c:pt>
                <c:pt idx="33">
                  <c:v>-2.6334877962111685E-3</c:v>
                </c:pt>
                <c:pt idx="34">
                  <c:v>-2.8145022398658416E-3</c:v>
                </c:pt>
                <c:pt idx="35">
                  <c:v>-2.8655575957684419E-3</c:v>
                </c:pt>
                <c:pt idx="36">
                  <c:v>-3.0047994755028062E-3</c:v>
                </c:pt>
                <c:pt idx="37">
                  <c:v>-3.0047994755028062E-3</c:v>
                </c:pt>
                <c:pt idx="38">
                  <c:v>-3.241510671051225E-3</c:v>
                </c:pt>
                <c:pt idx="39">
                  <c:v>-4.0305479895459545E-3</c:v>
                </c:pt>
                <c:pt idx="40">
                  <c:v>-4.2440522051386464E-3</c:v>
                </c:pt>
                <c:pt idx="41">
                  <c:v>-4.2796362410707613E-3</c:v>
                </c:pt>
                <c:pt idx="42">
                  <c:v>-4.5070646446368897E-3</c:v>
                </c:pt>
                <c:pt idx="43">
                  <c:v>-4.8164910440465876E-3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7D8-46AB-A3E9-7A6F42456D0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-3708</c:v>
                </c:pt>
                <c:pt idx="1">
                  <c:v>-3117</c:v>
                </c:pt>
                <c:pt idx="2">
                  <c:v>-3090</c:v>
                </c:pt>
                <c:pt idx="3">
                  <c:v>-3086</c:v>
                </c:pt>
                <c:pt idx="4">
                  <c:v>-2997</c:v>
                </c:pt>
                <c:pt idx="5">
                  <c:v>-2884</c:v>
                </c:pt>
                <c:pt idx="6">
                  <c:v>-2690</c:v>
                </c:pt>
                <c:pt idx="7">
                  <c:v>-2653</c:v>
                </c:pt>
                <c:pt idx="8">
                  <c:v>-2648</c:v>
                </c:pt>
                <c:pt idx="9">
                  <c:v>-2647</c:v>
                </c:pt>
                <c:pt idx="10">
                  <c:v>-2623</c:v>
                </c:pt>
                <c:pt idx="11">
                  <c:v>-2612</c:v>
                </c:pt>
                <c:pt idx="12">
                  <c:v>-2608</c:v>
                </c:pt>
                <c:pt idx="13">
                  <c:v>-2367</c:v>
                </c:pt>
                <c:pt idx="14">
                  <c:v>-2178</c:v>
                </c:pt>
                <c:pt idx="15">
                  <c:v>-1703</c:v>
                </c:pt>
                <c:pt idx="16">
                  <c:v>-1636</c:v>
                </c:pt>
                <c:pt idx="17">
                  <c:v>-1486</c:v>
                </c:pt>
                <c:pt idx="18">
                  <c:v>-1484</c:v>
                </c:pt>
                <c:pt idx="19">
                  <c:v>-1480</c:v>
                </c:pt>
                <c:pt idx="20">
                  <c:v>-1477</c:v>
                </c:pt>
                <c:pt idx="21">
                  <c:v>-1407</c:v>
                </c:pt>
                <c:pt idx="22">
                  <c:v>-1388</c:v>
                </c:pt>
                <c:pt idx="23">
                  <c:v>-1373</c:v>
                </c:pt>
                <c:pt idx="24">
                  <c:v>-1369</c:v>
                </c:pt>
                <c:pt idx="25">
                  <c:v>-1368</c:v>
                </c:pt>
                <c:pt idx="26">
                  <c:v>-1366</c:v>
                </c:pt>
                <c:pt idx="27">
                  <c:v>-1303</c:v>
                </c:pt>
                <c:pt idx="28">
                  <c:v>-1166</c:v>
                </c:pt>
                <c:pt idx="29">
                  <c:v>-1117</c:v>
                </c:pt>
                <c:pt idx="30">
                  <c:v>-1053</c:v>
                </c:pt>
                <c:pt idx="31">
                  <c:v>-1050</c:v>
                </c:pt>
                <c:pt idx="32">
                  <c:v>-1044</c:v>
                </c:pt>
                <c:pt idx="33">
                  <c:v>-1041</c:v>
                </c:pt>
                <c:pt idx="34">
                  <c:v>-924</c:v>
                </c:pt>
                <c:pt idx="35">
                  <c:v>-891</c:v>
                </c:pt>
                <c:pt idx="36">
                  <c:v>-801</c:v>
                </c:pt>
                <c:pt idx="37">
                  <c:v>-801</c:v>
                </c:pt>
                <c:pt idx="38">
                  <c:v>-648</c:v>
                </c:pt>
                <c:pt idx="39">
                  <c:v>-138</c:v>
                </c:pt>
                <c:pt idx="40">
                  <c:v>0</c:v>
                </c:pt>
                <c:pt idx="41">
                  <c:v>23</c:v>
                </c:pt>
                <c:pt idx="42">
                  <c:v>170</c:v>
                </c:pt>
                <c:pt idx="43">
                  <c:v>370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26">
                  <c:v>1.0150200000061886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7D8-46AB-A3E9-7A6F42456D06}"/>
            </c:ext>
          </c:extLst>
        </c:ser>
        <c:ser>
          <c:idx val="9"/>
          <c:order val="9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Active!$V$2:$V$26</c:f>
              <c:numCache>
                <c:formatCode>General</c:formatCode>
                <c:ptCount val="25"/>
                <c:pt idx="0">
                  <c:v>-4000</c:v>
                </c:pt>
                <c:pt idx="1">
                  <c:v>-3800</c:v>
                </c:pt>
                <c:pt idx="2">
                  <c:v>-3600</c:v>
                </c:pt>
                <c:pt idx="3">
                  <c:v>-3400</c:v>
                </c:pt>
                <c:pt idx="4">
                  <c:v>-3200</c:v>
                </c:pt>
                <c:pt idx="5">
                  <c:v>-3000</c:v>
                </c:pt>
                <c:pt idx="6">
                  <c:v>-2800</c:v>
                </c:pt>
                <c:pt idx="7">
                  <c:v>-2600</c:v>
                </c:pt>
                <c:pt idx="8">
                  <c:v>-2400</c:v>
                </c:pt>
                <c:pt idx="9">
                  <c:v>-2200</c:v>
                </c:pt>
                <c:pt idx="10">
                  <c:v>-2000</c:v>
                </c:pt>
                <c:pt idx="11">
                  <c:v>-1800</c:v>
                </c:pt>
                <c:pt idx="12">
                  <c:v>-1600</c:v>
                </c:pt>
                <c:pt idx="13">
                  <c:v>-1400</c:v>
                </c:pt>
                <c:pt idx="14">
                  <c:v>-1200</c:v>
                </c:pt>
                <c:pt idx="15">
                  <c:v>-1000</c:v>
                </c:pt>
                <c:pt idx="16">
                  <c:v>-800</c:v>
                </c:pt>
                <c:pt idx="17">
                  <c:v>-600</c:v>
                </c:pt>
                <c:pt idx="18">
                  <c:v>-400</c:v>
                </c:pt>
                <c:pt idx="19">
                  <c:v>-200</c:v>
                </c:pt>
                <c:pt idx="22">
                  <c:v>0</c:v>
                </c:pt>
                <c:pt idx="23">
                  <c:v>200</c:v>
                </c:pt>
              </c:numCache>
            </c:numRef>
          </c:xVal>
          <c:yVal>
            <c:numRef>
              <c:f>Active!$W$2:$W$26</c:f>
              <c:numCache>
                <c:formatCode>General</c:formatCode>
                <c:ptCount val="25"/>
                <c:pt idx="0">
                  <c:v>-0.90249554135511401</c:v>
                </c:pt>
                <c:pt idx="1">
                  <c:v>-0.79479750609830224</c:v>
                </c:pt>
                <c:pt idx="2">
                  <c:v>-0.69374543953655399</c:v>
                </c:pt>
                <c:pt idx="3">
                  <c:v>-0.59933934166986935</c:v>
                </c:pt>
                <c:pt idx="4">
                  <c:v>-0.51157921249824811</c:v>
                </c:pt>
                <c:pt idx="5">
                  <c:v>-0.43046505202169066</c:v>
                </c:pt>
                <c:pt idx="6">
                  <c:v>-0.35599686024019656</c:v>
                </c:pt>
                <c:pt idx="7">
                  <c:v>-0.28817463715376623</c:v>
                </c:pt>
                <c:pt idx="8">
                  <c:v>-0.22699838276239925</c:v>
                </c:pt>
                <c:pt idx="9">
                  <c:v>-0.17246809706609592</c:v>
                </c:pt>
                <c:pt idx="10">
                  <c:v>-0.12458378006485615</c:v>
                </c:pt>
                <c:pt idx="11">
                  <c:v>-8.3345431758679922E-2</c:v>
                </c:pt>
                <c:pt idx="12">
                  <c:v>-4.8753052147567255E-2</c:v>
                </c:pt>
                <c:pt idx="13">
                  <c:v>-2.0806641231518125E-2</c:v>
                </c:pt>
                <c:pt idx="14">
                  <c:v>4.9380098946741335E-4</c:v>
                </c:pt>
                <c:pt idx="15">
                  <c:v>1.5148274515389401E-2</c:v>
                </c:pt>
                <c:pt idx="16">
                  <c:v>2.3156779346247845E-2</c:v>
                </c:pt>
                <c:pt idx="17">
                  <c:v>2.4519315482042725E-2</c:v>
                </c:pt>
                <c:pt idx="18">
                  <c:v>1.9235882922774047E-2</c:v>
                </c:pt>
                <c:pt idx="19">
                  <c:v>7.3064816684418211E-3</c:v>
                </c:pt>
                <c:pt idx="22">
                  <c:v>-1.1268888280953964E-2</c:v>
                </c:pt>
                <c:pt idx="23">
                  <c:v>-3.6490226925413302E-2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7D8-46AB-A3E9-7A6F42456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3458072"/>
        <c:axId val="1"/>
      </c:scatterChart>
      <c:valAx>
        <c:axId val="743458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02180921078556"/>
              <c:y val="0.843480695347864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812811442047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3458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2612628376407903"/>
          <c:y val="0.92464041994750656"/>
          <c:w val="0.86786912897149104"/>
          <c:h val="5.79713188025410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9525</xdr:rowOff>
    </xdr:from>
    <xdr:to>
      <xdr:col>17</xdr:col>
      <xdr:colOff>114300</xdr:colOff>
      <xdr:row>19</xdr:row>
      <xdr:rowOff>9525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97390FC8-1B72-3004-A3D2-602402F4CA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171450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D695BE88-7277-C884-2D37-228F15A638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bav-astro.de/sfs/BAVM_link.php?BAVMnr=34" TargetMode="External"/><Relationship Id="rId7" Type="http://schemas.openxmlformats.org/officeDocument/2006/relationships/hyperlink" Target="http://www.bav-astro.de/sfs/BAVM_link.php?BAVMnr=228" TargetMode="External"/><Relationship Id="rId2" Type="http://schemas.openxmlformats.org/officeDocument/2006/relationships/hyperlink" Target="http://www.konkoly.hu/cgi-bin/IBVS?1174" TargetMode="External"/><Relationship Id="rId1" Type="http://schemas.openxmlformats.org/officeDocument/2006/relationships/hyperlink" Target="http://www.konkoly.hu/cgi-bin/IBVS?1174" TargetMode="External"/><Relationship Id="rId6" Type="http://schemas.openxmlformats.org/officeDocument/2006/relationships/hyperlink" Target="http://www.bav-astro.de/sfs/BAVM_link.php?BAVMnr=192" TargetMode="External"/><Relationship Id="rId5" Type="http://schemas.openxmlformats.org/officeDocument/2006/relationships/hyperlink" Target="http://www.bav-astro.de/sfs/BAVM_link.php?BAVMnr=171" TargetMode="External"/><Relationship Id="rId4" Type="http://schemas.openxmlformats.org/officeDocument/2006/relationships/hyperlink" Target="http://www.bav-astro.de/sfs/BAVM_link.php?BAVMnr=1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40"/>
  <sheetViews>
    <sheetView tabSelected="1" workbookViewId="0">
      <pane xSplit="14" ySplit="21" topLeftCell="O46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3" ht="21" thickBot="1" x14ac:dyDescent="0.35">
      <c r="A1" s="1" t="s">
        <v>38</v>
      </c>
      <c r="E1" s="26" t="s">
        <v>37</v>
      </c>
      <c r="F1" t="s">
        <v>51</v>
      </c>
      <c r="V1" s="4" t="s">
        <v>9</v>
      </c>
      <c r="W1" s="6" t="s">
        <v>20</v>
      </c>
    </row>
    <row r="2" spans="1:23" x14ac:dyDescent="0.2">
      <c r="A2" t="s">
        <v>22</v>
      </c>
      <c r="B2" t="s">
        <v>39</v>
      </c>
      <c r="C2" s="3"/>
      <c r="D2" s="3"/>
      <c r="E2">
        <v>0</v>
      </c>
      <c r="V2" s="45">
        <v>-4000</v>
      </c>
      <c r="W2" s="45">
        <f t="shared" ref="W2:W20" si="0">+D$11+D$12*V2+D$13*V2^2</f>
        <v>-0.90249554135511401</v>
      </c>
    </row>
    <row r="3" spans="1:23" ht="13.5" thickBot="1" x14ac:dyDescent="0.25">
      <c r="C3" s="48" t="s">
        <v>50</v>
      </c>
      <c r="D3" s="49"/>
      <c r="E3" s="49"/>
      <c r="F3" s="47"/>
      <c r="V3" s="45">
        <v>-3800</v>
      </c>
      <c r="W3" s="45">
        <f t="shared" si="0"/>
        <v>-0.79479750609830224</v>
      </c>
    </row>
    <row r="4" spans="1:23" ht="14.25" thickTop="1" thickBot="1" x14ac:dyDescent="0.25">
      <c r="A4" s="5" t="s">
        <v>0</v>
      </c>
      <c r="C4" s="8">
        <v>39732.632799999999</v>
      </c>
      <c r="D4" s="9">
        <v>9.3005669999999991</v>
      </c>
      <c r="V4" s="45">
        <v>-3600</v>
      </c>
      <c r="W4" s="45">
        <f t="shared" si="0"/>
        <v>-0.69374543953655399</v>
      </c>
    </row>
    <row r="5" spans="1:23" ht="13.5" thickTop="1" x14ac:dyDescent="0.2">
      <c r="A5" s="11" t="s">
        <v>26</v>
      </c>
      <c r="B5" s="12"/>
      <c r="C5" s="13">
        <v>-9.5</v>
      </c>
      <c r="D5" s="12" t="s">
        <v>27</v>
      </c>
      <c r="E5" s="12"/>
      <c r="V5" s="45">
        <v>-3400</v>
      </c>
      <c r="W5" s="45">
        <f t="shared" si="0"/>
        <v>-0.59933934166986935</v>
      </c>
    </row>
    <row r="6" spans="1:23" x14ac:dyDescent="0.2">
      <c r="A6" s="5" t="s">
        <v>1</v>
      </c>
      <c r="V6" s="45">
        <v>-3200</v>
      </c>
      <c r="W6" s="45">
        <f t="shared" si="0"/>
        <v>-0.51157921249824811</v>
      </c>
    </row>
    <row r="7" spans="1:23" x14ac:dyDescent="0.2">
      <c r="A7" t="s">
        <v>2</v>
      </c>
      <c r="C7">
        <v>52502.21</v>
      </c>
      <c r="D7" s="27" t="s">
        <v>40</v>
      </c>
      <c r="V7" s="45">
        <v>-3000</v>
      </c>
      <c r="W7" s="45">
        <f t="shared" si="0"/>
        <v>-0.43046505202169066</v>
      </c>
    </row>
    <row r="8" spans="1:23" x14ac:dyDescent="0.2">
      <c r="A8" t="s">
        <v>3</v>
      </c>
      <c r="C8">
        <v>9.3004700000000007</v>
      </c>
      <c r="D8" s="27" t="s">
        <v>40</v>
      </c>
      <c r="V8" s="45">
        <v>-2800</v>
      </c>
      <c r="W8" s="45">
        <f t="shared" si="0"/>
        <v>-0.35599686024019656</v>
      </c>
    </row>
    <row r="9" spans="1:23" x14ac:dyDescent="0.2">
      <c r="A9" s="24" t="s">
        <v>31</v>
      </c>
      <c r="C9" s="25">
        <v>43</v>
      </c>
      <c r="D9" s="22" t="str">
        <f>"F"&amp;C9</f>
        <v>F43</v>
      </c>
      <c r="E9" s="23" t="str">
        <f>"G"&amp;C9</f>
        <v>G43</v>
      </c>
      <c r="V9" s="45">
        <v>-2600</v>
      </c>
      <c r="W9" s="45">
        <f t="shared" si="0"/>
        <v>-0.28817463715376623</v>
      </c>
    </row>
    <row r="10" spans="1:23" ht="13.5" thickBot="1" x14ac:dyDescent="0.25">
      <c r="A10" s="12"/>
      <c r="B10" s="12"/>
      <c r="C10" s="4" t="s">
        <v>18</v>
      </c>
      <c r="D10" s="4" t="s">
        <v>19</v>
      </c>
      <c r="E10" s="12"/>
      <c r="V10" s="45">
        <v>-2400</v>
      </c>
      <c r="W10" s="45">
        <f t="shared" si="0"/>
        <v>-0.22699838276239925</v>
      </c>
    </row>
    <row r="11" spans="1:23" x14ac:dyDescent="0.2">
      <c r="A11" s="12" t="s">
        <v>14</v>
      </c>
      <c r="B11" s="12"/>
      <c r="C11" s="21">
        <f ca="1">INTERCEPT(INDIRECT($E$9):G992,INDIRECT($D$9):F992)</f>
        <v>-4.2440522051386464E-3</v>
      </c>
      <c r="D11" s="3">
        <f>+E11*F11</f>
        <v>-1.1268888280953964E-2</v>
      </c>
      <c r="E11" s="36">
        <v>-1.1268888280953964E-2</v>
      </c>
      <c r="F11">
        <v>1</v>
      </c>
      <c r="V11" s="45">
        <v>-2200</v>
      </c>
      <c r="W11" s="45">
        <f t="shared" si="0"/>
        <v>-0.17246809706609592</v>
      </c>
    </row>
    <row r="12" spans="1:23" x14ac:dyDescent="0.2">
      <c r="A12" s="12" t="s">
        <v>15</v>
      </c>
      <c r="B12" s="12"/>
      <c r="C12" s="21">
        <f ca="1">SLOPE(INDIRECT($E$9):G992,INDIRECT($D$9):F992)</f>
        <v>-1.5471319970484898E-6</v>
      </c>
      <c r="D12" s="3">
        <f>+E12*F12</f>
        <v>-1.0949177148463782E-4</v>
      </c>
      <c r="E12" s="37">
        <v>-1.0949177148463782</v>
      </c>
      <c r="F12" s="38">
        <v>1E-4</v>
      </c>
      <c r="V12" s="45">
        <v>-2000</v>
      </c>
      <c r="W12" s="45">
        <f t="shared" si="0"/>
        <v>-0.12458378006485615</v>
      </c>
    </row>
    <row r="13" spans="1:23" ht="13.5" thickBot="1" x14ac:dyDescent="0.25">
      <c r="A13" s="12" t="s">
        <v>17</v>
      </c>
      <c r="B13" s="12"/>
      <c r="C13" s="3" t="s">
        <v>12</v>
      </c>
      <c r="D13" s="3">
        <f>+E13*F13</f>
        <v>-8.3074608688294462E-8</v>
      </c>
      <c r="E13" s="39">
        <v>-8.3074608688294465</v>
      </c>
      <c r="F13" s="38">
        <v>1E-8</v>
      </c>
      <c r="V13" s="45">
        <v>-1800</v>
      </c>
      <c r="W13" s="45">
        <f t="shared" si="0"/>
        <v>-8.3345431758679922E-2</v>
      </c>
    </row>
    <row r="14" spans="1:23" x14ac:dyDescent="0.2">
      <c r="A14" s="12"/>
      <c r="B14" s="12"/>
      <c r="C14" s="12"/>
      <c r="E14">
        <f>SUM(R21:R950)</f>
        <v>1.1047325500085636</v>
      </c>
      <c r="V14" s="45">
        <v>-1600</v>
      </c>
      <c r="W14" s="45">
        <f t="shared" si="0"/>
        <v>-4.8753052147567255E-2</v>
      </c>
    </row>
    <row r="15" spans="1:23" x14ac:dyDescent="0.2">
      <c r="A15" s="14" t="s">
        <v>16</v>
      </c>
      <c r="B15" s="12"/>
      <c r="C15" s="15">
        <f ca="1">(C7+C11)+(C8+C12)*INT(MAX(F21:F3533))</f>
        <v>55943.379083508953</v>
      </c>
      <c r="D15" s="23">
        <f>+C7+INT(MAX(F21:F1588))*C8+D11+D12*INT(MAX(F21:F4023))+D13*INT(MAX(F21:F4050)^2)</f>
        <v>55943.320746242345</v>
      </c>
      <c r="E15" s="16" t="s">
        <v>34</v>
      </c>
      <c r="F15" s="13">
        <v>1</v>
      </c>
      <c r="V15" s="45">
        <v>-1400</v>
      </c>
      <c r="W15" s="45">
        <f t="shared" si="0"/>
        <v>-2.0806641231518125E-2</v>
      </c>
    </row>
    <row r="16" spans="1:23" x14ac:dyDescent="0.2">
      <c r="A16" s="18" t="s">
        <v>4</v>
      </c>
      <c r="B16" s="12"/>
      <c r="C16" s="19">
        <f ca="1">+C8+C12</f>
        <v>9.3004684528680031</v>
      </c>
      <c r="D16" s="23">
        <f>+C8+D12+2*D13*MAX(F21:F896)</f>
        <v>9.3002990330180868</v>
      </c>
      <c r="E16" s="16" t="s">
        <v>28</v>
      </c>
      <c r="F16" s="17">
        <f ca="1">NOW()+15018.5+$C$5/24</f>
        <v>60351.783350347221</v>
      </c>
      <c r="V16" s="45">
        <v>-1200</v>
      </c>
      <c r="W16" s="45">
        <f t="shared" si="0"/>
        <v>4.9380098946741335E-4</v>
      </c>
    </row>
    <row r="17" spans="1:23" ht="13.5" thickBot="1" x14ac:dyDescent="0.25">
      <c r="A17" s="16" t="s">
        <v>25</v>
      </c>
      <c r="B17" s="12"/>
      <c r="C17" s="12">
        <f>COUNT(C21:C2191)</f>
        <v>44</v>
      </c>
      <c r="D17" s="16"/>
      <c r="E17" s="16" t="s">
        <v>35</v>
      </c>
      <c r="F17" s="17">
        <f ca="1">ROUND(2*(F16-$C$7)/$C$8,0)/2+F15</f>
        <v>845</v>
      </c>
      <c r="V17" s="45">
        <v>-1000</v>
      </c>
      <c r="W17" s="45">
        <f t="shared" si="0"/>
        <v>1.5148274515389401E-2</v>
      </c>
    </row>
    <row r="18" spans="1:23" ht="14.25" thickTop="1" thickBot="1" x14ac:dyDescent="0.25">
      <c r="A18" s="5" t="s">
        <v>48</v>
      </c>
      <c r="C18" s="50">
        <f ca="1">+C15</f>
        <v>55943.379083508953</v>
      </c>
      <c r="D18" s="51">
        <f ca="1">C16</f>
        <v>9.3004684528680031</v>
      </c>
      <c r="E18" s="16" t="s">
        <v>29</v>
      </c>
      <c r="F18" s="23">
        <f ca="1">ROUND(2*(F16-$C$15)/$C$16,0)/2+F15</f>
        <v>475</v>
      </c>
      <c r="V18" s="45">
        <v>-800</v>
      </c>
      <c r="W18" s="45">
        <f t="shared" si="0"/>
        <v>2.3156779346247845E-2</v>
      </c>
    </row>
    <row r="19" spans="1:23" ht="13.5" thickBot="1" x14ac:dyDescent="0.25">
      <c r="A19" s="5" t="s">
        <v>49</v>
      </c>
      <c r="C19" s="52">
        <f>+D15</f>
        <v>55943.320746242345</v>
      </c>
      <c r="D19" s="53">
        <f>+D16</f>
        <v>9.3002990330180868</v>
      </c>
      <c r="E19" s="16" t="s">
        <v>30</v>
      </c>
      <c r="F19" s="20">
        <f ca="1">+$C$15+$C$16*F18-15018.5-$C$5/24</f>
        <v>45342.997431954587</v>
      </c>
      <c r="V19" s="45">
        <v>-600</v>
      </c>
      <c r="W19" s="45">
        <f t="shared" si="0"/>
        <v>2.4519315482042725E-2</v>
      </c>
    </row>
    <row r="20" spans="1:23" ht="1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32</v>
      </c>
      <c r="I20" s="7" t="s">
        <v>40</v>
      </c>
      <c r="J20" s="7" t="s">
        <v>61</v>
      </c>
      <c r="K20" s="7" t="s">
        <v>43</v>
      </c>
      <c r="L20" s="7" t="s">
        <v>54</v>
      </c>
      <c r="M20" s="7" t="s">
        <v>23</v>
      </c>
      <c r="N20" s="7" t="s">
        <v>24</v>
      </c>
      <c r="O20" s="7" t="s">
        <v>21</v>
      </c>
      <c r="P20" s="40" t="s">
        <v>20</v>
      </c>
      <c r="Q20" s="4" t="s">
        <v>13</v>
      </c>
      <c r="R20" s="41" t="s">
        <v>45</v>
      </c>
      <c r="S20" s="6" t="s">
        <v>46</v>
      </c>
      <c r="T20" s="41" t="s">
        <v>47</v>
      </c>
      <c r="U20" s="42" t="s">
        <v>33</v>
      </c>
      <c r="V20" s="45">
        <v>-400</v>
      </c>
      <c r="W20" s="45">
        <f t="shared" si="0"/>
        <v>1.9235882922774047E-2</v>
      </c>
    </row>
    <row r="21" spans="1:23" x14ac:dyDescent="0.2">
      <c r="A21" s="29" t="s">
        <v>41</v>
      </c>
      <c r="B21" s="30" t="s">
        <v>42</v>
      </c>
      <c r="C21" s="31">
        <v>18015.32</v>
      </c>
      <c r="D21" s="29" t="s">
        <v>43</v>
      </c>
      <c r="E21" s="28">
        <f t="shared" ref="E21:E64" si="1">+(C21-C$7)/C$8</f>
        <v>-3708.0803443266841</v>
      </c>
      <c r="F21">
        <f t="shared" ref="F21:F64" si="2">ROUND(2*E21,0)/2</f>
        <v>-3708</v>
      </c>
      <c r="G21">
        <f t="shared" ref="G21:G46" si="3">+C21-(C$7+F21*C$8)</f>
        <v>-0.74723999999696389</v>
      </c>
      <c r="K21">
        <f>+G21</f>
        <v>-0.74723999999696389</v>
      </c>
      <c r="P21" s="43">
        <f t="shared" ref="P21:P64" si="4">+D$11+D$12*F21+D$13*F21^2</f>
        <v>-0.74748812616797133</v>
      </c>
      <c r="Q21" s="44">
        <f t="shared" ref="Q21:Q64" si="5">+C21-15018.5</f>
        <v>2996.8199999999997</v>
      </c>
      <c r="R21" s="45">
        <f t="shared" ref="R21:R46" si="6">+(P21-G21)^2</f>
        <v>6.1566596738816139E-8</v>
      </c>
      <c r="S21" s="45">
        <v>1</v>
      </c>
      <c r="T21" s="45">
        <f>+S21*R21</f>
        <v>6.1566596738816139E-8</v>
      </c>
      <c r="U21" s="46"/>
      <c r="V21" s="45">
        <v>-200</v>
      </c>
      <c r="W21" s="45">
        <f>+D$11+D$12*V21+D$13*V21^2</f>
        <v>7.3064816684418211E-3</v>
      </c>
    </row>
    <row r="22" spans="1:23" x14ac:dyDescent="0.2">
      <c r="A22" s="67" t="s">
        <v>74</v>
      </c>
      <c r="B22" s="69" t="s">
        <v>42</v>
      </c>
      <c r="C22" s="68">
        <v>23512.156999999999</v>
      </c>
      <c r="D22" s="68" t="s">
        <v>61</v>
      </c>
      <c r="E22" s="28">
        <f t="shared" si="1"/>
        <v>-3117.0524715417605</v>
      </c>
      <c r="F22">
        <f t="shared" si="2"/>
        <v>-3117</v>
      </c>
      <c r="G22">
        <f t="shared" si="3"/>
        <v>-0.48800999999730266</v>
      </c>
      <c r="J22">
        <f>+G22</f>
        <v>-0.48800999999730266</v>
      </c>
      <c r="O22">
        <f ca="1">+C$11+C$12*$F22</f>
        <v>5.7835822966149659E-4</v>
      </c>
      <c r="P22" s="43">
        <f t="shared" si="4"/>
        <v>-0.47711009837550483</v>
      </c>
      <c r="Q22" s="2">
        <f t="shared" si="5"/>
        <v>8493.6569999999992</v>
      </c>
      <c r="R22" s="45">
        <f t="shared" si="6"/>
        <v>1.1880785536487085E-4</v>
      </c>
    </row>
    <row r="23" spans="1:23" x14ac:dyDescent="0.2">
      <c r="A23" s="67" t="s">
        <v>79</v>
      </c>
      <c r="B23" s="69" t="s">
        <v>42</v>
      </c>
      <c r="C23" s="68">
        <v>23763.279999999999</v>
      </c>
      <c r="D23" s="68" t="s">
        <v>61</v>
      </c>
      <c r="E23" s="28">
        <f t="shared" si="1"/>
        <v>-3090.0513629956336</v>
      </c>
      <c r="F23">
        <f t="shared" si="2"/>
        <v>-3090</v>
      </c>
      <c r="G23">
        <f t="shared" si="3"/>
        <v>-0.47769999999945867</v>
      </c>
      <c r="J23">
        <f>+G23</f>
        <v>-0.47769999999945867</v>
      </c>
      <c r="O23">
        <f ca="1">+C$11+C$12*$F23</f>
        <v>5.3658566574118702E-4</v>
      </c>
      <c r="P23" s="43">
        <f t="shared" si="4"/>
        <v>-0.46614398561012743</v>
      </c>
      <c r="Q23" s="2">
        <f t="shared" si="5"/>
        <v>8744.7799999999988</v>
      </c>
      <c r="R23" s="45">
        <f t="shared" si="6"/>
        <v>1.335414685664306E-4</v>
      </c>
    </row>
    <row r="24" spans="1:23" x14ac:dyDescent="0.2">
      <c r="A24" s="29" t="s">
        <v>41</v>
      </c>
      <c r="B24" s="30" t="s">
        <v>42</v>
      </c>
      <c r="C24" s="29">
        <v>23800.484</v>
      </c>
      <c r="D24" s="29" t="s">
        <v>43</v>
      </c>
      <c r="E24" s="28">
        <f t="shared" si="1"/>
        <v>-3086.0511350501638</v>
      </c>
      <c r="F24">
        <f t="shared" si="2"/>
        <v>-3086</v>
      </c>
      <c r="G24">
        <f t="shared" si="3"/>
        <v>-0.47557999999844469</v>
      </c>
      <c r="K24">
        <f>+G24</f>
        <v>-0.47557999999844469</v>
      </c>
      <c r="P24" s="43">
        <f t="shared" si="4"/>
        <v>-0.46452967756303037</v>
      </c>
      <c r="Q24" s="2">
        <f t="shared" si="5"/>
        <v>8781.9840000000004</v>
      </c>
      <c r="R24" s="45">
        <f t="shared" si="6"/>
        <v>1.2210962592662099E-4</v>
      </c>
      <c r="V24" s="45">
        <v>0</v>
      </c>
      <c r="W24" s="45">
        <f>+D$11+D$12*V24+D$13*V24^2</f>
        <v>-1.1268888280953964E-2</v>
      </c>
    </row>
    <row r="25" spans="1:23" x14ac:dyDescent="0.2">
      <c r="A25" s="29" t="s">
        <v>41</v>
      </c>
      <c r="B25" s="30" t="s">
        <v>42</v>
      </c>
      <c r="C25" s="29">
        <v>24628.261999999999</v>
      </c>
      <c r="D25" s="29" t="s">
        <v>43</v>
      </c>
      <c r="E25" s="28">
        <f t="shared" si="1"/>
        <v>-2997.0472459993957</v>
      </c>
      <c r="F25">
        <f t="shared" si="2"/>
        <v>-2997</v>
      </c>
      <c r="G25">
        <f t="shared" si="3"/>
        <v>-0.43940999999904307</v>
      </c>
      <c r="K25">
        <f>+G25</f>
        <v>-0.43940999999904307</v>
      </c>
      <c r="P25" s="43">
        <f t="shared" si="4"/>
        <v>-0.42929893205123343</v>
      </c>
      <c r="Q25" s="2">
        <f t="shared" si="5"/>
        <v>9609.7619999999988</v>
      </c>
      <c r="R25" s="45">
        <f t="shared" si="6"/>
        <v>1.022336950452234E-4</v>
      </c>
      <c r="V25" s="45">
        <v>200</v>
      </c>
      <c r="W25" s="45">
        <f>+D$11+D$12*V25+D$13*V25^2</f>
        <v>-3.6490226925413302E-2</v>
      </c>
    </row>
    <row r="26" spans="1:23" x14ac:dyDescent="0.2">
      <c r="A26" s="67" t="s">
        <v>92</v>
      </c>
      <c r="B26" s="69" t="s">
        <v>42</v>
      </c>
      <c r="C26" s="68">
        <v>25679.249</v>
      </c>
      <c r="D26" s="68" t="s">
        <v>61</v>
      </c>
      <c r="E26" s="28">
        <f t="shared" si="1"/>
        <v>-2884.043602097528</v>
      </c>
      <c r="F26">
        <f t="shared" si="2"/>
        <v>-2884</v>
      </c>
      <c r="G26">
        <f t="shared" si="3"/>
        <v>-0.40551999999661348</v>
      </c>
      <c r="J26">
        <f>+G26</f>
        <v>-0.40551999999661348</v>
      </c>
      <c r="O26">
        <f ca="1">+C$11+C$12*$F26</f>
        <v>2.1787647434919847E-4</v>
      </c>
      <c r="P26" s="43">
        <f t="shared" si="4"/>
        <v>-0.38646402180136541</v>
      </c>
      <c r="Q26" s="2">
        <f t="shared" si="5"/>
        <v>10660.749</v>
      </c>
      <c r="R26" s="45">
        <f t="shared" si="6"/>
        <v>3.6313030497776985E-4</v>
      </c>
    </row>
    <row r="27" spans="1:23" x14ac:dyDescent="0.2">
      <c r="A27" s="29" t="s">
        <v>41</v>
      </c>
      <c r="B27" s="30" t="s">
        <v>42</v>
      </c>
      <c r="C27" s="29">
        <v>27483.642</v>
      </c>
      <c r="D27" s="29" t="s">
        <v>43</v>
      </c>
      <c r="E27" s="28">
        <f t="shared" si="1"/>
        <v>-2690.032654263709</v>
      </c>
      <c r="F27">
        <f t="shared" si="2"/>
        <v>-2690</v>
      </c>
      <c r="G27">
        <f t="shared" si="3"/>
        <v>-0.30369999999675201</v>
      </c>
      <c r="K27">
        <f>+G27</f>
        <v>-0.30369999999675201</v>
      </c>
      <c r="P27" s="43">
        <f t="shared" si="4"/>
        <v>-0.31787219891664575</v>
      </c>
      <c r="Q27" s="2">
        <f t="shared" si="5"/>
        <v>12465.142</v>
      </c>
      <c r="R27" s="45">
        <f t="shared" si="6"/>
        <v>2.0085122222503733E-4</v>
      </c>
      <c r="V27" s="45">
        <v>400</v>
      </c>
      <c r="W27" s="45">
        <f>+D$11+D$12*V27+D$13*V27^2</f>
        <v>-6.8357534264936209E-2</v>
      </c>
    </row>
    <row r="28" spans="1:23" x14ac:dyDescent="0.2">
      <c r="A28" s="29" t="s">
        <v>41</v>
      </c>
      <c r="B28" s="30" t="s">
        <v>42</v>
      </c>
      <c r="C28" s="29">
        <v>27827.743999999999</v>
      </c>
      <c r="D28" s="29" t="s">
        <v>43</v>
      </c>
      <c r="E28" s="28">
        <f t="shared" si="1"/>
        <v>-2653.0343090187912</v>
      </c>
      <c r="F28">
        <f t="shared" si="2"/>
        <v>-2653</v>
      </c>
      <c r="G28">
        <f t="shared" si="3"/>
        <v>-0.31908999999723164</v>
      </c>
      <c r="K28">
        <f>+G28</f>
        <v>-0.31908999999723164</v>
      </c>
      <c r="P28" s="43">
        <f t="shared" si="4"/>
        <v>-0.30550029199537976</v>
      </c>
      <c r="Q28" s="2">
        <f t="shared" si="5"/>
        <v>12809.243999999999</v>
      </c>
      <c r="R28" s="45">
        <f t="shared" si="6"/>
        <v>1.8468016357559716E-4</v>
      </c>
      <c r="V28" s="45">
        <v>600</v>
      </c>
      <c r="W28" s="45">
        <f>+D$11+D$12*V28+D$13*V28^2</f>
        <v>-0.10687081029952267</v>
      </c>
    </row>
    <row r="29" spans="1:23" x14ac:dyDescent="0.2">
      <c r="A29" s="29" t="s">
        <v>41</v>
      </c>
      <c r="B29" s="30" t="s">
        <v>42</v>
      </c>
      <c r="C29" s="29">
        <v>27874.264999999999</v>
      </c>
      <c r="D29" s="29" t="s">
        <v>43</v>
      </c>
      <c r="E29" s="28">
        <f t="shared" si="1"/>
        <v>-2648.0323037437893</v>
      </c>
      <c r="F29">
        <f t="shared" si="2"/>
        <v>-2648</v>
      </c>
      <c r="G29">
        <f t="shared" si="3"/>
        <v>-0.30043999999907101</v>
      </c>
      <c r="K29">
        <f>+G29</f>
        <v>-0.30043999999907101</v>
      </c>
      <c r="P29" s="43">
        <f t="shared" si="4"/>
        <v>-0.30384585834951977</v>
      </c>
      <c r="Q29" s="2">
        <f t="shared" si="5"/>
        <v>12855.764999999999</v>
      </c>
      <c r="R29" s="45">
        <f t="shared" si="6"/>
        <v>1.1599871103321582E-5</v>
      </c>
      <c r="V29" s="45">
        <v>800</v>
      </c>
      <c r="W29" s="45">
        <f>+D$11+D$12*V29+D$13*V29^2</f>
        <v>-0.15203005502917266</v>
      </c>
    </row>
    <row r="30" spans="1:23" x14ac:dyDescent="0.2">
      <c r="A30" s="29" t="s">
        <v>41</v>
      </c>
      <c r="B30" s="30" t="s">
        <v>42</v>
      </c>
      <c r="C30" s="29">
        <v>27883.562999999998</v>
      </c>
      <c r="D30" s="29" t="s">
        <v>43</v>
      </c>
      <c r="E30" s="28">
        <f t="shared" si="1"/>
        <v>-2647.0325693217655</v>
      </c>
      <c r="F30">
        <f t="shared" si="2"/>
        <v>-2647</v>
      </c>
      <c r="G30">
        <f t="shared" si="3"/>
        <v>-0.3029099999985192</v>
      </c>
      <c r="K30">
        <f>+G30</f>
        <v>-0.3029099999985192</v>
      </c>
      <c r="P30" s="43">
        <f t="shared" si="4"/>
        <v>-0.30351547006799984</v>
      </c>
      <c r="Q30" s="2">
        <f t="shared" si="5"/>
        <v>12865.062999999998</v>
      </c>
      <c r="R30" s="45">
        <f t="shared" si="6"/>
        <v>3.6659400503689138E-7</v>
      </c>
    </row>
    <row r="31" spans="1:23" x14ac:dyDescent="0.2">
      <c r="A31" s="29" t="s">
        <v>41</v>
      </c>
      <c r="B31" s="30" t="s">
        <v>42</v>
      </c>
      <c r="C31" s="29">
        <v>28106.772000000001</v>
      </c>
      <c r="D31" s="29" t="s">
        <v>43</v>
      </c>
      <c r="E31" s="28">
        <f t="shared" si="1"/>
        <v>-2623.0328144706664</v>
      </c>
      <c r="F31">
        <f t="shared" si="2"/>
        <v>-2623</v>
      </c>
      <c r="G31">
        <f t="shared" si="3"/>
        <v>-0.30518999999549123</v>
      </c>
      <c r="K31">
        <f>+G31</f>
        <v>-0.30518999999549123</v>
      </c>
      <c r="P31" s="43">
        <f t="shared" si="4"/>
        <v>-0.29563599607673563</v>
      </c>
      <c r="Q31" s="2">
        <f t="shared" si="5"/>
        <v>13088.272000000001</v>
      </c>
      <c r="R31" s="45">
        <f t="shared" si="6"/>
        <v>9.1278990879597451E-5</v>
      </c>
    </row>
    <row r="32" spans="1:23" x14ac:dyDescent="0.2">
      <c r="A32" s="29" t="s">
        <v>41</v>
      </c>
      <c r="B32" s="30" t="s">
        <v>42</v>
      </c>
      <c r="C32" s="29">
        <v>28209.09</v>
      </c>
      <c r="D32" s="29" t="s">
        <v>43</v>
      </c>
      <c r="E32" s="28">
        <f t="shared" si="1"/>
        <v>-2612.0314349704904</v>
      </c>
      <c r="F32">
        <f t="shared" si="2"/>
        <v>-2612</v>
      </c>
      <c r="G32">
        <f t="shared" si="3"/>
        <v>-0.29235999999582418</v>
      </c>
      <c r="K32">
        <f>+G32</f>
        <v>-0.29235999999582418</v>
      </c>
      <c r="P32" s="43">
        <f t="shared" si="4"/>
        <v>-0.2920565542217512</v>
      </c>
      <c r="Q32" s="2">
        <f t="shared" si="5"/>
        <v>13190.59</v>
      </c>
      <c r="R32" s="45">
        <f t="shared" si="6"/>
        <v>9.2079337802753471E-8</v>
      </c>
    </row>
    <row r="33" spans="1:21" x14ac:dyDescent="0.2">
      <c r="A33" s="29" t="s">
        <v>41</v>
      </c>
      <c r="B33" s="30" t="s">
        <v>42</v>
      </c>
      <c r="C33" s="29">
        <v>28246.3</v>
      </c>
      <c r="D33" s="29" t="s">
        <v>43</v>
      </c>
      <c r="E33" s="28">
        <f t="shared" si="1"/>
        <v>-2608.0305618963339</v>
      </c>
      <c r="F33">
        <f t="shared" si="2"/>
        <v>-2608</v>
      </c>
      <c r="G33">
        <f t="shared" si="3"/>
        <v>-0.28423999999722582</v>
      </c>
      <c r="K33">
        <f>+G33</f>
        <v>-0.28423999999722582</v>
      </c>
      <c r="P33" s="43">
        <f t="shared" si="4"/>
        <v>-0.29075992347827823</v>
      </c>
      <c r="Q33" s="2">
        <f t="shared" si="5"/>
        <v>13227.8</v>
      </c>
      <c r="R33" s="45">
        <f t="shared" si="6"/>
        <v>4.2509402198778489E-5</v>
      </c>
    </row>
    <row r="34" spans="1:21" x14ac:dyDescent="0.2">
      <c r="A34" s="67" t="s">
        <v>97</v>
      </c>
      <c r="B34" s="69" t="s">
        <v>42</v>
      </c>
      <c r="C34" s="68">
        <v>30487.85</v>
      </c>
      <c r="D34" s="68" t="s">
        <v>61</v>
      </c>
      <c r="E34" s="28">
        <f t="shared" si="1"/>
        <v>-2367.0158604887711</v>
      </c>
      <c r="F34">
        <f t="shared" si="2"/>
        <v>-2367</v>
      </c>
      <c r="G34">
        <f t="shared" si="3"/>
        <v>-0.14750999999887426</v>
      </c>
      <c r="K34">
        <f>+G34</f>
        <v>-0.14750999999887426</v>
      </c>
      <c r="O34">
        <f ca="1">+C$11+C$12*$F34</f>
        <v>-5.8199076812487111E-4</v>
      </c>
      <c r="P34" s="43">
        <f t="shared" si="4"/>
        <v>-0.21754306145402802</v>
      </c>
      <c r="Q34" s="2">
        <f t="shared" si="5"/>
        <v>15469.349999999999</v>
      </c>
      <c r="R34" s="45">
        <f t="shared" si="6"/>
        <v>4.9046296967813425E-3</v>
      </c>
    </row>
    <row r="35" spans="1:21" x14ac:dyDescent="0.2">
      <c r="A35" s="29" t="s">
        <v>41</v>
      </c>
      <c r="B35" s="30" t="s">
        <v>42</v>
      </c>
      <c r="C35" s="29">
        <v>32245.67</v>
      </c>
      <c r="D35" s="29" t="s">
        <v>43</v>
      </c>
      <c r="E35" s="28">
        <f t="shared" si="1"/>
        <v>-2178.0125090452416</v>
      </c>
      <c r="F35">
        <f t="shared" si="2"/>
        <v>-2178</v>
      </c>
      <c r="G35">
        <f t="shared" si="3"/>
        <v>-0.11634000000049127</v>
      </c>
      <c r="K35">
        <f>+G35</f>
        <v>-0.11634000000049127</v>
      </c>
      <c r="P35" s="43">
        <f t="shared" si="4"/>
        <v>-0.1668755020283362</v>
      </c>
      <c r="Q35" s="2">
        <f t="shared" si="5"/>
        <v>17227.169999999998</v>
      </c>
      <c r="R35" s="45">
        <f t="shared" si="6"/>
        <v>2.5538369652063193E-3</v>
      </c>
    </row>
    <row r="36" spans="1:21" x14ac:dyDescent="0.2">
      <c r="A36" s="67" t="s">
        <v>130</v>
      </c>
      <c r="B36" s="69" t="s">
        <v>42</v>
      </c>
      <c r="C36" s="68">
        <v>36663.334000000003</v>
      </c>
      <c r="D36" s="68" t="s">
        <v>61</v>
      </c>
      <c r="E36" s="28">
        <f t="shared" si="1"/>
        <v>-1703.0188796910259</v>
      </c>
      <c r="F36">
        <f t="shared" si="2"/>
        <v>-1703</v>
      </c>
      <c r="G36">
        <f t="shared" si="3"/>
        <v>-0.17558999999891967</v>
      </c>
      <c r="J36">
        <f>+G36</f>
        <v>-0.17558999999891967</v>
      </c>
      <c r="O36">
        <f ca="1">+C$11+C$12*$F36</f>
        <v>-1.6092864141650683E-3</v>
      </c>
      <c r="P36" s="43">
        <f t="shared" si="4"/>
        <v>-6.5738129231885545E-2</v>
      </c>
      <c r="Q36" s="2">
        <f t="shared" si="5"/>
        <v>21644.834000000003</v>
      </c>
      <c r="R36" s="45">
        <f t="shared" si="6"/>
        <v>1.2067433511017165E-2</v>
      </c>
    </row>
    <row r="37" spans="1:21" x14ac:dyDescent="0.2">
      <c r="A37" s="67" t="s">
        <v>130</v>
      </c>
      <c r="B37" s="69" t="s">
        <v>42</v>
      </c>
      <c r="C37" s="68">
        <v>37286.5</v>
      </c>
      <c r="D37" s="68" t="s">
        <v>61</v>
      </c>
      <c r="E37" s="28">
        <f t="shared" si="1"/>
        <v>-1636.0151691258611</v>
      </c>
      <c r="F37">
        <f t="shared" si="2"/>
        <v>-1636</v>
      </c>
      <c r="G37">
        <f t="shared" si="3"/>
        <v>-0.14108000000123866</v>
      </c>
      <c r="J37">
        <f>+G37</f>
        <v>-0.14108000000123866</v>
      </c>
      <c r="O37">
        <f ca="1">+C$11+C$12*$F37</f>
        <v>-1.7129442579673173E-3</v>
      </c>
      <c r="P37" s="43">
        <f t="shared" si="4"/>
        <v>-5.4489207987871852E-2</v>
      </c>
      <c r="Q37" s="2">
        <f t="shared" si="5"/>
        <v>22268</v>
      </c>
      <c r="R37" s="45">
        <f t="shared" si="6"/>
        <v>7.4979652615021486E-3</v>
      </c>
    </row>
    <row r="38" spans="1:21" x14ac:dyDescent="0.2">
      <c r="A38" s="29" t="s">
        <v>41</v>
      </c>
      <c r="B38" s="30" t="s">
        <v>42</v>
      </c>
      <c r="C38" s="29">
        <v>38681.699999999997</v>
      </c>
      <c r="D38" s="29" t="s">
        <v>43</v>
      </c>
      <c r="E38" s="28">
        <f t="shared" si="1"/>
        <v>-1486.0012450983661</v>
      </c>
      <c r="F38">
        <f t="shared" si="2"/>
        <v>-1486</v>
      </c>
      <c r="G38">
        <f t="shared" si="3"/>
        <v>-1.1579999998502899E-2</v>
      </c>
      <c r="K38">
        <f>+G38</f>
        <v>-1.1579999998502899E-2</v>
      </c>
      <c r="P38" s="43">
        <f t="shared" si="4"/>
        <v>-3.2009134461839228E-2</v>
      </c>
      <c r="Q38" s="2">
        <f t="shared" si="5"/>
        <v>23663.199999999997</v>
      </c>
      <c r="R38" s="45">
        <f t="shared" si="6"/>
        <v>4.1734953492107615E-4</v>
      </c>
    </row>
    <row r="39" spans="1:21" x14ac:dyDescent="0.2">
      <c r="A39" s="29" t="s">
        <v>41</v>
      </c>
      <c r="B39" s="30" t="s">
        <v>42</v>
      </c>
      <c r="C39" s="29">
        <v>38700.285000000003</v>
      </c>
      <c r="D39" s="29" t="s">
        <v>43</v>
      </c>
      <c r="E39" s="28">
        <f t="shared" si="1"/>
        <v>-1484.002958990244</v>
      </c>
      <c r="F39">
        <f t="shared" si="2"/>
        <v>-1484</v>
      </c>
      <c r="G39">
        <f t="shared" si="3"/>
        <v>-2.7519999996002298E-2</v>
      </c>
      <c r="K39">
        <f>+G39</f>
        <v>-2.7519999996002298E-2</v>
      </c>
      <c r="P39" s="43">
        <f t="shared" si="4"/>
        <v>-3.1734654829200043E-2</v>
      </c>
      <c r="Q39" s="2">
        <f t="shared" si="5"/>
        <v>23681.785000000003</v>
      </c>
      <c r="R39" s="45">
        <f t="shared" si="6"/>
        <v>1.7763315362997112E-5</v>
      </c>
    </row>
    <row r="40" spans="1:21" x14ac:dyDescent="0.2">
      <c r="A40" s="29" t="s">
        <v>41</v>
      </c>
      <c r="B40" s="30" t="s">
        <v>42</v>
      </c>
      <c r="C40" s="29">
        <v>38737.485000000001</v>
      </c>
      <c r="D40" s="29" t="s">
        <v>43</v>
      </c>
      <c r="E40" s="28">
        <f t="shared" si="1"/>
        <v>-1480.0031611305662</v>
      </c>
      <c r="F40">
        <f t="shared" si="2"/>
        <v>-1480</v>
      </c>
      <c r="G40">
        <f t="shared" si="3"/>
        <v>-2.9399999999441206E-2</v>
      </c>
      <c r="K40">
        <f>+G40</f>
        <v>-2.9399999999441206E-2</v>
      </c>
      <c r="P40" s="43">
        <f t="shared" si="4"/>
        <v>-3.1187689354530174E-2</v>
      </c>
      <c r="Q40" s="2">
        <f t="shared" si="5"/>
        <v>23718.985000000001</v>
      </c>
      <c r="R40" s="45">
        <f t="shared" si="6"/>
        <v>3.1958332302984076E-6</v>
      </c>
    </row>
    <row r="41" spans="1:21" x14ac:dyDescent="0.2">
      <c r="A41" s="29" t="s">
        <v>41</v>
      </c>
      <c r="B41" s="30" t="s">
        <v>42</v>
      </c>
      <c r="C41" s="29">
        <v>38765.385000000002</v>
      </c>
      <c r="D41" s="29" t="s">
        <v>43</v>
      </c>
      <c r="E41" s="28">
        <f t="shared" si="1"/>
        <v>-1477.0033127358076</v>
      </c>
      <c r="F41">
        <f t="shared" si="2"/>
        <v>-1477</v>
      </c>
      <c r="G41">
        <f t="shared" si="3"/>
        <v>-3.080999999656342E-2</v>
      </c>
      <c r="K41">
        <f>+G41</f>
        <v>-3.080999999656342E-2</v>
      </c>
      <c r="P41" s="43">
        <f t="shared" si="4"/>
        <v>-3.0779209815310238E-2</v>
      </c>
      <c r="Q41" s="2">
        <f t="shared" si="5"/>
        <v>23746.885000000002</v>
      </c>
      <c r="R41" s="45">
        <f t="shared" si="6"/>
        <v>9.4803526160379355E-10</v>
      </c>
    </row>
    <row r="42" spans="1:21" x14ac:dyDescent="0.2">
      <c r="A42" s="29" t="s">
        <v>41</v>
      </c>
      <c r="B42" s="30" t="s">
        <v>42</v>
      </c>
      <c r="C42" s="29">
        <v>39416.385000000002</v>
      </c>
      <c r="D42" s="29" t="s">
        <v>43</v>
      </c>
      <c r="E42" s="28">
        <f t="shared" si="1"/>
        <v>-1407.0068501914416</v>
      </c>
      <c r="F42">
        <f t="shared" si="2"/>
        <v>-1407</v>
      </c>
      <c r="G42">
        <f t="shared" si="3"/>
        <v>-6.3709999994898681E-2</v>
      </c>
      <c r="K42">
        <f>+G42</f>
        <v>-6.3709999994898681E-2</v>
      </c>
      <c r="P42" s="43">
        <f t="shared" si="4"/>
        <v>-2.1672531817241991E-2</v>
      </c>
      <c r="Q42" s="2">
        <f t="shared" si="5"/>
        <v>24397.885000000002</v>
      </c>
      <c r="R42" s="45">
        <f t="shared" si="6"/>
        <v>1.7671487307874987E-3</v>
      </c>
    </row>
    <row r="43" spans="1:21" x14ac:dyDescent="0.2">
      <c r="A43" s="29" t="s">
        <v>41</v>
      </c>
      <c r="B43" s="30" t="s">
        <v>42</v>
      </c>
      <c r="C43" s="29">
        <v>39593.1</v>
      </c>
      <c r="D43" s="29" t="s">
        <v>43</v>
      </c>
      <c r="E43" s="28">
        <f t="shared" si="1"/>
        <v>-1388.0061975362535</v>
      </c>
      <c r="F43">
        <f t="shared" si="2"/>
        <v>-1388</v>
      </c>
      <c r="G43">
        <f t="shared" si="3"/>
        <v>-5.7639999999082647E-2</v>
      </c>
      <c r="K43">
        <f>+G43</f>
        <v>-5.7639999999082647E-2</v>
      </c>
      <c r="P43" s="43">
        <f t="shared" si="4"/>
        <v>-1.9341198381058217E-2</v>
      </c>
      <c r="Q43" s="2">
        <f t="shared" si="5"/>
        <v>24574.6</v>
      </c>
      <c r="R43" s="45">
        <f t="shared" si="6"/>
        <v>1.4667982053767907E-3</v>
      </c>
    </row>
    <row r="44" spans="1:21" x14ac:dyDescent="0.2">
      <c r="A44" s="27" t="s">
        <v>36</v>
      </c>
      <c r="C44" s="10">
        <f>C$4</f>
        <v>39732.632799999999</v>
      </c>
      <c r="D44" s="10" t="s">
        <v>12</v>
      </c>
      <c r="E44">
        <f t="shared" si="1"/>
        <v>-1373.0034288589716</v>
      </c>
      <c r="F44">
        <f t="shared" si="2"/>
        <v>-1373</v>
      </c>
      <c r="G44">
        <f t="shared" si="3"/>
        <v>-3.1889999998384155E-2</v>
      </c>
      <c r="H44">
        <f>+G44</f>
        <v>-3.1889999998384155E-2</v>
      </c>
      <c r="P44" s="43">
        <f t="shared" si="4"/>
        <v>-1.7543040034502078E-2</v>
      </c>
      <c r="Q44" s="2">
        <f t="shared" si="5"/>
        <v>24714.132799999999</v>
      </c>
      <c r="R44" s="45">
        <f t="shared" si="6"/>
        <v>2.0583526020523523E-4</v>
      </c>
    </row>
    <row r="45" spans="1:21" x14ac:dyDescent="0.2">
      <c r="A45" s="29" t="s">
        <v>41</v>
      </c>
      <c r="B45" s="30" t="s">
        <v>42</v>
      </c>
      <c r="C45" s="29">
        <v>39769.9</v>
      </c>
      <c r="D45" s="29" t="s">
        <v>43</v>
      </c>
      <c r="E45" s="28">
        <f t="shared" si="1"/>
        <v>-1368.9964055579983</v>
      </c>
      <c r="F45">
        <f t="shared" si="2"/>
        <v>-1369</v>
      </c>
      <c r="G45">
        <f t="shared" si="3"/>
        <v>3.3430000003136229E-2</v>
      </c>
      <c r="K45">
        <f>+G45</f>
        <v>3.3430000003136229E-2</v>
      </c>
      <c r="O45">
        <f t="shared" ref="O45:O64" ca="1" si="7">+C$11+C$12*$F45</f>
        <v>-2.1260285011792637E-3</v>
      </c>
      <c r="P45" s="43">
        <f t="shared" si="4"/>
        <v>-1.7069844812347412E-2</v>
      </c>
      <c r="Q45" s="2">
        <f t="shared" si="5"/>
        <v>24751.4</v>
      </c>
      <c r="R45" s="45">
        <f t="shared" si="6"/>
        <v>2.5502343263879299E-3</v>
      </c>
    </row>
    <row r="46" spans="1:21" x14ac:dyDescent="0.2">
      <c r="A46" s="29" t="s">
        <v>41</v>
      </c>
      <c r="B46" s="30" t="s">
        <v>42</v>
      </c>
      <c r="C46" s="29">
        <v>39779.15</v>
      </c>
      <c r="D46" s="29" t="s">
        <v>43</v>
      </c>
      <c r="E46" s="28">
        <f t="shared" si="1"/>
        <v>-1368.0018321654709</v>
      </c>
      <c r="F46">
        <f t="shared" si="2"/>
        <v>-1368</v>
      </c>
      <c r="G46">
        <f t="shared" si="3"/>
        <v>-1.7039999998814892E-2</v>
      </c>
      <c r="K46">
        <f>+G46</f>
        <v>-1.7039999998814892E-2</v>
      </c>
      <c r="O46">
        <f t="shared" ca="1" si="7"/>
        <v>-2.1275756331763122E-3</v>
      </c>
      <c r="P46" s="43">
        <f t="shared" si="4"/>
        <v>-1.6951961379852193E-2</v>
      </c>
      <c r="Q46" s="2">
        <f t="shared" si="5"/>
        <v>24760.65</v>
      </c>
      <c r="R46" s="45">
        <f t="shared" si="6"/>
        <v>7.750798428859332E-9</v>
      </c>
    </row>
    <row r="47" spans="1:21" x14ac:dyDescent="0.2">
      <c r="A47" s="67" t="s">
        <v>166</v>
      </c>
      <c r="B47" s="69" t="s">
        <v>42</v>
      </c>
      <c r="C47" s="68">
        <v>39798.783000000003</v>
      </c>
      <c r="D47" s="68" t="s">
        <v>61</v>
      </c>
      <c r="E47" s="28">
        <f t="shared" si="1"/>
        <v>-1365.8908635800121</v>
      </c>
      <c r="F47">
        <f t="shared" si="2"/>
        <v>-1366</v>
      </c>
      <c r="O47">
        <f t="shared" ca="1" si="7"/>
        <v>-2.1306698971704095E-3</v>
      </c>
      <c r="P47" s="43">
        <f t="shared" si="4"/>
        <v>-1.6716692962513879E-2</v>
      </c>
      <c r="Q47" s="2">
        <f t="shared" si="5"/>
        <v>24780.283000000003</v>
      </c>
      <c r="R47" s="45">
        <f>+(P47-U47)^2</f>
        <v>1.0644806036179946</v>
      </c>
      <c r="U47">
        <f>+C47-(C$7+F47*C$8)</f>
        <v>1.0150200000061886</v>
      </c>
    </row>
    <row r="48" spans="1:21" x14ac:dyDescent="0.2">
      <c r="A48" s="67" t="s">
        <v>166</v>
      </c>
      <c r="B48" s="69" t="s">
        <v>42</v>
      </c>
      <c r="C48" s="68">
        <v>40383.671000000002</v>
      </c>
      <c r="D48" s="68" t="s">
        <v>61</v>
      </c>
      <c r="E48" s="28">
        <f t="shared" si="1"/>
        <v>-1303.0028589952976</v>
      </c>
      <c r="F48">
        <f t="shared" si="2"/>
        <v>-1303</v>
      </c>
      <c r="G48">
        <f t="shared" ref="G48:G64" si="8">+C48-(C$7+F48*C$8)</f>
        <v>-2.6589999994030222E-2</v>
      </c>
      <c r="J48">
        <f>+G48</f>
        <v>-2.6589999994030222E-2</v>
      </c>
      <c r="O48">
        <f t="shared" ca="1" si="7"/>
        <v>-2.2281392129844643E-3</v>
      </c>
      <c r="P48" s="43">
        <f t="shared" si="4"/>
        <v>-9.6459283389354056E-3</v>
      </c>
      <c r="Q48" s="2">
        <f t="shared" si="5"/>
        <v>25365.171000000002</v>
      </c>
      <c r="R48" s="45">
        <f t="shared" ref="R48:R64" si="9">+(P48-G48)^2</f>
        <v>2.871015642529876E-4</v>
      </c>
    </row>
    <row r="49" spans="1:18" x14ac:dyDescent="0.2">
      <c r="A49" s="67" t="s">
        <v>166</v>
      </c>
      <c r="B49" s="69" t="s">
        <v>42</v>
      </c>
      <c r="C49" s="68">
        <v>41657.89</v>
      </c>
      <c r="D49" s="68" t="s">
        <v>61</v>
      </c>
      <c r="E49" s="28">
        <f t="shared" si="1"/>
        <v>-1165.9969872490315</v>
      </c>
      <c r="F49">
        <f t="shared" si="2"/>
        <v>-1166</v>
      </c>
      <c r="G49">
        <f t="shared" si="8"/>
        <v>2.8019999997923151E-2</v>
      </c>
      <c r="J49">
        <f>+G49</f>
        <v>2.8019999997923151E-2</v>
      </c>
      <c r="O49">
        <f t="shared" ca="1" si="7"/>
        <v>-2.4400962965801074E-3</v>
      </c>
      <c r="P49" s="43">
        <f t="shared" si="4"/>
        <v>3.4539345803108884E-3</v>
      </c>
      <c r="Q49" s="2">
        <f t="shared" si="5"/>
        <v>26639.39</v>
      </c>
      <c r="R49" s="45">
        <f t="shared" si="9"/>
        <v>6.0349157010240512E-4</v>
      </c>
    </row>
    <row r="50" spans="1:18" x14ac:dyDescent="0.2">
      <c r="A50" s="67" t="s">
        <v>166</v>
      </c>
      <c r="B50" s="69" t="s">
        <v>42</v>
      </c>
      <c r="C50" s="68">
        <v>42113.599999999999</v>
      </c>
      <c r="D50" s="68" t="s">
        <v>61</v>
      </c>
      <c r="E50" s="28">
        <f t="shared" si="1"/>
        <v>-1116.9983882534968</v>
      </c>
      <c r="F50">
        <f t="shared" si="2"/>
        <v>-1117</v>
      </c>
      <c r="G50">
        <f t="shared" si="8"/>
        <v>1.4990000003308523E-2</v>
      </c>
      <c r="J50">
        <f>+G50</f>
        <v>1.4990000003308523E-2</v>
      </c>
      <c r="O50">
        <f t="shared" ca="1" si="7"/>
        <v>-2.5159057644354834E-3</v>
      </c>
      <c r="P50" s="43">
        <f t="shared" si="4"/>
        <v>7.3821450276970596E-3</v>
      </c>
      <c r="Q50" s="2">
        <f t="shared" si="5"/>
        <v>27095.1</v>
      </c>
      <c r="R50" s="45">
        <f t="shared" si="9"/>
        <v>5.7879457329936107E-5</v>
      </c>
    </row>
    <row r="51" spans="1:18" x14ac:dyDescent="0.2">
      <c r="A51" s="67" t="s">
        <v>166</v>
      </c>
      <c r="B51" s="69" t="s">
        <v>42</v>
      </c>
      <c r="C51" s="68">
        <v>42708.792999999998</v>
      </c>
      <c r="D51" s="68" t="s">
        <v>61</v>
      </c>
      <c r="E51" s="28">
        <f t="shared" si="1"/>
        <v>-1053.0023751487829</v>
      </c>
      <c r="F51">
        <f t="shared" si="2"/>
        <v>-1053</v>
      </c>
      <c r="G51">
        <f t="shared" si="8"/>
        <v>-2.208999999857042E-2</v>
      </c>
      <c r="J51">
        <f>+G51</f>
        <v>-2.208999999857042E-2</v>
      </c>
      <c r="O51">
        <f t="shared" ca="1" si="7"/>
        <v>-2.6149222122465866E-3</v>
      </c>
      <c r="P51" s="43">
        <f t="shared" si="4"/>
        <v>1.1912073307310575E-2</v>
      </c>
      <c r="Q51" s="2">
        <f t="shared" si="5"/>
        <v>27690.292999999998</v>
      </c>
      <c r="R51" s="45">
        <f t="shared" si="9"/>
        <v>1.1561409890985049E-3</v>
      </c>
    </row>
    <row r="52" spans="1:18" x14ac:dyDescent="0.2">
      <c r="A52" s="67" t="s">
        <v>166</v>
      </c>
      <c r="B52" s="69" t="s">
        <v>42</v>
      </c>
      <c r="C52" s="68">
        <v>42736.713000000003</v>
      </c>
      <c r="D52" s="68" t="s">
        <v>61</v>
      </c>
      <c r="E52" s="28">
        <f t="shared" si="1"/>
        <v>-1050.000376325067</v>
      </c>
      <c r="F52">
        <f t="shared" si="2"/>
        <v>-1050</v>
      </c>
      <c r="G52">
        <f t="shared" si="8"/>
        <v>-3.4999999916180968E-3</v>
      </c>
      <c r="J52">
        <f>+G52</f>
        <v>-3.4999999916180968E-3</v>
      </c>
      <c r="O52">
        <f t="shared" ca="1" si="7"/>
        <v>-2.619563608237732E-3</v>
      </c>
      <c r="P52" s="43">
        <f t="shared" si="4"/>
        <v>1.2107715699071112E-2</v>
      </c>
      <c r="Q52" s="2">
        <f t="shared" si="5"/>
        <v>27718.213000000003</v>
      </c>
      <c r="R52" s="45">
        <f t="shared" si="9"/>
        <v>2.436007890813861E-4</v>
      </c>
    </row>
    <row r="53" spans="1:18" x14ac:dyDescent="0.2">
      <c r="A53" s="29" t="s">
        <v>41</v>
      </c>
      <c r="B53" s="30" t="s">
        <v>42</v>
      </c>
      <c r="C53" s="29">
        <v>42792.521000000001</v>
      </c>
      <c r="D53" s="29" t="s">
        <v>43</v>
      </c>
      <c r="E53" s="28">
        <f t="shared" si="1"/>
        <v>-1043.9998193639674</v>
      </c>
      <c r="F53">
        <f t="shared" si="2"/>
        <v>-1044</v>
      </c>
      <c r="G53">
        <f t="shared" si="8"/>
        <v>1.680000001215376E-3</v>
      </c>
      <c r="K53">
        <f>+G53</f>
        <v>1.680000001215376E-3</v>
      </c>
      <c r="O53">
        <f t="shared" ca="1" si="7"/>
        <v>-2.6288464002200231E-3</v>
      </c>
      <c r="P53" s="43">
        <f t="shared" si="4"/>
        <v>1.2494514453723016E-2</v>
      </c>
      <c r="Q53" s="2">
        <f t="shared" si="5"/>
        <v>27774.021000000001</v>
      </c>
      <c r="R53" s="45">
        <f t="shared" si="9"/>
        <v>1.1695372284349661E-4</v>
      </c>
    </row>
    <row r="54" spans="1:18" x14ac:dyDescent="0.2">
      <c r="A54" s="29" t="s">
        <v>41</v>
      </c>
      <c r="B54" s="30" t="s">
        <v>42</v>
      </c>
      <c r="C54" s="29">
        <v>42820.419000000002</v>
      </c>
      <c r="D54" s="29" t="s">
        <v>43</v>
      </c>
      <c r="E54" s="28">
        <f t="shared" si="1"/>
        <v>-1041.0001860121045</v>
      </c>
      <c r="F54">
        <f t="shared" si="2"/>
        <v>-1041</v>
      </c>
      <c r="G54">
        <f t="shared" si="8"/>
        <v>-1.7299999963142909E-3</v>
      </c>
      <c r="K54">
        <f>+G54</f>
        <v>-1.7299999963142909E-3</v>
      </c>
      <c r="O54">
        <f t="shared" ca="1" si="7"/>
        <v>-2.6334877962111685E-3</v>
      </c>
      <c r="P54" s="43">
        <f t="shared" si="4"/>
        <v>1.2685670816614383E-2</v>
      </c>
      <c r="Q54" s="2">
        <f t="shared" si="5"/>
        <v>27801.919000000002</v>
      </c>
      <c r="R54" s="45">
        <f t="shared" si="9"/>
        <v>2.0781156498672366E-4</v>
      </c>
    </row>
    <row r="55" spans="1:18" x14ac:dyDescent="0.2">
      <c r="A55" s="67" t="s">
        <v>196</v>
      </c>
      <c r="B55" s="69" t="s">
        <v>42</v>
      </c>
      <c r="C55" s="68">
        <v>43908.582000000002</v>
      </c>
      <c r="D55" s="68" t="s">
        <v>61</v>
      </c>
      <c r="E55" s="28">
        <f t="shared" si="1"/>
        <v>-923.99932476530716</v>
      </c>
      <c r="F55">
        <f t="shared" si="2"/>
        <v>-924</v>
      </c>
      <c r="G55">
        <f t="shared" si="8"/>
        <v>6.2800000014249235E-3</v>
      </c>
      <c r="J55">
        <f>+G55</f>
        <v>6.2800000014249235E-3</v>
      </c>
      <c r="O55">
        <f t="shared" ca="1" si="7"/>
        <v>-2.8145022398658416E-3</v>
      </c>
      <c r="P55" s="43">
        <f t="shared" si="4"/>
        <v>1.8974401463394089E-2</v>
      </c>
      <c r="Q55" s="2">
        <f t="shared" si="5"/>
        <v>28890.082000000002</v>
      </c>
      <c r="R55" s="45">
        <f t="shared" si="9"/>
        <v>1.6114782847764488E-4</v>
      </c>
    </row>
    <row r="56" spans="1:18" x14ac:dyDescent="0.2">
      <c r="A56" s="67" t="s">
        <v>201</v>
      </c>
      <c r="B56" s="69" t="s">
        <v>42</v>
      </c>
      <c r="C56" s="68">
        <v>44215.49</v>
      </c>
      <c r="D56" s="68" t="s">
        <v>61</v>
      </c>
      <c r="E56" s="28">
        <f t="shared" si="1"/>
        <v>-891.00013225138093</v>
      </c>
      <c r="F56">
        <f t="shared" si="2"/>
        <v>-891</v>
      </c>
      <c r="G56">
        <f t="shared" si="8"/>
        <v>-1.2300000016693957E-3</v>
      </c>
      <c r="J56">
        <f>+G56</f>
        <v>-1.2300000016693957E-3</v>
      </c>
      <c r="O56">
        <f t="shared" ca="1" si="7"/>
        <v>-2.8655575957684419E-3</v>
      </c>
      <c r="P56" s="43">
        <f t="shared" si="4"/>
        <v>2.0336926691786439E-2</v>
      </c>
      <c r="Q56" s="2">
        <f t="shared" si="5"/>
        <v>29196.989999999998</v>
      </c>
      <c r="R56" s="45">
        <f t="shared" si="9"/>
        <v>4.6513232700089781E-4</v>
      </c>
    </row>
    <row r="57" spans="1:18" x14ac:dyDescent="0.2">
      <c r="A57" s="67" t="s">
        <v>207</v>
      </c>
      <c r="B57" s="69" t="s">
        <v>42</v>
      </c>
      <c r="C57" s="68">
        <v>45052.536899999999</v>
      </c>
      <c r="D57" s="68" t="s">
        <v>61</v>
      </c>
      <c r="E57" s="28">
        <f t="shared" si="1"/>
        <v>-800.99963765272071</v>
      </c>
      <c r="F57">
        <f t="shared" si="2"/>
        <v>-801</v>
      </c>
      <c r="G57">
        <f t="shared" si="8"/>
        <v>3.3699999985401519E-3</v>
      </c>
      <c r="J57">
        <f>+G57</f>
        <v>3.3699999985401519E-3</v>
      </c>
      <c r="O57">
        <f t="shared" ca="1" si="7"/>
        <v>-3.0047994755028062E-3</v>
      </c>
      <c r="P57" s="43">
        <f t="shared" si="4"/>
        <v>2.3133268669222523E-2</v>
      </c>
      <c r="Q57" s="2">
        <f t="shared" si="5"/>
        <v>30034.036899999999</v>
      </c>
      <c r="R57" s="45">
        <f t="shared" si="9"/>
        <v>3.9058678854957536E-4</v>
      </c>
    </row>
    <row r="58" spans="1:18" x14ac:dyDescent="0.2">
      <c r="A58" s="67" t="s">
        <v>211</v>
      </c>
      <c r="B58" s="69" t="s">
        <v>42</v>
      </c>
      <c r="C58" s="68">
        <v>45052.55</v>
      </c>
      <c r="D58" s="68" t="s">
        <v>61</v>
      </c>
      <c r="E58" s="28">
        <f t="shared" si="1"/>
        <v>-800.99822912175364</v>
      </c>
      <c r="F58">
        <f t="shared" si="2"/>
        <v>-801</v>
      </c>
      <c r="G58">
        <f t="shared" si="8"/>
        <v>1.6470000002300367E-2</v>
      </c>
      <c r="J58">
        <f>+G58</f>
        <v>1.6470000002300367E-2</v>
      </c>
      <c r="O58">
        <f t="shared" ca="1" si="7"/>
        <v>-3.0047994755028062E-3</v>
      </c>
      <c r="P58" s="43">
        <f t="shared" si="4"/>
        <v>2.3133268669222523E-2</v>
      </c>
      <c r="Q58" s="2">
        <f t="shared" si="5"/>
        <v>30034.050000000003</v>
      </c>
      <c r="R58" s="45">
        <f t="shared" si="9"/>
        <v>4.4399149327586571E-5</v>
      </c>
    </row>
    <row r="59" spans="1:18" x14ac:dyDescent="0.2">
      <c r="A59" s="67" t="s">
        <v>214</v>
      </c>
      <c r="B59" s="69" t="s">
        <v>42</v>
      </c>
      <c r="C59" s="68">
        <v>46475.542999999998</v>
      </c>
      <c r="D59" s="68" t="s">
        <v>61</v>
      </c>
      <c r="E59" s="28">
        <f t="shared" si="1"/>
        <v>-647.99596149441913</v>
      </c>
      <c r="F59">
        <f t="shared" si="2"/>
        <v>-648</v>
      </c>
      <c r="G59">
        <f t="shared" si="8"/>
        <v>3.7559999997029081E-2</v>
      </c>
      <c r="J59">
        <f>+G59</f>
        <v>3.7559999997029081E-2</v>
      </c>
      <c r="O59">
        <f t="shared" ca="1" si="7"/>
        <v>-3.241510671051225E-3</v>
      </c>
      <c r="P59" s="43">
        <f t="shared" si="4"/>
        <v>2.4798419154441746E-2</v>
      </c>
      <c r="Q59" s="2">
        <f t="shared" si="5"/>
        <v>31457.042999999998</v>
      </c>
      <c r="R59" s="45">
        <f t="shared" si="9"/>
        <v>1.6285794560189207E-4</v>
      </c>
    </row>
    <row r="60" spans="1:18" x14ac:dyDescent="0.2">
      <c r="A60" s="67" t="s">
        <v>219</v>
      </c>
      <c r="B60" s="69" t="s">
        <v>42</v>
      </c>
      <c r="C60" s="68">
        <v>51218.77</v>
      </c>
      <c r="D60" s="68" t="s">
        <v>61</v>
      </c>
      <c r="E60" s="28">
        <f t="shared" si="1"/>
        <v>-137.99732701680691</v>
      </c>
      <c r="F60">
        <f t="shared" si="2"/>
        <v>-138</v>
      </c>
      <c r="G60">
        <f t="shared" si="8"/>
        <v>2.4859999997715931E-2</v>
      </c>
      <c r="J60">
        <f>+G60</f>
        <v>2.4859999997715931E-2</v>
      </c>
      <c r="O60">
        <f t="shared" ca="1" si="7"/>
        <v>-4.0305479895459545E-3</v>
      </c>
      <c r="P60" s="43">
        <f t="shared" si="4"/>
        <v>2.2589033360661762E-3</v>
      </c>
      <c r="Q60" s="2">
        <f t="shared" si="5"/>
        <v>36200.269999999997</v>
      </c>
      <c r="R60" s="45">
        <f t="shared" si="9"/>
        <v>5.108095703092358E-4</v>
      </c>
    </row>
    <row r="61" spans="1:18" x14ac:dyDescent="0.2">
      <c r="A61" s="28" t="s">
        <v>40</v>
      </c>
      <c r="B61" s="28"/>
      <c r="C61" s="35">
        <v>52502.21</v>
      </c>
      <c r="D61" s="28"/>
      <c r="E61" s="28">
        <f t="shared" si="1"/>
        <v>0</v>
      </c>
      <c r="F61">
        <f t="shared" si="2"/>
        <v>0</v>
      </c>
      <c r="G61">
        <f t="shared" si="8"/>
        <v>0</v>
      </c>
      <c r="I61">
        <f>+G61</f>
        <v>0</v>
      </c>
      <c r="O61">
        <f t="shared" ca="1" si="7"/>
        <v>-4.2440522051386464E-3</v>
      </c>
      <c r="P61" s="43">
        <f t="shared" si="4"/>
        <v>-1.1268888280953964E-2</v>
      </c>
      <c r="Q61" s="2">
        <f t="shared" si="5"/>
        <v>37483.71</v>
      </c>
      <c r="R61" s="45">
        <f t="shared" si="9"/>
        <v>1.269878430886216E-4</v>
      </c>
    </row>
    <row r="62" spans="1:18" x14ac:dyDescent="0.2">
      <c r="A62" s="67" t="s">
        <v>223</v>
      </c>
      <c r="B62" s="69" t="s">
        <v>42</v>
      </c>
      <c r="C62" s="68">
        <v>52716.120999999999</v>
      </c>
      <c r="D62" s="68" t="s">
        <v>61</v>
      </c>
      <c r="E62" s="28">
        <f t="shared" si="1"/>
        <v>23.000020429075093</v>
      </c>
      <c r="F62">
        <f t="shared" si="2"/>
        <v>23</v>
      </c>
      <c r="G62">
        <f t="shared" si="8"/>
        <v>1.8999999883817509E-4</v>
      </c>
      <c r="J62">
        <f>+G62</f>
        <v>1.8999999883817509E-4</v>
      </c>
      <c r="O62">
        <f t="shared" ca="1" si="7"/>
        <v>-4.2796362410707613E-3</v>
      </c>
      <c r="P62" s="43">
        <f t="shared" si="4"/>
        <v>-1.3831145493096742E-2</v>
      </c>
      <c r="Q62" s="2">
        <f t="shared" si="5"/>
        <v>37697.620999999999</v>
      </c>
      <c r="R62" s="45">
        <f t="shared" si="9"/>
        <v>1.9659252090600685E-4</v>
      </c>
    </row>
    <row r="63" spans="1:18" x14ac:dyDescent="0.2">
      <c r="A63" s="67" t="s">
        <v>227</v>
      </c>
      <c r="B63" s="69" t="s">
        <v>42</v>
      </c>
      <c r="C63" s="68">
        <v>54083.284</v>
      </c>
      <c r="D63" s="68" t="s">
        <v>61</v>
      </c>
      <c r="E63" s="28">
        <f t="shared" si="1"/>
        <v>169.99936562345778</v>
      </c>
      <c r="F63">
        <f t="shared" si="2"/>
        <v>170</v>
      </c>
      <c r="G63">
        <f t="shared" si="8"/>
        <v>-5.8999999964726157E-3</v>
      </c>
      <c r="J63">
        <f>+G63</f>
        <v>-5.8999999964726157E-3</v>
      </c>
      <c r="O63">
        <f t="shared" ca="1" si="7"/>
        <v>-4.5070646446368897E-3</v>
      </c>
      <c r="P63" s="43">
        <f t="shared" si="4"/>
        <v>-3.2283345624434107E-2</v>
      </c>
      <c r="Q63" s="2">
        <f t="shared" si="5"/>
        <v>39064.784</v>
      </c>
      <c r="R63" s="45">
        <f t="shared" si="9"/>
        <v>6.9608092652447473E-4</v>
      </c>
    </row>
    <row r="64" spans="1:18" x14ac:dyDescent="0.2">
      <c r="A64" s="32" t="s">
        <v>44</v>
      </c>
      <c r="B64" s="33" t="s">
        <v>42</v>
      </c>
      <c r="C64" s="34">
        <v>55943.3217</v>
      </c>
      <c r="D64" s="34">
        <v>2.0000000000000001E-4</v>
      </c>
      <c r="E64" s="28">
        <f t="shared" si="1"/>
        <v>369.99331216594442</v>
      </c>
      <c r="F64">
        <f t="shared" si="2"/>
        <v>370</v>
      </c>
      <c r="G64">
        <f t="shared" si="8"/>
        <v>-6.220000000030268E-2</v>
      </c>
      <c r="L64">
        <f>+G64</f>
        <v>-6.220000000030268E-2</v>
      </c>
      <c r="O64">
        <f t="shared" ca="1" si="7"/>
        <v>-4.8164910440465876E-3</v>
      </c>
      <c r="P64" s="43">
        <f t="shared" si="4"/>
        <v>-6.3153757659697468E-2</v>
      </c>
      <c r="Q64" s="2">
        <f t="shared" si="5"/>
        <v>40924.8217</v>
      </c>
      <c r="R64" s="45">
        <f t="shared" si="9"/>
        <v>9.0965367285422503E-7</v>
      </c>
    </row>
    <row r="65" spans="2:4" x14ac:dyDescent="0.2">
      <c r="B65" s="3"/>
      <c r="C65" s="10"/>
      <c r="D65" s="10"/>
    </row>
    <row r="66" spans="2:4" x14ac:dyDescent="0.2">
      <c r="B66" s="3"/>
      <c r="C66" s="10"/>
      <c r="D66" s="10"/>
    </row>
    <row r="67" spans="2:4" x14ac:dyDescent="0.2">
      <c r="B67" s="3"/>
      <c r="C67" s="10"/>
      <c r="D67" s="10"/>
    </row>
    <row r="68" spans="2:4" x14ac:dyDescent="0.2">
      <c r="B68" s="3"/>
      <c r="C68" s="10"/>
      <c r="D68" s="10"/>
    </row>
    <row r="69" spans="2:4" x14ac:dyDescent="0.2">
      <c r="B69" s="3"/>
      <c r="C69" s="10"/>
      <c r="D69" s="10"/>
    </row>
    <row r="70" spans="2:4" x14ac:dyDescent="0.2">
      <c r="B70" s="3"/>
      <c r="C70" s="10"/>
      <c r="D70" s="10"/>
    </row>
    <row r="71" spans="2:4" x14ac:dyDescent="0.2">
      <c r="B71" s="3"/>
      <c r="C71" s="10"/>
      <c r="D71" s="10"/>
    </row>
    <row r="72" spans="2:4" x14ac:dyDescent="0.2">
      <c r="B72" s="3"/>
      <c r="C72" s="10"/>
      <c r="D72" s="10"/>
    </row>
    <row r="73" spans="2:4" x14ac:dyDescent="0.2">
      <c r="B73" s="3"/>
      <c r="C73" s="10"/>
      <c r="D73" s="10"/>
    </row>
    <row r="74" spans="2:4" x14ac:dyDescent="0.2">
      <c r="B74" s="3"/>
      <c r="C74" s="10"/>
      <c r="D74" s="10"/>
    </row>
    <row r="75" spans="2:4" x14ac:dyDescent="0.2">
      <c r="B75" s="3"/>
      <c r="C75" s="10"/>
      <c r="D75" s="10"/>
    </row>
    <row r="76" spans="2:4" x14ac:dyDescent="0.2">
      <c r="B76" s="3"/>
      <c r="C76" s="10"/>
      <c r="D76" s="10"/>
    </row>
    <row r="77" spans="2:4" x14ac:dyDescent="0.2">
      <c r="B77" s="3"/>
      <c r="C77" s="10"/>
      <c r="D77" s="10"/>
    </row>
    <row r="78" spans="2:4" x14ac:dyDescent="0.2">
      <c r="B78" s="3"/>
      <c r="C78" s="10"/>
      <c r="D78" s="10"/>
    </row>
    <row r="79" spans="2:4" x14ac:dyDescent="0.2">
      <c r="B79" s="3"/>
      <c r="C79" s="10"/>
      <c r="D79" s="10"/>
    </row>
    <row r="80" spans="2:4" x14ac:dyDescent="0.2">
      <c r="B80" s="3"/>
      <c r="C80" s="10"/>
      <c r="D80" s="10"/>
    </row>
    <row r="81" spans="2:4" x14ac:dyDescent="0.2">
      <c r="B81" s="3"/>
      <c r="C81" s="10"/>
      <c r="D81" s="10"/>
    </row>
    <row r="82" spans="2:4" x14ac:dyDescent="0.2">
      <c r="B82" s="3"/>
      <c r="C82" s="10"/>
      <c r="D82" s="10"/>
    </row>
    <row r="83" spans="2:4" x14ac:dyDescent="0.2">
      <c r="B83" s="3"/>
      <c r="C83" s="10"/>
      <c r="D83" s="10"/>
    </row>
    <row r="84" spans="2:4" x14ac:dyDescent="0.2">
      <c r="B84" s="3"/>
      <c r="C84" s="10"/>
      <c r="D84" s="10"/>
    </row>
    <row r="85" spans="2:4" x14ac:dyDescent="0.2">
      <c r="B85" s="3"/>
      <c r="C85" s="10"/>
      <c r="D85" s="10"/>
    </row>
    <row r="86" spans="2:4" x14ac:dyDescent="0.2">
      <c r="B86" s="3"/>
      <c r="C86" s="10"/>
      <c r="D86" s="10"/>
    </row>
    <row r="87" spans="2:4" x14ac:dyDescent="0.2">
      <c r="B87" s="3"/>
      <c r="C87" s="10"/>
      <c r="D87" s="10"/>
    </row>
    <row r="88" spans="2:4" x14ac:dyDescent="0.2">
      <c r="B88" s="3"/>
      <c r="C88" s="10"/>
      <c r="D88" s="10"/>
    </row>
    <row r="89" spans="2:4" x14ac:dyDescent="0.2">
      <c r="B89" s="3"/>
      <c r="C89" s="10"/>
      <c r="D89" s="10"/>
    </row>
    <row r="90" spans="2:4" x14ac:dyDescent="0.2">
      <c r="B90" s="3"/>
      <c r="C90" s="10"/>
      <c r="D90" s="10"/>
    </row>
    <row r="91" spans="2:4" x14ac:dyDescent="0.2">
      <c r="B91" s="3"/>
      <c r="C91" s="10"/>
      <c r="D91" s="10"/>
    </row>
    <row r="92" spans="2:4" x14ac:dyDescent="0.2">
      <c r="B92" s="3"/>
      <c r="C92" s="10"/>
      <c r="D92" s="10"/>
    </row>
    <row r="93" spans="2:4" x14ac:dyDescent="0.2">
      <c r="B93" s="3"/>
      <c r="C93" s="10"/>
      <c r="D93" s="10"/>
    </row>
    <row r="94" spans="2:4" x14ac:dyDescent="0.2">
      <c r="B94" s="3"/>
      <c r="C94" s="10"/>
      <c r="D94" s="10"/>
    </row>
    <row r="95" spans="2:4" x14ac:dyDescent="0.2">
      <c r="B95" s="3"/>
      <c r="C95" s="10"/>
      <c r="D95" s="10"/>
    </row>
    <row r="96" spans="2:4" x14ac:dyDescent="0.2">
      <c r="B96" s="3"/>
      <c r="C96" s="10"/>
      <c r="D96" s="10"/>
    </row>
    <row r="97" spans="2:4" x14ac:dyDescent="0.2">
      <c r="B97" s="3"/>
      <c r="C97" s="10"/>
      <c r="D97" s="10"/>
    </row>
    <row r="98" spans="2:4" x14ac:dyDescent="0.2">
      <c r="B98" s="3"/>
      <c r="C98" s="10"/>
      <c r="D98" s="10"/>
    </row>
    <row r="99" spans="2:4" x14ac:dyDescent="0.2">
      <c r="B99" s="3"/>
      <c r="C99" s="10"/>
      <c r="D99" s="10"/>
    </row>
    <row r="100" spans="2:4" x14ac:dyDescent="0.2">
      <c r="B100" s="3"/>
      <c r="C100" s="10"/>
      <c r="D100" s="10"/>
    </row>
    <row r="101" spans="2:4" x14ac:dyDescent="0.2">
      <c r="B101" s="3"/>
      <c r="C101" s="10"/>
      <c r="D101" s="10"/>
    </row>
    <row r="102" spans="2:4" x14ac:dyDescent="0.2">
      <c r="B102" s="3"/>
      <c r="C102" s="10"/>
      <c r="D102" s="10"/>
    </row>
    <row r="103" spans="2:4" x14ac:dyDescent="0.2">
      <c r="B103" s="3"/>
      <c r="C103" s="10"/>
      <c r="D103" s="10"/>
    </row>
    <row r="104" spans="2:4" x14ac:dyDescent="0.2">
      <c r="B104" s="3"/>
      <c r="C104" s="10"/>
      <c r="D104" s="10"/>
    </row>
    <row r="105" spans="2:4" x14ac:dyDescent="0.2">
      <c r="B105" s="3"/>
      <c r="C105" s="10"/>
      <c r="D105" s="10"/>
    </row>
    <row r="106" spans="2:4" x14ac:dyDescent="0.2">
      <c r="B106" s="3"/>
      <c r="C106" s="10"/>
      <c r="D106" s="10"/>
    </row>
    <row r="107" spans="2:4" x14ac:dyDescent="0.2">
      <c r="B107" s="3"/>
      <c r="C107" s="10"/>
      <c r="D107" s="10"/>
    </row>
    <row r="108" spans="2:4" x14ac:dyDescent="0.2">
      <c r="B108" s="3"/>
      <c r="C108" s="10"/>
      <c r="D108" s="10"/>
    </row>
    <row r="109" spans="2:4" x14ac:dyDescent="0.2">
      <c r="B109" s="3"/>
      <c r="C109" s="10"/>
      <c r="D109" s="10"/>
    </row>
    <row r="110" spans="2:4" x14ac:dyDescent="0.2">
      <c r="B110" s="3"/>
      <c r="C110" s="10"/>
      <c r="D110" s="10"/>
    </row>
    <row r="111" spans="2:4" x14ac:dyDescent="0.2">
      <c r="B111" s="3"/>
      <c r="C111" s="10"/>
      <c r="D111" s="10"/>
    </row>
    <row r="112" spans="2:4" x14ac:dyDescent="0.2">
      <c r="B112" s="3"/>
      <c r="C112" s="10"/>
      <c r="D112" s="10"/>
    </row>
    <row r="113" spans="2:4" x14ac:dyDescent="0.2">
      <c r="B113" s="3"/>
      <c r="C113" s="10"/>
      <c r="D113" s="10"/>
    </row>
    <row r="114" spans="2:4" x14ac:dyDescent="0.2">
      <c r="B114" s="3"/>
      <c r="C114" s="10"/>
      <c r="D114" s="10"/>
    </row>
    <row r="115" spans="2:4" x14ac:dyDescent="0.2">
      <c r="B115" s="3"/>
      <c r="C115" s="10"/>
      <c r="D115" s="10"/>
    </row>
    <row r="116" spans="2:4" x14ac:dyDescent="0.2">
      <c r="B116" s="3"/>
      <c r="C116" s="10"/>
      <c r="D116" s="10"/>
    </row>
    <row r="117" spans="2:4" x14ac:dyDescent="0.2">
      <c r="B117" s="3"/>
      <c r="C117" s="10"/>
      <c r="D117" s="10"/>
    </row>
    <row r="118" spans="2:4" x14ac:dyDescent="0.2">
      <c r="B118" s="3"/>
      <c r="C118" s="10"/>
      <c r="D118" s="10"/>
    </row>
    <row r="119" spans="2:4" x14ac:dyDescent="0.2">
      <c r="B119" s="3"/>
      <c r="C119" s="10"/>
      <c r="D119" s="10"/>
    </row>
    <row r="120" spans="2:4" x14ac:dyDescent="0.2">
      <c r="B120" s="3"/>
      <c r="C120" s="10"/>
      <c r="D120" s="10"/>
    </row>
    <row r="121" spans="2:4" x14ac:dyDescent="0.2">
      <c r="B121" s="3"/>
      <c r="C121" s="10"/>
      <c r="D121" s="10"/>
    </row>
    <row r="122" spans="2:4" x14ac:dyDescent="0.2">
      <c r="B122" s="3"/>
      <c r="C122" s="10"/>
      <c r="D122" s="10"/>
    </row>
    <row r="123" spans="2:4" x14ac:dyDescent="0.2">
      <c r="B123" s="3"/>
      <c r="C123" s="10"/>
      <c r="D123" s="10"/>
    </row>
    <row r="124" spans="2:4" x14ac:dyDescent="0.2">
      <c r="B124" s="3"/>
      <c r="C124" s="10"/>
      <c r="D124" s="10"/>
    </row>
    <row r="125" spans="2:4" x14ac:dyDescent="0.2">
      <c r="B125" s="3"/>
      <c r="C125" s="10"/>
      <c r="D125" s="10"/>
    </row>
    <row r="126" spans="2:4" x14ac:dyDescent="0.2">
      <c r="B126" s="3"/>
      <c r="C126" s="10"/>
      <c r="D126" s="10"/>
    </row>
    <row r="127" spans="2:4" x14ac:dyDescent="0.2">
      <c r="B127" s="3"/>
      <c r="C127" s="10"/>
      <c r="D127" s="10"/>
    </row>
    <row r="128" spans="2:4" x14ac:dyDescent="0.2">
      <c r="B128" s="3"/>
      <c r="C128" s="10"/>
      <c r="D128" s="10"/>
    </row>
    <row r="129" spans="2:4" x14ac:dyDescent="0.2">
      <c r="B129" s="3"/>
      <c r="C129" s="10"/>
      <c r="D129" s="10"/>
    </row>
    <row r="130" spans="2:4" x14ac:dyDescent="0.2">
      <c r="B130" s="3"/>
      <c r="C130" s="10"/>
      <c r="D130" s="10"/>
    </row>
    <row r="131" spans="2:4" x14ac:dyDescent="0.2">
      <c r="B131" s="3"/>
      <c r="C131" s="10"/>
      <c r="D131" s="10"/>
    </row>
    <row r="132" spans="2:4" x14ac:dyDescent="0.2">
      <c r="B132" s="3"/>
      <c r="C132" s="10"/>
      <c r="D132" s="10"/>
    </row>
    <row r="133" spans="2:4" x14ac:dyDescent="0.2">
      <c r="B133" s="3"/>
      <c r="C133" s="10"/>
      <c r="D133" s="10"/>
    </row>
    <row r="134" spans="2:4" x14ac:dyDescent="0.2">
      <c r="B134" s="3"/>
      <c r="C134" s="10"/>
      <c r="D134" s="10"/>
    </row>
    <row r="135" spans="2:4" x14ac:dyDescent="0.2">
      <c r="B135" s="3"/>
      <c r="C135" s="10"/>
      <c r="D135" s="10"/>
    </row>
    <row r="136" spans="2:4" x14ac:dyDescent="0.2">
      <c r="B136" s="3"/>
      <c r="C136" s="10"/>
      <c r="D136" s="10"/>
    </row>
    <row r="137" spans="2:4" x14ac:dyDescent="0.2">
      <c r="B137" s="3"/>
      <c r="C137" s="10"/>
      <c r="D137" s="10"/>
    </row>
    <row r="138" spans="2:4" x14ac:dyDescent="0.2">
      <c r="B138" s="3"/>
      <c r="C138" s="10"/>
      <c r="D138" s="10"/>
    </row>
    <row r="139" spans="2:4" x14ac:dyDescent="0.2">
      <c r="B139" s="3"/>
      <c r="C139" s="10"/>
      <c r="D139" s="10"/>
    </row>
    <row r="140" spans="2:4" x14ac:dyDescent="0.2">
      <c r="B140" s="3"/>
      <c r="C140" s="10"/>
      <c r="D140" s="10"/>
    </row>
    <row r="141" spans="2:4" x14ac:dyDescent="0.2">
      <c r="B141" s="3"/>
      <c r="C141" s="10"/>
      <c r="D141" s="10"/>
    </row>
    <row r="142" spans="2:4" x14ac:dyDescent="0.2">
      <c r="B142" s="3"/>
      <c r="C142" s="10"/>
      <c r="D142" s="10"/>
    </row>
    <row r="143" spans="2:4" x14ac:dyDescent="0.2">
      <c r="B143" s="3"/>
      <c r="C143" s="10"/>
      <c r="D143" s="10"/>
    </row>
    <row r="144" spans="2:4" x14ac:dyDescent="0.2">
      <c r="B144" s="3"/>
      <c r="C144" s="10"/>
      <c r="D144" s="10"/>
    </row>
    <row r="145" spans="2:4" x14ac:dyDescent="0.2">
      <c r="B145" s="3"/>
      <c r="C145" s="10"/>
      <c r="D145" s="10"/>
    </row>
    <row r="146" spans="2:4" x14ac:dyDescent="0.2">
      <c r="B146" s="3"/>
      <c r="C146" s="10"/>
      <c r="D146" s="10"/>
    </row>
    <row r="147" spans="2:4" x14ac:dyDescent="0.2">
      <c r="B147" s="3"/>
      <c r="C147" s="10"/>
      <c r="D147" s="10"/>
    </row>
    <row r="148" spans="2:4" x14ac:dyDescent="0.2">
      <c r="B148" s="3"/>
      <c r="C148" s="10"/>
      <c r="D148" s="10"/>
    </row>
    <row r="149" spans="2:4" x14ac:dyDescent="0.2">
      <c r="B149" s="3"/>
      <c r="C149" s="10"/>
      <c r="D149" s="10"/>
    </row>
    <row r="150" spans="2:4" x14ac:dyDescent="0.2">
      <c r="B150" s="3"/>
      <c r="C150" s="10"/>
      <c r="D150" s="10"/>
    </row>
    <row r="151" spans="2:4" x14ac:dyDescent="0.2">
      <c r="B151" s="3"/>
      <c r="C151" s="10"/>
      <c r="D151" s="10"/>
    </row>
    <row r="152" spans="2:4" x14ac:dyDescent="0.2">
      <c r="B152" s="3"/>
      <c r="C152" s="10"/>
      <c r="D152" s="10"/>
    </row>
    <row r="153" spans="2:4" x14ac:dyDescent="0.2">
      <c r="B153" s="3"/>
      <c r="C153" s="10"/>
      <c r="D153" s="10"/>
    </row>
    <row r="154" spans="2:4" x14ac:dyDescent="0.2">
      <c r="B154" s="3"/>
      <c r="C154" s="10"/>
      <c r="D154" s="10"/>
    </row>
    <row r="155" spans="2:4" x14ac:dyDescent="0.2">
      <c r="B155" s="3"/>
      <c r="C155" s="10"/>
      <c r="D155" s="10"/>
    </row>
    <row r="156" spans="2:4" x14ac:dyDescent="0.2">
      <c r="B156" s="3"/>
      <c r="C156" s="10"/>
      <c r="D156" s="10"/>
    </row>
    <row r="157" spans="2:4" x14ac:dyDescent="0.2">
      <c r="B157" s="3"/>
      <c r="C157" s="10"/>
      <c r="D157" s="10"/>
    </row>
    <row r="158" spans="2:4" x14ac:dyDescent="0.2">
      <c r="B158" s="3"/>
      <c r="C158" s="10"/>
      <c r="D158" s="10"/>
    </row>
    <row r="159" spans="2:4" x14ac:dyDescent="0.2">
      <c r="B159" s="3"/>
      <c r="C159" s="10"/>
      <c r="D159" s="10"/>
    </row>
    <row r="160" spans="2:4" x14ac:dyDescent="0.2">
      <c r="B160" s="3"/>
      <c r="C160" s="10"/>
      <c r="D160" s="10"/>
    </row>
    <row r="161" spans="2:4" x14ac:dyDescent="0.2">
      <c r="B161" s="3"/>
      <c r="C161" s="10"/>
      <c r="D161" s="10"/>
    </row>
    <row r="162" spans="2:4" x14ac:dyDescent="0.2">
      <c r="B162" s="3"/>
      <c r="C162" s="10"/>
      <c r="D162" s="10"/>
    </row>
    <row r="163" spans="2:4" x14ac:dyDescent="0.2">
      <c r="B163" s="3"/>
      <c r="C163" s="10"/>
      <c r="D163" s="10"/>
    </row>
    <row r="164" spans="2:4" x14ac:dyDescent="0.2">
      <c r="B164" s="3"/>
      <c r="C164" s="10"/>
      <c r="D164" s="10"/>
    </row>
    <row r="165" spans="2:4" x14ac:dyDescent="0.2">
      <c r="B165" s="3"/>
      <c r="C165" s="10"/>
      <c r="D165" s="10"/>
    </row>
    <row r="166" spans="2:4" x14ac:dyDescent="0.2">
      <c r="B166" s="3"/>
      <c r="C166" s="10"/>
      <c r="D166" s="10"/>
    </row>
    <row r="167" spans="2:4" x14ac:dyDescent="0.2">
      <c r="B167" s="3"/>
      <c r="C167" s="10"/>
      <c r="D167" s="10"/>
    </row>
    <row r="168" spans="2:4" x14ac:dyDescent="0.2">
      <c r="B168" s="3"/>
      <c r="C168" s="10"/>
      <c r="D168" s="10"/>
    </row>
    <row r="169" spans="2:4" x14ac:dyDescent="0.2">
      <c r="B169" s="3"/>
      <c r="C169" s="10"/>
      <c r="D169" s="10"/>
    </row>
    <row r="170" spans="2:4" x14ac:dyDescent="0.2">
      <c r="B170" s="3"/>
      <c r="C170" s="10"/>
      <c r="D170" s="10"/>
    </row>
    <row r="171" spans="2:4" x14ac:dyDescent="0.2">
      <c r="B171" s="3"/>
      <c r="C171" s="10"/>
      <c r="D171" s="10"/>
    </row>
    <row r="172" spans="2:4" x14ac:dyDescent="0.2">
      <c r="B172" s="3"/>
      <c r="C172" s="10"/>
      <c r="D172" s="10"/>
    </row>
    <row r="173" spans="2:4" x14ac:dyDescent="0.2">
      <c r="B173" s="3"/>
      <c r="C173" s="10"/>
      <c r="D173" s="10"/>
    </row>
    <row r="174" spans="2:4" x14ac:dyDescent="0.2">
      <c r="B174" s="3"/>
      <c r="C174" s="10"/>
      <c r="D174" s="10"/>
    </row>
    <row r="175" spans="2:4" x14ac:dyDescent="0.2">
      <c r="B175" s="3"/>
      <c r="C175" s="10"/>
      <c r="D175" s="10"/>
    </row>
    <row r="176" spans="2:4" x14ac:dyDescent="0.2">
      <c r="B176" s="3"/>
      <c r="C176" s="10"/>
      <c r="D176" s="10"/>
    </row>
    <row r="177" spans="2:4" x14ac:dyDescent="0.2">
      <c r="B177" s="3"/>
      <c r="C177" s="10"/>
      <c r="D177" s="10"/>
    </row>
    <row r="178" spans="2:4" x14ac:dyDescent="0.2">
      <c r="B178" s="3"/>
      <c r="C178" s="10"/>
      <c r="D178" s="10"/>
    </row>
    <row r="179" spans="2:4" x14ac:dyDescent="0.2">
      <c r="B179" s="3"/>
      <c r="C179" s="10"/>
      <c r="D179" s="10"/>
    </row>
    <row r="180" spans="2:4" x14ac:dyDescent="0.2">
      <c r="B180" s="3"/>
      <c r="C180" s="10"/>
      <c r="D180" s="10"/>
    </row>
    <row r="181" spans="2:4" x14ac:dyDescent="0.2">
      <c r="B181" s="3"/>
      <c r="C181" s="10"/>
      <c r="D181" s="10"/>
    </row>
    <row r="182" spans="2:4" x14ac:dyDescent="0.2">
      <c r="B182" s="3"/>
      <c r="C182" s="10"/>
      <c r="D182" s="10"/>
    </row>
    <row r="183" spans="2:4" x14ac:dyDescent="0.2">
      <c r="B183" s="3"/>
      <c r="C183" s="10"/>
      <c r="D183" s="10"/>
    </row>
    <row r="184" spans="2:4" x14ac:dyDescent="0.2">
      <c r="B184" s="3"/>
      <c r="C184" s="10"/>
      <c r="D184" s="10"/>
    </row>
    <row r="185" spans="2:4" x14ac:dyDescent="0.2">
      <c r="B185" s="3"/>
      <c r="C185" s="10"/>
      <c r="D185" s="10"/>
    </row>
    <row r="186" spans="2:4" x14ac:dyDescent="0.2">
      <c r="B186" s="3"/>
      <c r="C186" s="10"/>
      <c r="D186" s="10"/>
    </row>
    <row r="187" spans="2:4" x14ac:dyDescent="0.2">
      <c r="B187" s="3"/>
      <c r="C187" s="10"/>
      <c r="D187" s="10"/>
    </row>
    <row r="188" spans="2:4" x14ac:dyDescent="0.2">
      <c r="B188" s="3"/>
      <c r="C188" s="10"/>
      <c r="D188" s="10"/>
    </row>
    <row r="189" spans="2:4" x14ac:dyDescent="0.2">
      <c r="B189" s="3"/>
      <c r="C189" s="10"/>
      <c r="D189" s="10"/>
    </row>
    <row r="190" spans="2:4" x14ac:dyDescent="0.2">
      <c r="B190" s="3"/>
      <c r="C190" s="10"/>
      <c r="D190" s="10"/>
    </row>
    <row r="191" spans="2:4" x14ac:dyDescent="0.2">
      <c r="B191" s="3"/>
      <c r="C191" s="10"/>
      <c r="D191" s="10"/>
    </row>
    <row r="192" spans="2:4" x14ac:dyDescent="0.2">
      <c r="B192" s="3"/>
      <c r="C192" s="10"/>
      <c r="D192" s="10"/>
    </row>
    <row r="193" spans="2:4" x14ac:dyDescent="0.2">
      <c r="B193" s="3"/>
      <c r="C193" s="10"/>
      <c r="D193" s="10"/>
    </row>
    <row r="194" spans="2:4" x14ac:dyDescent="0.2">
      <c r="B194" s="3"/>
      <c r="C194" s="10"/>
      <c r="D194" s="10"/>
    </row>
    <row r="195" spans="2:4" x14ac:dyDescent="0.2">
      <c r="B195" s="3"/>
      <c r="C195" s="10"/>
      <c r="D195" s="10"/>
    </row>
    <row r="196" spans="2:4" x14ac:dyDescent="0.2">
      <c r="B196" s="3"/>
      <c r="C196" s="10"/>
      <c r="D196" s="10"/>
    </row>
    <row r="197" spans="2:4" x14ac:dyDescent="0.2">
      <c r="B197" s="3"/>
      <c r="C197" s="10"/>
      <c r="D197" s="10"/>
    </row>
    <row r="198" spans="2:4" x14ac:dyDescent="0.2">
      <c r="B198" s="3"/>
      <c r="C198" s="10"/>
      <c r="D198" s="10"/>
    </row>
    <row r="199" spans="2:4" x14ac:dyDescent="0.2">
      <c r="C199" s="10"/>
      <c r="D199" s="10"/>
    </row>
    <row r="200" spans="2:4" x14ac:dyDescent="0.2">
      <c r="C200" s="10"/>
      <c r="D200" s="10"/>
    </row>
    <row r="201" spans="2:4" x14ac:dyDescent="0.2">
      <c r="C201" s="10"/>
      <c r="D201" s="10"/>
    </row>
    <row r="202" spans="2:4" x14ac:dyDescent="0.2">
      <c r="C202" s="10"/>
      <c r="D202" s="10"/>
    </row>
    <row r="203" spans="2:4" x14ac:dyDescent="0.2">
      <c r="C203" s="10"/>
      <c r="D203" s="10"/>
    </row>
    <row r="204" spans="2:4" x14ac:dyDescent="0.2">
      <c r="C204" s="10"/>
      <c r="D204" s="10"/>
    </row>
    <row r="205" spans="2:4" x14ac:dyDescent="0.2">
      <c r="C205" s="10"/>
      <c r="D205" s="10"/>
    </row>
    <row r="206" spans="2:4" x14ac:dyDescent="0.2">
      <c r="C206" s="10"/>
      <c r="D206" s="10"/>
    </row>
    <row r="207" spans="2:4" x14ac:dyDescent="0.2">
      <c r="C207" s="10"/>
      <c r="D207" s="10"/>
    </row>
    <row r="208" spans="2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0"/>
  <sheetViews>
    <sheetView workbookViewId="0">
      <selection activeCell="A33" sqref="A33:D52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54" t="s">
        <v>52</v>
      </c>
      <c r="I1" s="55" t="s">
        <v>53</v>
      </c>
      <c r="J1" s="56" t="s">
        <v>54</v>
      </c>
    </row>
    <row r="2" spans="1:16" x14ac:dyDescent="0.2">
      <c r="I2" s="57" t="s">
        <v>55</v>
      </c>
      <c r="J2" s="58" t="s">
        <v>43</v>
      </c>
    </row>
    <row r="3" spans="1:16" x14ac:dyDescent="0.2">
      <c r="A3" s="59" t="s">
        <v>56</v>
      </c>
      <c r="I3" s="57" t="s">
        <v>57</v>
      </c>
      <c r="J3" s="58" t="s">
        <v>58</v>
      </c>
    </row>
    <row r="4" spans="1:16" x14ac:dyDescent="0.2">
      <c r="I4" s="57" t="s">
        <v>59</v>
      </c>
      <c r="J4" s="58" t="s">
        <v>58</v>
      </c>
    </row>
    <row r="5" spans="1:16" ht="13.5" thickBot="1" x14ac:dyDescent="0.25">
      <c r="I5" s="60" t="s">
        <v>60</v>
      </c>
      <c r="J5" s="61" t="s">
        <v>61</v>
      </c>
    </row>
    <row r="10" spans="1:16" ht="13.5" thickBot="1" x14ac:dyDescent="0.25"/>
    <row r="11" spans="1:16" ht="12.75" customHeight="1" thickBot="1" x14ac:dyDescent="0.25">
      <c r="A11" s="10" t="str">
        <f t="shared" ref="A11:A52" si="0">P11</f>
        <v> AN 178.164 </v>
      </c>
      <c r="B11" s="3" t="str">
        <f t="shared" ref="B11:B52" si="1">IF(H11=INT(H11),"I","II")</f>
        <v>I</v>
      </c>
      <c r="C11" s="10">
        <f t="shared" ref="C11:C52" si="2">1*G11</f>
        <v>18015.32</v>
      </c>
      <c r="D11" s="12" t="str">
        <f t="shared" ref="D11:D52" si="3">VLOOKUP(F11,I$1:J$5,2,FALSE)</f>
        <v>vis</v>
      </c>
      <c r="E11" s="62">
        <f>VLOOKUP(C11,Active!C$21:E$973,3,FALSE)</f>
        <v>-3708.0803443266841</v>
      </c>
      <c r="F11" s="3" t="s">
        <v>60</v>
      </c>
      <c r="G11" s="12" t="str">
        <f t="shared" ref="G11:G52" si="4">MID(I11,3,LEN(I11)-3)</f>
        <v>18015.32</v>
      </c>
      <c r="H11" s="10">
        <f t="shared" ref="H11:H52" si="5">1*K11</f>
        <v>-2335</v>
      </c>
      <c r="I11" s="63" t="s">
        <v>64</v>
      </c>
      <c r="J11" s="64" t="s">
        <v>65</v>
      </c>
      <c r="K11" s="63">
        <v>-2335</v>
      </c>
      <c r="L11" s="63" t="s">
        <v>66</v>
      </c>
      <c r="M11" s="64" t="s">
        <v>67</v>
      </c>
      <c r="N11" s="64"/>
      <c r="O11" s="65" t="s">
        <v>68</v>
      </c>
      <c r="P11" s="65" t="s">
        <v>69</v>
      </c>
    </row>
    <row r="12" spans="1:16" ht="12.75" customHeight="1" thickBot="1" x14ac:dyDescent="0.25">
      <c r="A12" s="10" t="str">
        <f t="shared" si="0"/>
        <v> AN 234.85 </v>
      </c>
      <c r="B12" s="3" t="str">
        <f t="shared" si="1"/>
        <v>I</v>
      </c>
      <c r="C12" s="10">
        <f t="shared" si="2"/>
        <v>23800.484</v>
      </c>
      <c r="D12" s="12" t="str">
        <f t="shared" si="3"/>
        <v>vis</v>
      </c>
      <c r="E12" s="62">
        <f>VLOOKUP(C12,Active!C$21:E$973,3,FALSE)</f>
        <v>-3086.0511350501638</v>
      </c>
      <c r="F12" s="3" t="s">
        <v>60</v>
      </c>
      <c r="G12" s="12" t="str">
        <f t="shared" si="4"/>
        <v>23800.484</v>
      </c>
      <c r="H12" s="10">
        <f t="shared" si="5"/>
        <v>-1713</v>
      </c>
      <c r="I12" s="63" t="s">
        <v>80</v>
      </c>
      <c r="J12" s="64" t="s">
        <v>81</v>
      </c>
      <c r="K12" s="63">
        <v>-1713</v>
      </c>
      <c r="L12" s="63" t="s">
        <v>82</v>
      </c>
      <c r="M12" s="64" t="s">
        <v>67</v>
      </c>
      <c r="N12" s="64"/>
      <c r="O12" s="65" t="s">
        <v>83</v>
      </c>
      <c r="P12" s="65" t="s">
        <v>84</v>
      </c>
    </row>
    <row r="13" spans="1:16" ht="12.75" customHeight="1" thickBot="1" x14ac:dyDescent="0.25">
      <c r="A13" s="10" t="str">
        <f t="shared" si="0"/>
        <v> AN 234.85 </v>
      </c>
      <c r="B13" s="3" t="str">
        <f t="shared" si="1"/>
        <v>I</v>
      </c>
      <c r="C13" s="10">
        <f t="shared" si="2"/>
        <v>24628.261999999999</v>
      </c>
      <c r="D13" s="12" t="str">
        <f t="shared" si="3"/>
        <v>vis</v>
      </c>
      <c r="E13" s="62">
        <f>VLOOKUP(C13,Active!C$21:E$973,3,FALSE)</f>
        <v>-2997.0472459993957</v>
      </c>
      <c r="F13" s="3" t="s">
        <v>60</v>
      </c>
      <c r="G13" s="12" t="str">
        <f t="shared" si="4"/>
        <v>24628.262</v>
      </c>
      <c r="H13" s="10">
        <f t="shared" si="5"/>
        <v>-1624</v>
      </c>
      <c r="I13" s="63" t="s">
        <v>85</v>
      </c>
      <c r="J13" s="64" t="s">
        <v>86</v>
      </c>
      <c r="K13" s="63">
        <v>-1624</v>
      </c>
      <c r="L13" s="63" t="s">
        <v>87</v>
      </c>
      <c r="M13" s="64" t="s">
        <v>67</v>
      </c>
      <c r="N13" s="64"/>
      <c r="O13" s="65" t="s">
        <v>83</v>
      </c>
      <c r="P13" s="65" t="s">
        <v>84</v>
      </c>
    </row>
    <row r="14" spans="1:16" ht="12.75" customHeight="1" thickBot="1" x14ac:dyDescent="0.25">
      <c r="A14" s="10" t="str">
        <f t="shared" si="0"/>
        <v> AN 260.289 </v>
      </c>
      <c r="B14" s="3" t="str">
        <f t="shared" si="1"/>
        <v>I</v>
      </c>
      <c r="C14" s="10">
        <f t="shared" si="2"/>
        <v>27483.642</v>
      </c>
      <c r="D14" s="12" t="str">
        <f t="shared" si="3"/>
        <v>vis</v>
      </c>
      <c r="E14" s="62">
        <f>VLOOKUP(C14,Active!C$21:E$973,3,FALSE)</f>
        <v>-2690.032654263709</v>
      </c>
      <c r="F14" s="3" t="s">
        <v>60</v>
      </c>
      <c r="G14" s="12" t="str">
        <f t="shared" si="4"/>
        <v>27483.642</v>
      </c>
      <c r="H14" s="10">
        <f t="shared" si="5"/>
        <v>-1317</v>
      </c>
      <c r="I14" s="63" t="s">
        <v>93</v>
      </c>
      <c r="J14" s="64" t="s">
        <v>94</v>
      </c>
      <c r="K14" s="63">
        <v>-1317</v>
      </c>
      <c r="L14" s="63" t="s">
        <v>95</v>
      </c>
      <c r="M14" s="64" t="s">
        <v>67</v>
      </c>
      <c r="N14" s="64"/>
      <c r="O14" s="65" t="s">
        <v>96</v>
      </c>
      <c r="P14" s="65" t="s">
        <v>97</v>
      </c>
    </row>
    <row r="15" spans="1:16" ht="12.75" customHeight="1" thickBot="1" x14ac:dyDescent="0.25">
      <c r="A15" s="10" t="str">
        <f t="shared" si="0"/>
        <v> AN 260.289 </v>
      </c>
      <c r="B15" s="3" t="str">
        <f t="shared" si="1"/>
        <v>I</v>
      </c>
      <c r="C15" s="10">
        <f t="shared" si="2"/>
        <v>27827.743999999999</v>
      </c>
      <c r="D15" s="12" t="str">
        <f t="shared" si="3"/>
        <v>vis</v>
      </c>
      <c r="E15" s="62">
        <f>VLOOKUP(C15,Active!C$21:E$973,3,FALSE)</f>
        <v>-2653.0343090187912</v>
      </c>
      <c r="F15" s="3" t="s">
        <v>60</v>
      </c>
      <c r="G15" s="12" t="str">
        <f t="shared" si="4"/>
        <v>27827.744</v>
      </c>
      <c r="H15" s="10">
        <f t="shared" si="5"/>
        <v>-1280</v>
      </c>
      <c r="I15" s="63" t="s">
        <v>98</v>
      </c>
      <c r="J15" s="64" t="s">
        <v>99</v>
      </c>
      <c r="K15" s="63">
        <v>-1280</v>
      </c>
      <c r="L15" s="63" t="s">
        <v>100</v>
      </c>
      <c r="M15" s="64" t="s">
        <v>67</v>
      </c>
      <c r="N15" s="64"/>
      <c r="O15" s="65" t="s">
        <v>96</v>
      </c>
      <c r="P15" s="65" t="s">
        <v>97</v>
      </c>
    </row>
    <row r="16" spans="1:16" ht="12.75" customHeight="1" thickBot="1" x14ac:dyDescent="0.25">
      <c r="A16" s="10" t="str">
        <f t="shared" si="0"/>
        <v> AN 260.289 </v>
      </c>
      <c r="B16" s="3" t="str">
        <f t="shared" si="1"/>
        <v>I</v>
      </c>
      <c r="C16" s="10">
        <f t="shared" si="2"/>
        <v>27874.264999999999</v>
      </c>
      <c r="D16" s="12" t="str">
        <f t="shared" si="3"/>
        <v>vis</v>
      </c>
      <c r="E16" s="62">
        <f>VLOOKUP(C16,Active!C$21:E$973,3,FALSE)</f>
        <v>-2648.0323037437893</v>
      </c>
      <c r="F16" s="3" t="s">
        <v>60</v>
      </c>
      <c r="G16" s="12" t="str">
        <f t="shared" si="4"/>
        <v>27874.265</v>
      </c>
      <c r="H16" s="10">
        <f t="shared" si="5"/>
        <v>-1275</v>
      </c>
      <c r="I16" s="63" t="s">
        <v>101</v>
      </c>
      <c r="J16" s="64" t="s">
        <v>102</v>
      </c>
      <c r="K16" s="63">
        <v>-1275</v>
      </c>
      <c r="L16" s="63" t="s">
        <v>103</v>
      </c>
      <c r="M16" s="64" t="s">
        <v>67</v>
      </c>
      <c r="N16" s="64"/>
      <c r="O16" s="65" t="s">
        <v>96</v>
      </c>
      <c r="P16" s="65" t="s">
        <v>97</v>
      </c>
    </row>
    <row r="17" spans="1:16" ht="12.75" customHeight="1" thickBot="1" x14ac:dyDescent="0.25">
      <c r="A17" s="10" t="str">
        <f t="shared" si="0"/>
        <v> AN 260.289 </v>
      </c>
      <c r="B17" s="3" t="str">
        <f t="shared" si="1"/>
        <v>I</v>
      </c>
      <c r="C17" s="10">
        <f t="shared" si="2"/>
        <v>27883.562999999998</v>
      </c>
      <c r="D17" s="12" t="str">
        <f t="shared" si="3"/>
        <v>vis</v>
      </c>
      <c r="E17" s="62">
        <f>VLOOKUP(C17,Active!C$21:E$973,3,FALSE)</f>
        <v>-2647.0325693217655</v>
      </c>
      <c r="F17" s="3" t="s">
        <v>60</v>
      </c>
      <c r="G17" s="12" t="str">
        <f t="shared" si="4"/>
        <v>27883.563</v>
      </c>
      <c r="H17" s="10">
        <f t="shared" si="5"/>
        <v>-1274</v>
      </c>
      <c r="I17" s="63" t="s">
        <v>104</v>
      </c>
      <c r="J17" s="64" t="s">
        <v>105</v>
      </c>
      <c r="K17" s="63">
        <v>-1274</v>
      </c>
      <c r="L17" s="63" t="s">
        <v>106</v>
      </c>
      <c r="M17" s="64" t="s">
        <v>67</v>
      </c>
      <c r="N17" s="64"/>
      <c r="O17" s="65" t="s">
        <v>96</v>
      </c>
      <c r="P17" s="65" t="s">
        <v>97</v>
      </c>
    </row>
    <row r="18" spans="1:16" ht="12.75" customHeight="1" thickBot="1" x14ac:dyDescent="0.25">
      <c r="A18" s="10" t="str">
        <f t="shared" si="0"/>
        <v> AN 260.289 </v>
      </c>
      <c r="B18" s="3" t="str">
        <f t="shared" si="1"/>
        <v>I</v>
      </c>
      <c r="C18" s="10">
        <f t="shared" si="2"/>
        <v>28106.772000000001</v>
      </c>
      <c r="D18" s="12" t="str">
        <f t="shared" si="3"/>
        <v>vis</v>
      </c>
      <c r="E18" s="62">
        <f>VLOOKUP(C18,Active!C$21:E$973,3,FALSE)</f>
        <v>-2623.0328144706664</v>
      </c>
      <c r="F18" s="3" t="s">
        <v>60</v>
      </c>
      <c r="G18" s="12" t="str">
        <f t="shared" si="4"/>
        <v>28106.772</v>
      </c>
      <c r="H18" s="10">
        <f t="shared" si="5"/>
        <v>-1250</v>
      </c>
      <c r="I18" s="63" t="s">
        <v>107</v>
      </c>
      <c r="J18" s="64" t="s">
        <v>108</v>
      </c>
      <c r="K18" s="63">
        <v>-1250</v>
      </c>
      <c r="L18" s="63" t="s">
        <v>109</v>
      </c>
      <c r="M18" s="64" t="s">
        <v>67</v>
      </c>
      <c r="N18" s="64"/>
      <c r="O18" s="65" t="s">
        <v>96</v>
      </c>
      <c r="P18" s="65" t="s">
        <v>97</v>
      </c>
    </row>
    <row r="19" spans="1:16" ht="12.75" customHeight="1" thickBot="1" x14ac:dyDescent="0.25">
      <c r="A19" s="10" t="str">
        <f t="shared" si="0"/>
        <v> AN 260.289 </v>
      </c>
      <c r="B19" s="3" t="str">
        <f t="shared" si="1"/>
        <v>I</v>
      </c>
      <c r="C19" s="10">
        <f t="shared" si="2"/>
        <v>28209.09</v>
      </c>
      <c r="D19" s="12" t="str">
        <f t="shared" si="3"/>
        <v>vis</v>
      </c>
      <c r="E19" s="62">
        <f>VLOOKUP(C19,Active!C$21:E$973,3,FALSE)</f>
        <v>-2612.0314349704904</v>
      </c>
      <c r="F19" s="3" t="s">
        <v>60</v>
      </c>
      <c r="G19" s="12" t="str">
        <f t="shared" si="4"/>
        <v>28209.090</v>
      </c>
      <c r="H19" s="10">
        <f t="shared" si="5"/>
        <v>-1239</v>
      </c>
      <c r="I19" s="63" t="s">
        <v>110</v>
      </c>
      <c r="J19" s="64" t="s">
        <v>111</v>
      </c>
      <c r="K19" s="63">
        <v>-1239</v>
      </c>
      <c r="L19" s="63" t="s">
        <v>112</v>
      </c>
      <c r="M19" s="64" t="s">
        <v>67</v>
      </c>
      <c r="N19" s="64"/>
      <c r="O19" s="65" t="s">
        <v>96</v>
      </c>
      <c r="P19" s="65" t="s">
        <v>97</v>
      </c>
    </row>
    <row r="20" spans="1:16" ht="12.75" customHeight="1" thickBot="1" x14ac:dyDescent="0.25">
      <c r="A20" s="10" t="str">
        <f t="shared" si="0"/>
        <v> AN 260.289 </v>
      </c>
      <c r="B20" s="3" t="str">
        <f t="shared" si="1"/>
        <v>I</v>
      </c>
      <c r="C20" s="10">
        <f t="shared" si="2"/>
        <v>28246.3</v>
      </c>
      <c r="D20" s="12" t="str">
        <f t="shared" si="3"/>
        <v>vis</v>
      </c>
      <c r="E20" s="62">
        <f>VLOOKUP(C20,Active!C$21:E$973,3,FALSE)</f>
        <v>-2608.0305618963339</v>
      </c>
      <c r="F20" s="3" t="s">
        <v>60</v>
      </c>
      <c r="G20" s="12" t="str">
        <f t="shared" si="4"/>
        <v>28246.300</v>
      </c>
      <c r="H20" s="10">
        <f t="shared" si="5"/>
        <v>-1235</v>
      </c>
      <c r="I20" s="63" t="s">
        <v>113</v>
      </c>
      <c r="J20" s="64" t="s">
        <v>114</v>
      </c>
      <c r="K20" s="63">
        <v>-1235</v>
      </c>
      <c r="L20" s="63" t="s">
        <v>115</v>
      </c>
      <c r="M20" s="64" t="s">
        <v>67</v>
      </c>
      <c r="N20" s="64"/>
      <c r="O20" s="65" t="s">
        <v>96</v>
      </c>
      <c r="P20" s="65" t="s">
        <v>97</v>
      </c>
    </row>
    <row r="21" spans="1:16" ht="12.75" customHeight="1" thickBot="1" x14ac:dyDescent="0.25">
      <c r="A21" s="10" t="str">
        <f t="shared" si="0"/>
        <v> PDAO 8.235 </v>
      </c>
      <c r="B21" s="3" t="str">
        <f t="shared" si="1"/>
        <v>I</v>
      </c>
      <c r="C21" s="10">
        <f t="shared" si="2"/>
        <v>32245.67</v>
      </c>
      <c r="D21" s="12" t="str">
        <f t="shared" si="3"/>
        <v>vis</v>
      </c>
      <c r="E21" s="62">
        <f>VLOOKUP(C21,Active!C$21:E$973,3,FALSE)</f>
        <v>-2178.0125090452416</v>
      </c>
      <c r="F21" s="3" t="s">
        <v>60</v>
      </c>
      <c r="G21" s="12" t="str">
        <f t="shared" si="4"/>
        <v>32245.67</v>
      </c>
      <c r="H21" s="10">
        <f t="shared" si="5"/>
        <v>-805</v>
      </c>
      <c r="I21" s="63" t="s">
        <v>120</v>
      </c>
      <c r="J21" s="64" t="s">
        <v>121</v>
      </c>
      <c r="K21" s="63">
        <v>-805</v>
      </c>
      <c r="L21" s="63" t="s">
        <v>122</v>
      </c>
      <c r="M21" s="64" t="s">
        <v>63</v>
      </c>
      <c r="N21" s="64"/>
      <c r="O21" s="65" t="s">
        <v>123</v>
      </c>
      <c r="P21" s="65" t="s">
        <v>124</v>
      </c>
    </row>
    <row r="22" spans="1:16" ht="12.75" customHeight="1" thickBot="1" x14ac:dyDescent="0.25">
      <c r="A22" s="10" t="str">
        <f t="shared" si="0"/>
        <v> AC 499.4 </v>
      </c>
      <c r="B22" s="3" t="str">
        <f t="shared" si="1"/>
        <v>I</v>
      </c>
      <c r="C22" s="10">
        <f t="shared" si="2"/>
        <v>38681.699999999997</v>
      </c>
      <c r="D22" s="12" t="str">
        <f t="shared" si="3"/>
        <v>vis</v>
      </c>
      <c r="E22" s="62">
        <f>VLOOKUP(C22,Active!C$21:E$973,3,FALSE)</f>
        <v>-1486.0012450983661</v>
      </c>
      <c r="F22" s="3" t="s">
        <v>60</v>
      </c>
      <c r="G22" s="12" t="str">
        <f t="shared" si="4"/>
        <v>38681.700</v>
      </c>
      <c r="H22" s="10">
        <f t="shared" si="5"/>
        <v>-113</v>
      </c>
      <c r="I22" s="63" t="s">
        <v>134</v>
      </c>
      <c r="J22" s="64" t="s">
        <v>135</v>
      </c>
      <c r="K22" s="63">
        <v>-113</v>
      </c>
      <c r="L22" s="63" t="s">
        <v>136</v>
      </c>
      <c r="M22" s="64" t="s">
        <v>137</v>
      </c>
      <c r="N22" s="64" t="s">
        <v>138</v>
      </c>
      <c r="O22" s="65" t="s">
        <v>139</v>
      </c>
      <c r="P22" s="65" t="s">
        <v>140</v>
      </c>
    </row>
    <row r="23" spans="1:16" ht="12.75" customHeight="1" thickBot="1" x14ac:dyDescent="0.25">
      <c r="A23" s="10" t="str">
        <f t="shared" si="0"/>
        <v> AC 499.4 </v>
      </c>
      <c r="B23" s="3" t="str">
        <f t="shared" si="1"/>
        <v>I</v>
      </c>
      <c r="C23" s="10">
        <f t="shared" si="2"/>
        <v>38700.285000000003</v>
      </c>
      <c r="D23" s="12" t="str">
        <f t="shared" si="3"/>
        <v>vis</v>
      </c>
      <c r="E23" s="62">
        <f>VLOOKUP(C23,Active!C$21:E$973,3,FALSE)</f>
        <v>-1484.002958990244</v>
      </c>
      <c r="F23" s="3" t="s">
        <v>60</v>
      </c>
      <c r="G23" s="12" t="str">
        <f t="shared" si="4"/>
        <v>38700.285</v>
      </c>
      <c r="H23" s="10">
        <f t="shared" si="5"/>
        <v>-111</v>
      </c>
      <c r="I23" s="63" t="s">
        <v>141</v>
      </c>
      <c r="J23" s="64" t="s">
        <v>142</v>
      </c>
      <c r="K23" s="63">
        <v>-111</v>
      </c>
      <c r="L23" s="63" t="s">
        <v>143</v>
      </c>
      <c r="M23" s="64" t="s">
        <v>137</v>
      </c>
      <c r="N23" s="64" t="s">
        <v>138</v>
      </c>
      <c r="O23" s="65" t="s">
        <v>139</v>
      </c>
      <c r="P23" s="65" t="s">
        <v>140</v>
      </c>
    </row>
    <row r="24" spans="1:16" ht="12.75" customHeight="1" thickBot="1" x14ac:dyDescent="0.25">
      <c r="A24" s="10" t="str">
        <f t="shared" si="0"/>
        <v> AC 499.4 </v>
      </c>
      <c r="B24" s="3" t="str">
        <f t="shared" si="1"/>
        <v>I</v>
      </c>
      <c r="C24" s="10">
        <f t="shared" si="2"/>
        <v>38737.485000000001</v>
      </c>
      <c r="D24" s="12" t="str">
        <f t="shared" si="3"/>
        <v>vis</v>
      </c>
      <c r="E24" s="62">
        <f>VLOOKUP(C24,Active!C$21:E$973,3,FALSE)</f>
        <v>-1480.0031611305662</v>
      </c>
      <c r="F24" s="3" t="s">
        <v>60</v>
      </c>
      <c r="G24" s="12" t="str">
        <f t="shared" si="4"/>
        <v>38737.485</v>
      </c>
      <c r="H24" s="10">
        <f t="shared" si="5"/>
        <v>-107</v>
      </c>
      <c r="I24" s="63" t="s">
        <v>144</v>
      </c>
      <c r="J24" s="64" t="s">
        <v>145</v>
      </c>
      <c r="K24" s="63">
        <v>-107</v>
      </c>
      <c r="L24" s="63" t="s">
        <v>146</v>
      </c>
      <c r="M24" s="64" t="s">
        <v>137</v>
      </c>
      <c r="N24" s="64" t="s">
        <v>138</v>
      </c>
      <c r="O24" s="65" t="s">
        <v>139</v>
      </c>
      <c r="P24" s="65" t="s">
        <v>140</v>
      </c>
    </row>
    <row r="25" spans="1:16" ht="12.75" customHeight="1" thickBot="1" x14ac:dyDescent="0.25">
      <c r="A25" s="10" t="str">
        <f t="shared" si="0"/>
        <v> AC 499.4 </v>
      </c>
      <c r="B25" s="3" t="str">
        <f t="shared" si="1"/>
        <v>I</v>
      </c>
      <c r="C25" s="10">
        <f t="shared" si="2"/>
        <v>38765.385000000002</v>
      </c>
      <c r="D25" s="12" t="str">
        <f t="shared" si="3"/>
        <v>vis</v>
      </c>
      <c r="E25" s="62">
        <f>VLOOKUP(C25,Active!C$21:E$973,3,FALSE)</f>
        <v>-1477.0033127358076</v>
      </c>
      <c r="F25" s="3" t="s">
        <v>60</v>
      </c>
      <c r="G25" s="12" t="str">
        <f t="shared" si="4"/>
        <v>38765.385</v>
      </c>
      <c r="H25" s="10">
        <f t="shared" si="5"/>
        <v>-104</v>
      </c>
      <c r="I25" s="63" t="s">
        <v>147</v>
      </c>
      <c r="J25" s="64" t="s">
        <v>148</v>
      </c>
      <c r="K25" s="63">
        <v>-104</v>
      </c>
      <c r="L25" s="63" t="s">
        <v>149</v>
      </c>
      <c r="M25" s="64" t="s">
        <v>137</v>
      </c>
      <c r="N25" s="64" t="s">
        <v>138</v>
      </c>
      <c r="O25" s="65" t="s">
        <v>139</v>
      </c>
      <c r="P25" s="65" t="s">
        <v>140</v>
      </c>
    </row>
    <row r="26" spans="1:16" ht="12.75" customHeight="1" thickBot="1" x14ac:dyDescent="0.25">
      <c r="A26" s="10" t="str">
        <f t="shared" si="0"/>
        <v> AC 499.4 </v>
      </c>
      <c r="B26" s="3" t="str">
        <f t="shared" si="1"/>
        <v>I</v>
      </c>
      <c r="C26" s="10">
        <f t="shared" si="2"/>
        <v>39416.385000000002</v>
      </c>
      <c r="D26" s="12" t="str">
        <f t="shared" si="3"/>
        <v>vis</v>
      </c>
      <c r="E26" s="62">
        <f>VLOOKUP(C26,Active!C$21:E$973,3,FALSE)</f>
        <v>-1407.0068501914416</v>
      </c>
      <c r="F26" s="3" t="s">
        <v>60</v>
      </c>
      <c r="G26" s="12" t="str">
        <f t="shared" si="4"/>
        <v>39416.385</v>
      </c>
      <c r="H26" s="10">
        <f t="shared" si="5"/>
        <v>-34</v>
      </c>
      <c r="I26" s="63" t="s">
        <v>150</v>
      </c>
      <c r="J26" s="64" t="s">
        <v>151</v>
      </c>
      <c r="K26" s="63">
        <v>-34</v>
      </c>
      <c r="L26" s="63" t="s">
        <v>152</v>
      </c>
      <c r="M26" s="64" t="s">
        <v>137</v>
      </c>
      <c r="N26" s="64" t="s">
        <v>138</v>
      </c>
      <c r="O26" s="65" t="s">
        <v>139</v>
      </c>
      <c r="P26" s="65" t="s">
        <v>140</v>
      </c>
    </row>
    <row r="27" spans="1:16" ht="12.75" customHeight="1" thickBot="1" x14ac:dyDescent="0.25">
      <c r="A27" s="10" t="str">
        <f t="shared" si="0"/>
        <v> AC 499.4 </v>
      </c>
      <c r="B27" s="3" t="str">
        <f t="shared" si="1"/>
        <v>I</v>
      </c>
      <c r="C27" s="10">
        <f t="shared" si="2"/>
        <v>39593.1</v>
      </c>
      <c r="D27" s="12" t="str">
        <f t="shared" si="3"/>
        <v>vis</v>
      </c>
      <c r="E27" s="62">
        <f>VLOOKUP(C27,Active!C$21:E$973,3,FALSE)</f>
        <v>-1388.0061975362535</v>
      </c>
      <c r="F27" s="3" t="s">
        <v>60</v>
      </c>
      <c r="G27" s="12" t="str">
        <f t="shared" si="4"/>
        <v>39593.100</v>
      </c>
      <c r="H27" s="10">
        <f t="shared" si="5"/>
        <v>-15</v>
      </c>
      <c r="I27" s="63" t="s">
        <v>153</v>
      </c>
      <c r="J27" s="64" t="s">
        <v>154</v>
      </c>
      <c r="K27" s="63">
        <v>-15</v>
      </c>
      <c r="L27" s="63" t="s">
        <v>155</v>
      </c>
      <c r="M27" s="64" t="s">
        <v>137</v>
      </c>
      <c r="N27" s="64" t="s">
        <v>138</v>
      </c>
      <c r="O27" s="65" t="s">
        <v>139</v>
      </c>
      <c r="P27" s="65" t="s">
        <v>140</v>
      </c>
    </row>
    <row r="28" spans="1:16" ht="12.75" customHeight="1" thickBot="1" x14ac:dyDescent="0.25">
      <c r="A28" s="10" t="str">
        <f t="shared" si="0"/>
        <v> AC 499.4 </v>
      </c>
      <c r="B28" s="3" t="str">
        <f t="shared" si="1"/>
        <v>I</v>
      </c>
      <c r="C28" s="10">
        <f t="shared" si="2"/>
        <v>39769.9</v>
      </c>
      <c r="D28" s="12" t="str">
        <f t="shared" si="3"/>
        <v>vis</v>
      </c>
      <c r="E28" s="62">
        <f>VLOOKUP(C28,Active!C$21:E$973,3,FALSE)</f>
        <v>-1368.9964055579983</v>
      </c>
      <c r="F28" s="3" t="s">
        <v>60</v>
      </c>
      <c r="G28" s="12" t="str">
        <f t="shared" si="4"/>
        <v>39769.900</v>
      </c>
      <c r="H28" s="10">
        <f t="shared" si="5"/>
        <v>4</v>
      </c>
      <c r="I28" s="63" t="s">
        <v>156</v>
      </c>
      <c r="J28" s="64" t="s">
        <v>157</v>
      </c>
      <c r="K28" s="63">
        <v>4</v>
      </c>
      <c r="L28" s="63" t="s">
        <v>158</v>
      </c>
      <c r="M28" s="64" t="s">
        <v>137</v>
      </c>
      <c r="N28" s="64" t="s">
        <v>138</v>
      </c>
      <c r="O28" s="65" t="s">
        <v>139</v>
      </c>
      <c r="P28" s="65" t="s">
        <v>140</v>
      </c>
    </row>
    <row r="29" spans="1:16" ht="12.75" customHeight="1" thickBot="1" x14ac:dyDescent="0.25">
      <c r="A29" s="10" t="str">
        <f t="shared" si="0"/>
        <v> AC 499.4 </v>
      </c>
      <c r="B29" s="3" t="str">
        <f t="shared" si="1"/>
        <v>I</v>
      </c>
      <c r="C29" s="10">
        <f t="shared" si="2"/>
        <v>39779.15</v>
      </c>
      <c r="D29" s="12" t="str">
        <f t="shared" si="3"/>
        <v>vis</v>
      </c>
      <c r="E29" s="62">
        <f>VLOOKUP(C29,Active!C$21:E$973,3,FALSE)</f>
        <v>-1368.0018321654709</v>
      </c>
      <c r="F29" s="3" t="s">
        <v>60</v>
      </c>
      <c r="G29" s="12" t="str">
        <f t="shared" si="4"/>
        <v>39779.150</v>
      </c>
      <c r="H29" s="10">
        <f t="shared" si="5"/>
        <v>5</v>
      </c>
      <c r="I29" s="63" t="s">
        <v>159</v>
      </c>
      <c r="J29" s="64" t="s">
        <v>160</v>
      </c>
      <c r="K29" s="63">
        <v>5</v>
      </c>
      <c r="L29" s="63" t="s">
        <v>161</v>
      </c>
      <c r="M29" s="64" t="s">
        <v>137</v>
      </c>
      <c r="N29" s="64" t="s">
        <v>138</v>
      </c>
      <c r="O29" s="65" t="s">
        <v>139</v>
      </c>
      <c r="P29" s="65" t="s">
        <v>140</v>
      </c>
    </row>
    <row r="30" spans="1:16" ht="12.75" customHeight="1" thickBot="1" x14ac:dyDescent="0.25">
      <c r="A30" s="10" t="str">
        <f t="shared" si="0"/>
        <v>IBVS 1174 </v>
      </c>
      <c r="B30" s="3" t="str">
        <f t="shared" si="1"/>
        <v>I</v>
      </c>
      <c r="C30" s="10">
        <f t="shared" si="2"/>
        <v>42792.521000000001</v>
      </c>
      <c r="D30" s="12" t="str">
        <f t="shared" si="3"/>
        <v>vis</v>
      </c>
      <c r="E30" s="62">
        <f>VLOOKUP(C30,Active!C$21:E$973,3,FALSE)</f>
        <v>-1043.9998193639674</v>
      </c>
      <c r="F30" s="3" t="s">
        <v>60</v>
      </c>
      <c r="G30" s="12" t="str">
        <f t="shared" si="4"/>
        <v>42792.521</v>
      </c>
      <c r="H30" s="10">
        <f t="shared" si="5"/>
        <v>329</v>
      </c>
      <c r="I30" s="63" t="s">
        <v>184</v>
      </c>
      <c r="J30" s="64" t="s">
        <v>185</v>
      </c>
      <c r="K30" s="63">
        <v>329</v>
      </c>
      <c r="L30" s="63" t="s">
        <v>186</v>
      </c>
      <c r="M30" s="64" t="s">
        <v>137</v>
      </c>
      <c r="N30" s="64" t="s">
        <v>138</v>
      </c>
      <c r="O30" s="65" t="s">
        <v>187</v>
      </c>
      <c r="P30" s="66" t="s">
        <v>188</v>
      </c>
    </row>
    <row r="31" spans="1:16" ht="12.75" customHeight="1" thickBot="1" x14ac:dyDescent="0.25">
      <c r="A31" s="10" t="str">
        <f t="shared" si="0"/>
        <v>IBVS 1174 </v>
      </c>
      <c r="B31" s="3" t="str">
        <f t="shared" si="1"/>
        <v>I</v>
      </c>
      <c r="C31" s="10">
        <f t="shared" si="2"/>
        <v>42820.419000000002</v>
      </c>
      <c r="D31" s="12" t="str">
        <f t="shared" si="3"/>
        <v>vis</v>
      </c>
      <c r="E31" s="62">
        <f>VLOOKUP(C31,Active!C$21:E$973,3,FALSE)</f>
        <v>-1041.0001860121045</v>
      </c>
      <c r="F31" s="3" t="s">
        <v>60</v>
      </c>
      <c r="G31" s="12" t="str">
        <f t="shared" si="4"/>
        <v>42820.419</v>
      </c>
      <c r="H31" s="10">
        <f t="shared" si="5"/>
        <v>332</v>
      </c>
      <c r="I31" s="63" t="s">
        <v>189</v>
      </c>
      <c r="J31" s="64" t="s">
        <v>190</v>
      </c>
      <c r="K31" s="63">
        <v>332</v>
      </c>
      <c r="L31" s="63" t="s">
        <v>191</v>
      </c>
      <c r="M31" s="64" t="s">
        <v>137</v>
      </c>
      <c r="N31" s="64" t="s">
        <v>138</v>
      </c>
      <c r="O31" s="65" t="s">
        <v>187</v>
      </c>
      <c r="P31" s="66" t="s">
        <v>188</v>
      </c>
    </row>
    <row r="32" spans="1:16" ht="12.75" customHeight="1" thickBot="1" x14ac:dyDescent="0.25">
      <c r="A32" s="10" t="str">
        <f t="shared" si="0"/>
        <v>BAVM 228 </v>
      </c>
      <c r="B32" s="3" t="str">
        <f t="shared" si="1"/>
        <v>I</v>
      </c>
      <c r="C32" s="10">
        <f t="shared" si="2"/>
        <v>55943.3217</v>
      </c>
      <c r="D32" s="12" t="str">
        <f t="shared" si="3"/>
        <v>vis</v>
      </c>
      <c r="E32" s="62">
        <f>VLOOKUP(C32,Active!C$21:E$973,3,FALSE)</f>
        <v>369.99331216594442</v>
      </c>
      <c r="F32" s="3" t="s">
        <v>60</v>
      </c>
      <c r="G32" s="12" t="str">
        <f t="shared" si="4"/>
        <v>55943.3217</v>
      </c>
      <c r="H32" s="10">
        <f t="shared" si="5"/>
        <v>1743</v>
      </c>
      <c r="I32" s="63" t="s">
        <v>228</v>
      </c>
      <c r="J32" s="64" t="s">
        <v>229</v>
      </c>
      <c r="K32" s="63">
        <v>1743</v>
      </c>
      <c r="L32" s="63" t="s">
        <v>230</v>
      </c>
      <c r="M32" s="64" t="s">
        <v>231</v>
      </c>
      <c r="N32" s="64" t="s">
        <v>232</v>
      </c>
      <c r="O32" s="65" t="s">
        <v>233</v>
      </c>
      <c r="P32" s="66" t="s">
        <v>234</v>
      </c>
    </row>
    <row r="33" spans="1:16" ht="12.75" customHeight="1" thickBot="1" x14ac:dyDescent="0.25">
      <c r="A33" s="10" t="str">
        <f t="shared" si="0"/>
        <v> BZ 5.17 </v>
      </c>
      <c r="B33" s="3" t="str">
        <f t="shared" si="1"/>
        <v>I</v>
      </c>
      <c r="C33" s="10">
        <f t="shared" si="2"/>
        <v>23512.156999999999</v>
      </c>
      <c r="D33" s="12" t="str">
        <f t="shared" si="3"/>
        <v>vis</v>
      </c>
      <c r="E33" s="62">
        <f>VLOOKUP(C33,Active!C$21:E$973,3,FALSE)</f>
        <v>-3117.0524715417605</v>
      </c>
      <c r="F33" s="3" t="s">
        <v>60</v>
      </c>
      <c r="G33" s="12" t="str">
        <f t="shared" si="4"/>
        <v>23512.157</v>
      </c>
      <c r="H33" s="10">
        <f t="shared" si="5"/>
        <v>-1744</v>
      </c>
      <c r="I33" s="63" t="s">
        <v>70</v>
      </c>
      <c r="J33" s="64" t="s">
        <v>71</v>
      </c>
      <c r="K33" s="63">
        <v>-1744</v>
      </c>
      <c r="L33" s="63" t="s">
        <v>72</v>
      </c>
      <c r="M33" s="64" t="s">
        <v>67</v>
      </c>
      <c r="N33" s="64"/>
      <c r="O33" s="65" t="s">
        <v>73</v>
      </c>
      <c r="P33" s="65" t="s">
        <v>74</v>
      </c>
    </row>
    <row r="34" spans="1:16" ht="12.75" customHeight="1" thickBot="1" x14ac:dyDescent="0.25">
      <c r="A34" s="10" t="str">
        <f t="shared" si="0"/>
        <v> CRAC 22 </v>
      </c>
      <c r="B34" s="3" t="str">
        <f t="shared" si="1"/>
        <v>I</v>
      </c>
      <c r="C34" s="10">
        <f t="shared" si="2"/>
        <v>23763.279999999999</v>
      </c>
      <c r="D34" s="12" t="str">
        <f t="shared" si="3"/>
        <v>vis</v>
      </c>
      <c r="E34" s="62">
        <f>VLOOKUP(C34,Active!C$21:E$973,3,FALSE)</f>
        <v>-3090.0513629956336</v>
      </c>
      <c r="F34" s="3" t="s">
        <v>60</v>
      </c>
      <c r="G34" s="12" t="str">
        <f t="shared" si="4"/>
        <v>23763.28</v>
      </c>
      <c r="H34" s="10">
        <f t="shared" si="5"/>
        <v>-1717</v>
      </c>
      <c r="I34" s="63" t="s">
        <v>75</v>
      </c>
      <c r="J34" s="64" t="s">
        <v>76</v>
      </c>
      <c r="K34" s="63">
        <v>-1717</v>
      </c>
      <c r="L34" s="63" t="s">
        <v>77</v>
      </c>
      <c r="M34" s="64" t="s">
        <v>67</v>
      </c>
      <c r="N34" s="64"/>
      <c r="O34" s="65" t="s">
        <v>78</v>
      </c>
      <c r="P34" s="65" t="s">
        <v>79</v>
      </c>
    </row>
    <row r="35" spans="1:16" ht="12.75" customHeight="1" thickBot="1" x14ac:dyDescent="0.25">
      <c r="A35" s="10" t="str">
        <f t="shared" si="0"/>
        <v> AAC 1.97 </v>
      </c>
      <c r="B35" s="3" t="str">
        <f t="shared" si="1"/>
        <v>I</v>
      </c>
      <c r="C35" s="10">
        <f t="shared" si="2"/>
        <v>25679.249</v>
      </c>
      <c r="D35" s="12" t="str">
        <f t="shared" si="3"/>
        <v>vis</v>
      </c>
      <c r="E35" s="62">
        <f>VLOOKUP(C35,Active!C$21:E$973,3,FALSE)</f>
        <v>-2884.043602097528</v>
      </c>
      <c r="F35" s="3" t="s">
        <v>60</v>
      </c>
      <c r="G35" s="12" t="str">
        <f t="shared" si="4"/>
        <v>25679.249</v>
      </c>
      <c r="H35" s="10">
        <f t="shared" si="5"/>
        <v>-1511</v>
      </c>
      <c r="I35" s="63" t="s">
        <v>88</v>
      </c>
      <c r="J35" s="64" t="s">
        <v>89</v>
      </c>
      <c r="K35" s="63">
        <v>-1511</v>
      </c>
      <c r="L35" s="63" t="s">
        <v>90</v>
      </c>
      <c r="M35" s="64" t="s">
        <v>67</v>
      </c>
      <c r="N35" s="64"/>
      <c r="O35" s="65" t="s">
        <v>91</v>
      </c>
      <c r="P35" s="65" t="s">
        <v>92</v>
      </c>
    </row>
    <row r="36" spans="1:16" ht="12.75" customHeight="1" thickBot="1" x14ac:dyDescent="0.25">
      <c r="A36" s="10" t="str">
        <f t="shared" si="0"/>
        <v> AN 260.289 </v>
      </c>
      <c r="B36" s="3" t="str">
        <f t="shared" si="1"/>
        <v>I</v>
      </c>
      <c r="C36" s="10">
        <f t="shared" si="2"/>
        <v>30487.85</v>
      </c>
      <c r="D36" s="12" t="str">
        <f t="shared" si="3"/>
        <v>vis</v>
      </c>
      <c r="E36" s="62">
        <f>VLOOKUP(C36,Active!C$21:E$973,3,FALSE)</f>
        <v>-2367.0158604887711</v>
      </c>
      <c r="F36" s="3" t="s">
        <v>60</v>
      </c>
      <c r="G36" s="12" t="str">
        <f t="shared" si="4"/>
        <v>30487.850</v>
      </c>
      <c r="H36" s="10">
        <f t="shared" si="5"/>
        <v>-994</v>
      </c>
      <c r="I36" s="63" t="s">
        <v>116</v>
      </c>
      <c r="J36" s="64" t="s">
        <v>117</v>
      </c>
      <c r="K36" s="63">
        <v>-994</v>
      </c>
      <c r="L36" s="63" t="s">
        <v>118</v>
      </c>
      <c r="M36" s="64" t="s">
        <v>63</v>
      </c>
      <c r="N36" s="64"/>
      <c r="O36" s="65" t="s">
        <v>119</v>
      </c>
      <c r="P36" s="65" t="s">
        <v>97</v>
      </c>
    </row>
    <row r="37" spans="1:16" ht="12.75" customHeight="1" thickBot="1" x14ac:dyDescent="0.25">
      <c r="A37" s="10" t="str">
        <f t="shared" si="0"/>
        <v> MVS 2.123 </v>
      </c>
      <c r="B37" s="3" t="str">
        <f t="shared" si="1"/>
        <v>I</v>
      </c>
      <c r="C37" s="10">
        <f t="shared" si="2"/>
        <v>36663.334000000003</v>
      </c>
      <c r="D37" s="12" t="str">
        <f t="shared" si="3"/>
        <v>vis</v>
      </c>
      <c r="E37" s="62">
        <f>VLOOKUP(C37,Active!C$21:E$973,3,FALSE)</f>
        <v>-1703.0188796910259</v>
      </c>
      <c r="F37" s="3" t="s">
        <v>60</v>
      </c>
      <c r="G37" s="12" t="str">
        <f t="shared" si="4"/>
        <v>36663.334</v>
      </c>
      <c r="H37" s="10">
        <f t="shared" si="5"/>
        <v>-330</v>
      </c>
      <c r="I37" s="63" t="s">
        <v>125</v>
      </c>
      <c r="J37" s="64" t="s">
        <v>126</v>
      </c>
      <c r="K37" s="63">
        <v>-330</v>
      </c>
      <c r="L37" s="63" t="s">
        <v>127</v>
      </c>
      <c r="M37" s="64" t="s">
        <v>128</v>
      </c>
      <c r="N37" s="64"/>
      <c r="O37" s="65" t="s">
        <v>129</v>
      </c>
      <c r="P37" s="65" t="s">
        <v>130</v>
      </c>
    </row>
    <row r="38" spans="1:16" ht="12.75" customHeight="1" thickBot="1" x14ac:dyDescent="0.25">
      <c r="A38" s="10" t="str">
        <f t="shared" si="0"/>
        <v> MVS 2.123 </v>
      </c>
      <c r="B38" s="3" t="str">
        <f t="shared" si="1"/>
        <v>I</v>
      </c>
      <c r="C38" s="10">
        <f t="shared" si="2"/>
        <v>37286.5</v>
      </c>
      <c r="D38" s="12" t="str">
        <f t="shared" si="3"/>
        <v>vis</v>
      </c>
      <c r="E38" s="62">
        <f>VLOOKUP(C38,Active!C$21:E$973,3,FALSE)</f>
        <v>-1636.0151691258611</v>
      </c>
      <c r="F38" s="3" t="s">
        <v>60</v>
      </c>
      <c r="G38" s="12" t="str">
        <f t="shared" si="4"/>
        <v>37286.500</v>
      </c>
      <c r="H38" s="10">
        <f t="shared" si="5"/>
        <v>-263</v>
      </c>
      <c r="I38" s="63" t="s">
        <v>131</v>
      </c>
      <c r="J38" s="64" t="s">
        <v>132</v>
      </c>
      <c r="K38" s="63">
        <v>-263</v>
      </c>
      <c r="L38" s="63" t="s">
        <v>133</v>
      </c>
      <c r="M38" s="64" t="s">
        <v>128</v>
      </c>
      <c r="N38" s="64"/>
      <c r="O38" s="65" t="s">
        <v>129</v>
      </c>
      <c r="P38" s="65" t="s">
        <v>130</v>
      </c>
    </row>
    <row r="39" spans="1:16" ht="12.75" customHeight="1" thickBot="1" x14ac:dyDescent="0.25">
      <c r="A39" s="10" t="str">
        <f t="shared" si="0"/>
        <v> AA 26.111 </v>
      </c>
      <c r="B39" s="3" t="str">
        <f t="shared" si="1"/>
        <v>I</v>
      </c>
      <c r="C39" s="10">
        <f t="shared" si="2"/>
        <v>39798.783000000003</v>
      </c>
      <c r="D39" s="12" t="str">
        <f t="shared" si="3"/>
        <v>vis</v>
      </c>
      <c r="E39" s="62">
        <f>VLOOKUP(C39,Active!C$21:E$973,3,FALSE)</f>
        <v>-1365.8908635800121</v>
      </c>
      <c r="F39" s="3" t="s">
        <v>60</v>
      </c>
      <c r="G39" s="12" t="str">
        <f t="shared" si="4"/>
        <v>39798.783</v>
      </c>
      <c r="H39" s="10">
        <f t="shared" si="5"/>
        <v>7</v>
      </c>
      <c r="I39" s="63" t="s">
        <v>162</v>
      </c>
      <c r="J39" s="64" t="s">
        <v>163</v>
      </c>
      <c r="K39" s="63">
        <v>7</v>
      </c>
      <c r="L39" s="63" t="s">
        <v>164</v>
      </c>
      <c r="M39" s="64" t="s">
        <v>137</v>
      </c>
      <c r="N39" s="64" t="s">
        <v>138</v>
      </c>
      <c r="O39" s="65" t="s">
        <v>165</v>
      </c>
      <c r="P39" s="65" t="s">
        <v>166</v>
      </c>
    </row>
    <row r="40" spans="1:16" ht="12.75" customHeight="1" thickBot="1" x14ac:dyDescent="0.25">
      <c r="A40" s="10" t="str">
        <f t="shared" si="0"/>
        <v> AA 26.111 </v>
      </c>
      <c r="B40" s="3" t="str">
        <f t="shared" si="1"/>
        <v>I</v>
      </c>
      <c r="C40" s="10">
        <f t="shared" si="2"/>
        <v>40383.671000000002</v>
      </c>
      <c r="D40" s="12" t="str">
        <f t="shared" si="3"/>
        <v>vis</v>
      </c>
      <c r="E40" s="62">
        <f>VLOOKUP(C40,Active!C$21:E$973,3,FALSE)</f>
        <v>-1303.0028589952976</v>
      </c>
      <c r="F40" s="3" t="s">
        <v>60</v>
      </c>
      <c r="G40" s="12" t="str">
        <f t="shared" si="4"/>
        <v>40383.671</v>
      </c>
      <c r="H40" s="10">
        <f t="shared" si="5"/>
        <v>70</v>
      </c>
      <c r="I40" s="63" t="s">
        <v>167</v>
      </c>
      <c r="J40" s="64" t="s">
        <v>168</v>
      </c>
      <c r="K40" s="63">
        <v>70</v>
      </c>
      <c r="L40" s="63" t="s">
        <v>169</v>
      </c>
      <c r="M40" s="64" t="s">
        <v>137</v>
      </c>
      <c r="N40" s="64" t="s">
        <v>138</v>
      </c>
      <c r="O40" s="65" t="s">
        <v>170</v>
      </c>
      <c r="P40" s="65" t="s">
        <v>166</v>
      </c>
    </row>
    <row r="41" spans="1:16" ht="12.75" customHeight="1" thickBot="1" x14ac:dyDescent="0.25">
      <c r="A41" s="10" t="str">
        <f t="shared" si="0"/>
        <v> AA 26.111 </v>
      </c>
      <c r="B41" s="3" t="str">
        <f t="shared" si="1"/>
        <v>I</v>
      </c>
      <c r="C41" s="10">
        <f t="shared" si="2"/>
        <v>41657.89</v>
      </c>
      <c r="D41" s="12" t="str">
        <f t="shared" si="3"/>
        <v>vis</v>
      </c>
      <c r="E41" s="62">
        <f>VLOOKUP(C41,Active!C$21:E$973,3,FALSE)</f>
        <v>-1165.9969872490315</v>
      </c>
      <c r="F41" s="3" t="s">
        <v>60</v>
      </c>
      <c r="G41" s="12" t="str">
        <f t="shared" si="4"/>
        <v>41657.890</v>
      </c>
      <c r="H41" s="10">
        <f t="shared" si="5"/>
        <v>207</v>
      </c>
      <c r="I41" s="63" t="s">
        <v>171</v>
      </c>
      <c r="J41" s="64" t="s">
        <v>172</v>
      </c>
      <c r="K41" s="63">
        <v>207</v>
      </c>
      <c r="L41" s="63" t="s">
        <v>173</v>
      </c>
      <c r="M41" s="64" t="s">
        <v>137</v>
      </c>
      <c r="N41" s="64" t="s">
        <v>138</v>
      </c>
      <c r="O41" s="65" t="s">
        <v>174</v>
      </c>
      <c r="P41" s="65" t="s">
        <v>166</v>
      </c>
    </row>
    <row r="42" spans="1:16" ht="12.75" customHeight="1" thickBot="1" x14ac:dyDescent="0.25">
      <c r="A42" s="10" t="str">
        <f t="shared" si="0"/>
        <v> AA 26.111 </v>
      </c>
      <c r="B42" s="3" t="str">
        <f t="shared" si="1"/>
        <v>I</v>
      </c>
      <c r="C42" s="10">
        <f t="shared" si="2"/>
        <v>42113.599999999999</v>
      </c>
      <c r="D42" s="12" t="str">
        <f t="shared" si="3"/>
        <v>vis</v>
      </c>
      <c r="E42" s="62">
        <f>VLOOKUP(C42,Active!C$21:E$973,3,FALSE)</f>
        <v>-1116.9983882534968</v>
      </c>
      <c r="F42" s="3" t="s">
        <v>60</v>
      </c>
      <c r="G42" s="12" t="str">
        <f t="shared" si="4"/>
        <v>42113.600</v>
      </c>
      <c r="H42" s="10">
        <f t="shared" si="5"/>
        <v>256</v>
      </c>
      <c r="I42" s="63" t="s">
        <v>175</v>
      </c>
      <c r="J42" s="64" t="s">
        <v>176</v>
      </c>
      <c r="K42" s="63">
        <v>256</v>
      </c>
      <c r="L42" s="63" t="s">
        <v>177</v>
      </c>
      <c r="M42" s="64" t="s">
        <v>137</v>
      </c>
      <c r="N42" s="64" t="s">
        <v>138</v>
      </c>
      <c r="O42" s="65" t="s">
        <v>174</v>
      </c>
      <c r="P42" s="65" t="s">
        <v>166</v>
      </c>
    </row>
    <row r="43" spans="1:16" ht="12.75" customHeight="1" thickBot="1" x14ac:dyDescent="0.25">
      <c r="A43" s="10" t="str">
        <f t="shared" si="0"/>
        <v> AA 26.111 </v>
      </c>
      <c r="B43" s="3" t="str">
        <f t="shared" si="1"/>
        <v>I</v>
      </c>
      <c r="C43" s="10">
        <f t="shared" si="2"/>
        <v>42708.792999999998</v>
      </c>
      <c r="D43" s="12" t="str">
        <f t="shared" si="3"/>
        <v>vis</v>
      </c>
      <c r="E43" s="62">
        <f>VLOOKUP(C43,Active!C$21:E$973,3,FALSE)</f>
        <v>-1053.0023751487829</v>
      </c>
      <c r="F43" s="3" t="s">
        <v>60</v>
      </c>
      <c r="G43" s="12" t="str">
        <f t="shared" si="4"/>
        <v>42708.793</v>
      </c>
      <c r="H43" s="10">
        <f t="shared" si="5"/>
        <v>320</v>
      </c>
      <c r="I43" s="63" t="s">
        <v>178</v>
      </c>
      <c r="J43" s="64" t="s">
        <v>179</v>
      </c>
      <c r="K43" s="63">
        <v>320</v>
      </c>
      <c r="L43" s="63" t="s">
        <v>180</v>
      </c>
      <c r="M43" s="64" t="s">
        <v>137</v>
      </c>
      <c r="N43" s="64" t="s">
        <v>138</v>
      </c>
      <c r="O43" s="65" t="s">
        <v>181</v>
      </c>
      <c r="P43" s="65" t="s">
        <v>166</v>
      </c>
    </row>
    <row r="44" spans="1:16" ht="12.75" customHeight="1" thickBot="1" x14ac:dyDescent="0.25">
      <c r="A44" s="10" t="str">
        <f t="shared" si="0"/>
        <v> AA 26.111 </v>
      </c>
      <c r="B44" s="3" t="str">
        <f t="shared" si="1"/>
        <v>I</v>
      </c>
      <c r="C44" s="10">
        <f t="shared" si="2"/>
        <v>42736.713000000003</v>
      </c>
      <c r="D44" s="12" t="str">
        <f t="shared" si="3"/>
        <v>vis</v>
      </c>
      <c r="E44" s="62">
        <f>VLOOKUP(C44,Active!C$21:E$973,3,FALSE)</f>
        <v>-1050.000376325067</v>
      </c>
      <c r="F44" s="3" t="s">
        <v>60</v>
      </c>
      <c r="G44" s="12" t="str">
        <f t="shared" si="4"/>
        <v>42736.713</v>
      </c>
      <c r="H44" s="10">
        <f t="shared" si="5"/>
        <v>323</v>
      </c>
      <c r="I44" s="63" t="s">
        <v>182</v>
      </c>
      <c r="J44" s="64" t="s">
        <v>183</v>
      </c>
      <c r="K44" s="63">
        <v>323</v>
      </c>
      <c r="L44" s="63" t="s">
        <v>62</v>
      </c>
      <c r="M44" s="64" t="s">
        <v>137</v>
      </c>
      <c r="N44" s="64" t="s">
        <v>138</v>
      </c>
      <c r="O44" s="65" t="s">
        <v>181</v>
      </c>
      <c r="P44" s="65" t="s">
        <v>166</v>
      </c>
    </row>
    <row r="45" spans="1:16" ht="12.75" customHeight="1" thickBot="1" x14ac:dyDescent="0.25">
      <c r="A45" s="10" t="str">
        <f t="shared" si="0"/>
        <v> BRNO 23 </v>
      </c>
      <c r="B45" s="3" t="str">
        <f t="shared" si="1"/>
        <v>I</v>
      </c>
      <c r="C45" s="10">
        <f t="shared" si="2"/>
        <v>43908.582000000002</v>
      </c>
      <c r="D45" s="12" t="str">
        <f t="shared" si="3"/>
        <v>vis</v>
      </c>
      <c r="E45" s="62">
        <f>VLOOKUP(C45,Active!C$21:E$973,3,FALSE)</f>
        <v>-923.99932476530716</v>
      </c>
      <c r="F45" s="3" t="s">
        <v>60</v>
      </c>
      <c r="G45" s="12" t="str">
        <f t="shared" si="4"/>
        <v>43908.582</v>
      </c>
      <c r="H45" s="10">
        <f t="shared" si="5"/>
        <v>449</v>
      </c>
      <c r="I45" s="63" t="s">
        <v>192</v>
      </c>
      <c r="J45" s="64" t="s">
        <v>193</v>
      </c>
      <c r="K45" s="63">
        <v>449</v>
      </c>
      <c r="L45" s="63" t="s">
        <v>194</v>
      </c>
      <c r="M45" s="64" t="s">
        <v>67</v>
      </c>
      <c r="N45" s="64"/>
      <c r="O45" s="65" t="s">
        <v>195</v>
      </c>
      <c r="P45" s="65" t="s">
        <v>196</v>
      </c>
    </row>
    <row r="46" spans="1:16" ht="12.75" customHeight="1" thickBot="1" x14ac:dyDescent="0.25">
      <c r="A46" s="10" t="str">
        <f t="shared" si="0"/>
        <v> AA 32.415 </v>
      </c>
      <c r="B46" s="3" t="str">
        <f t="shared" si="1"/>
        <v>I</v>
      </c>
      <c r="C46" s="10">
        <f t="shared" si="2"/>
        <v>44215.49</v>
      </c>
      <c r="D46" s="12" t="str">
        <f t="shared" si="3"/>
        <v>vis</v>
      </c>
      <c r="E46" s="62">
        <f>VLOOKUP(C46,Active!C$21:E$973,3,FALSE)</f>
        <v>-891.00013225138093</v>
      </c>
      <c r="F46" s="3" t="s">
        <v>60</v>
      </c>
      <c r="G46" s="12" t="str">
        <f t="shared" si="4"/>
        <v>44215.490</v>
      </c>
      <c r="H46" s="10">
        <f t="shared" si="5"/>
        <v>482</v>
      </c>
      <c r="I46" s="63" t="s">
        <v>197</v>
      </c>
      <c r="J46" s="64" t="s">
        <v>198</v>
      </c>
      <c r="K46" s="63">
        <v>482</v>
      </c>
      <c r="L46" s="63" t="s">
        <v>199</v>
      </c>
      <c r="M46" s="64" t="s">
        <v>137</v>
      </c>
      <c r="N46" s="64" t="s">
        <v>138</v>
      </c>
      <c r="O46" s="65" t="s">
        <v>200</v>
      </c>
      <c r="P46" s="65" t="s">
        <v>201</v>
      </c>
    </row>
    <row r="47" spans="1:16" ht="12.75" customHeight="1" thickBot="1" x14ac:dyDescent="0.25">
      <c r="A47" s="10" t="str">
        <f t="shared" si="0"/>
        <v>BAVM 34 </v>
      </c>
      <c r="B47" s="3" t="str">
        <f t="shared" si="1"/>
        <v>I</v>
      </c>
      <c r="C47" s="10">
        <f t="shared" si="2"/>
        <v>45052.536899999999</v>
      </c>
      <c r="D47" s="12" t="str">
        <f t="shared" si="3"/>
        <v>vis</v>
      </c>
      <c r="E47" s="62">
        <f>VLOOKUP(C47,Active!C$21:E$973,3,FALSE)</f>
        <v>-800.99963765272071</v>
      </c>
      <c r="F47" s="3" t="s">
        <v>60</v>
      </c>
      <c r="G47" s="12" t="str">
        <f t="shared" si="4"/>
        <v>45052.5369</v>
      </c>
      <c r="H47" s="10">
        <f t="shared" si="5"/>
        <v>572</v>
      </c>
      <c r="I47" s="63" t="s">
        <v>202</v>
      </c>
      <c r="J47" s="64" t="s">
        <v>203</v>
      </c>
      <c r="K47" s="63">
        <v>572</v>
      </c>
      <c r="L47" s="63" t="s">
        <v>204</v>
      </c>
      <c r="M47" s="64" t="s">
        <v>137</v>
      </c>
      <c r="N47" s="64" t="s">
        <v>205</v>
      </c>
      <c r="O47" s="65" t="s">
        <v>206</v>
      </c>
      <c r="P47" s="66" t="s">
        <v>207</v>
      </c>
    </row>
    <row r="48" spans="1:16" ht="12.75" customHeight="1" thickBot="1" x14ac:dyDescent="0.25">
      <c r="A48" s="10" t="str">
        <f t="shared" si="0"/>
        <v> VSSC 60.21 </v>
      </c>
      <c r="B48" s="3" t="str">
        <f t="shared" si="1"/>
        <v>I</v>
      </c>
      <c r="C48" s="10">
        <f t="shared" si="2"/>
        <v>45052.55</v>
      </c>
      <c r="D48" s="12" t="str">
        <f t="shared" si="3"/>
        <v>vis</v>
      </c>
      <c r="E48" s="62">
        <f>VLOOKUP(C48,Active!C$21:E$973,3,FALSE)</f>
        <v>-800.99822912175364</v>
      </c>
      <c r="F48" s="3" t="s">
        <v>60</v>
      </c>
      <c r="G48" s="12" t="str">
        <f t="shared" si="4"/>
        <v>45052.55</v>
      </c>
      <c r="H48" s="10">
        <f t="shared" si="5"/>
        <v>572</v>
      </c>
      <c r="I48" s="63" t="s">
        <v>208</v>
      </c>
      <c r="J48" s="64" t="s">
        <v>209</v>
      </c>
      <c r="K48" s="63">
        <v>572</v>
      </c>
      <c r="L48" s="63" t="s">
        <v>122</v>
      </c>
      <c r="M48" s="64" t="s">
        <v>67</v>
      </c>
      <c r="N48" s="64"/>
      <c r="O48" s="65" t="s">
        <v>210</v>
      </c>
      <c r="P48" s="65" t="s">
        <v>211</v>
      </c>
    </row>
    <row r="49" spans="1:16" ht="12.75" customHeight="1" thickBot="1" x14ac:dyDescent="0.25">
      <c r="A49" s="10" t="str">
        <f t="shared" si="0"/>
        <v> BRNO 28 </v>
      </c>
      <c r="B49" s="3" t="str">
        <f t="shared" si="1"/>
        <v>I</v>
      </c>
      <c r="C49" s="10">
        <f t="shared" si="2"/>
        <v>46475.542999999998</v>
      </c>
      <c r="D49" s="12" t="str">
        <f t="shared" si="3"/>
        <v>vis</v>
      </c>
      <c r="E49" s="62">
        <f>VLOOKUP(C49,Active!C$21:E$973,3,FALSE)</f>
        <v>-647.99596149441913</v>
      </c>
      <c r="F49" s="3" t="s">
        <v>60</v>
      </c>
      <c r="G49" s="12" t="str">
        <f t="shared" si="4"/>
        <v>46475.543</v>
      </c>
      <c r="H49" s="10">
        <f t="shared" si="5"/>
        <v>725</v>
      </c>
      <c r="I49" s="63" t="s">
        <v>212</v>
      </c>
      <c r="J49" s="64" t="s">
        <v>213</v>
      </c>
      <c r="K49" s="63">
        <v>725</v>
      </c>
      <c r="L49" s="63" t="s">
        <v>169</v>
      </c>
      <c r="M49" s="64" t="s">
        <v>67</v>
      </c>
      <c r="N49" s="64"/>
      <c r="O49" s="65" t="s">
        <v>195</v>
      </c>
      <c r="P49" s="65" t="s">
        <v>214</v>
      </c>
    </row>
    <row r="50" spans="1:16" ht="12.75" customHeight="1" thickBot="1" x14ac:dyDescent="0.25">
      <c r="A50" s="10" t="str">
        <f t="shared" si="0"/>
        <v>BAVM 122 </v>
      </c>
      <c r="B50" s="3" t="str">
        <f t="shared" si="1"/>
        <v>I</v>
      </c>
      <c r="C50" s="10">
        <f t="shared" si="2"/>
        <v>51218.77</v>
      </c>
      <c r="D50" s="12" t="str">
        <f t="shared" si="3"/>
        <v>vis</v>
      </c>
      <c r="E50" s="62">
        <f>VLOOKUP(C50,Active!C$21:E$973,3,FALSE)</f>
        <v>-137.99732701680691</v>
      </c>
      <c r="F50" s="3" t="s">
        <v>60</v>
      </c>
      <c r="G50" s="12" t="str">
        <f t="shared" si="4"/>
        <v>51218.77</v>
      </c>
      <c r="H50" s="10">
        <f t="shared" si="5"/>
        <v>1235</v>
      </c>
      <c r="I50" s="63" t="s">
        <v>215</v>
      </c>
      <c r="J50" s="64" t="s">
        <v>216</v>
      </c>
      <c r="K50" s="63">
        <v>1235</v>
      </c>
      <c r="L50" s="63" t="s">
        <v>217</v>
      </c>
      <c r="M50" s="64" t="s">
        <v>67</v>
      </c>
      <c r="N50" s="64"/>
      <c r="O50" s="65" t="s">
        <v>218</v>
      </c>
      <c r="P50" s="66" t="s">
        <v>219</v>
      </c>
    </row>
    <row r="51" spans="1:16" ht="12.75" customHeight="1" thickBot="1" x14ac:dyDescent="0.25">
      <c r="A51" s="10" t="str">
        <f t="shared" si="0"/>
        <v>BAVM 171 </v>
      </c>
      <c r="B51" s="3" t="str">
        <f t="shared" si="1"/>
        <v>I</v>
      </c>
      <c r="C51" s="10">
        <f t="shared" si="2"/>
        <v>52716.120999999999</v>
      </c>
      <c r="D51" s="12" t="str">
        <f t="shared" si="3"/>
        <v>vis</v>
      </c>
      <c r="E51" s="62">
        <f>VLOOKUP(C51,Active!C$21:E$973,3,FALSE)</f>
        <v>23.000020429075093</v>
      </c>
      <c r="F51" s="3" t="s">
        <v>60</v>
      </c>
      <c r="G51" s="12" t="str">
        <f t="shared" si="4"/>
        <v>52716.121</v>
      </c>
      <c r="H51" s="10">
        <f t="shared" si="5"/>
        <v>1396</v>
      </c>
      <c r="I51" s="63" t="s">
        <v>220</v>
      </c>
      <c r="J51" s="64" t="s">
        <v>221</v>
      </c>
      <c r="K51" s="63">
        <v>1396</v>
      </c>
      <c r="L51" s="63" t="s">
        <v>222</v>
      </c>
      <c r="M51" s="64" t="s">
        <v>67</v>
      </c>
      <c r="N51" s="64"/>
      <c r="O51" s="65" t="s">
        <v>218</v>
      </c>
      <c r="P51" s="66" t="s">
        <v>223</v>
      </c>
    </row>
    <row r="52" spans="1:16" ht="12.75" customHeight="1" thickBot="1" x14ac:dyDescent="0.25">
      <c r="A52" s="10" t="str">
        <f t="shared" si="0"/>
        <v>BAVM 192 </v>
      </c>
      <c r="B52" s="3" t="str">
        <f t="shared" si="1"/>
        <v>I</v>
      </c>
      <c r="C52" s="10">
        <f t="shared" si="2"/>
        <v>54083.284</v>
      </c>
      <c r="D52" s="12" t="str">
        <f t="shared" si="3"/>
        <v>vis</v>
      </c>
      <c r="E52" s="62">
        <f>VLOOKUP(C52,Active!C$21:E$973,3,FALSE)</f>
        <v>169.99936562345778</v>
      </c>
      <c r="F52" s="3" t="s">
        <v>60</v>
      </c>
      <c r="G52" s="12" t="str">
        <f t="shared" si="4"/>
        <v>54083.284</v>
      </c>
      <c r="H52" s="10">
        <f t="shared" si="5"/>
        <v>1543</v>
      </c>
      <c r="I52" s="63" t="s">
        <v>224</v>
      </c>
      <c r="J52" s="64" t="s">
        <v>225</v>
      </c>
      <c r="K52" s="63">
        <v>1543</v>
      </c>
      <c r="L52" s="63" t="s">
        <v>226</v>
      </c>
      <c r="M52" s="64" t="s">
        <v>67</v>
      </c>
      <c r="N52" s="64"/>
      <c r="O52" s="65" t="s">
        <v>218</v>
      </c>
      <c r="P52" s="66" t="s">
        <v>227</v>
      </c>
    </row>
    <row r="53" spans="1:16" x14ac:dyDescent="0.2">
      <c r="B53" s="3"/>
      <c r="E53" s="62"/>
      <c r="F53" s="3"/>
    </row>
    <row r="54" spans="1:16" x14ac:dyDescent="0.2">
      <c r="B54" s="3"/>
      <c r="E54" s="62"/>
      <c r="F54" s="3"/>
    </row>
    <row r="55" spans="1:16" x14ac:dyDescent="0.2">
      <c r="B55" s="3"/>
      <c r="E55" s="62"/>
      <c r="F55" s="3"/>
    </row>
    <row r="56" spans="1:16" x14ac:dyDescent="0.2">
      <c r="B56" s="3"/>
      <c r="E56" s="62"/>
      <c r="F56" s="3"/>
    </row>
    <row r="57" spans="1:16" x14ac:dyDescent="0.2">
      <c r="B57" s="3"/>
      <c r="E57" s="62"/>
      <c r="F57" s="3"/>
    </row>
    <row r="58" spans="1:16" x14ac:dyDescent="0.2">
      <c r="B58" s="3"/>
      <c r="E58" s="62"/>
      <c r="F58" s="3"/>
    </row>
    <row r="59" spans="1:16" x14ac:dyDescent="0.2">
      <c r="B59" s="3"/>
      <c r="E59" s="62"/>
      <c r="F59" s="3"/>
    </row>
    <row r="60" spans="1:16" x14ac:dyDescent="0.2">
      <c r="B60" s="3"/>
      <c r="E60" s="62"/>
      <c r="F60" s="3"/>
    </row>
    <row r="61" spans="1:16" x14ac:dyDescent="0.2">
      <c r="B61" s="3"/>
      <c r="E61" s="62"/>
      <c r="F61" s="3"/>
    </row>
    <row r="62" spans="1:16" x14ac:dyDescent="0.2">
      <c r="B62" s="3"/>
      <c r="E62" s="62"/>
      <c r="F62" s="3"/>
    </row>
    <row r="63" spans="1:16" x14ac:dyDescent="0.2">
      <c r="B63" s="3"/>
      <c r="E63" s="62"/>
      <c r="F63" s="3"/>
    </row>
    <row r="64" spans="1:16" x14ac:dyDescent="0.2">
      <c r="B64" s="3"/>
      <c r="E64" s="62"/>
      <c r="F64" s="3"/>
    </row>
    <row r="65" spans="2:6" x14ac:dyDescent="0.2">
      <c r="B65" s="3"/>
      <c r="E65" s="62"/>
      <c r="F65" s="3"/>
    </row>
    <row r="66" spans="2:6" x14ac:dyDescent="0.2">
      <c r="B66" s="3"/>
      <c r="E66" s="62"/>
      <c r="F66" s="3"/>
    </row>
    <row r="67" spans="2:6" x14ac:dyDescent="0.2">
      <c r="B67" s="3"/>
      <c r="E67" s="62"/>
      <c r="F67" s="3"/>
    </row>
    <row r="68" spans="2:6" x14ac:dyDescent="0.2">
      <c r="B68" s="3"/>
      <c r="E68" s="62"/>
      <c r="F68" s="3"/>
    </row>
    <row r="69" spans="2:6" x14ac:dyDescent="0.2">
      <c r="B69" s="3"/>
      <c r="E69" s="62"/>
      <c r="F69" s="3"/>
    </row>
    <row r="70" spans="2:6" x14ac:dyDescent="0.2">
      <c r="B70" s="3"/>
      <c r="E70" s="62"/>
      <c r="F70" s="3"/>
    </row>
    <row r="71" spans="2:6" x14ac:dyDescent="0.2">
      <c r="B71" s="3"/>
      <c r="E71" s="62"/>
      <c r="F71" s="3"/>
    </row>
    <row r="72" spans="2:6" x14ac:dyDescent="0.2">
      <c r="B72" s="3"/>
      <c r="E72" s="62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</sheetData>
  <phoneticPr fontId="7" type="noConversion"/>
  <hyperlinks>
    <hyperlink ref="P30" r:id="rId1" display="http://www.konkoly.hu/cgi-bin/IBVS?1174"/>
    <hyperlink ref="P31" r:id="rId2" display="http://www.konkoly.hu/cgi-bin/IBVS?1174"/>
    <hyperlink ref="P47" r:id="rId3" display="http://www.bav-astro.de/sfs/BAVM_link.php?BAVMnr=34"/>
    <hyperlink ref="P50" r:id="rId4" display="http://www.bav-astro.de/sfs/BAVM_link.php?BAVMnr=122"/>
    <hyperlink ref="P51" r:id="rId5" display="http://www.bav-astro.de/sfs/BAVM_link.php?BAVMnr=171"/>
    <hyperlink ref="P52" r:id="rId6" display="http://www.bav-astro.de/sfs/BAVM_link.php?BAVMnr=192"/>
    <hyperlink ref="P32" r:id="rId7" display="http://www.bav-astro.de/sfs/BAVM_link.php?BAVMnr=228"/>
  </hyperlinks>
  <pageMargins left="0.75" right="0.75" top="1" bottom="1" header="0.5" footer="0.5"/>
  <pageSetup orientation="portrait" horizontalDpi="300" verticalDpi="300" r:id="rId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2024-02-11T05:48:01Z</dcterms:modified>
</cp:coreProperties>
</file>