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0CA6AC-049F-4B91-A8D1-2C28CC87E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L39" i="1" s="1"/>
  <c r="Q39" i="1"/>
  <c r="E26" i="1"/>
  <c r="F26" i="1" s="1"/>
  <c r="G26" i="1" s="1"/>
  <c r="H26" i="1" s="1"/>
  <c r="Q26" i="1"/>
  <c r="F14" i="1"/>
  <c r="Q25" i="1"/>
  <c r="Q29" i="1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23" i="2"/>
  <c r="C23" i="2"/>
  <c r="G12" i="2"/>
  <c r="C12" i="2"/>
  <c r="G11" i="2"/>
  <c r="C11" i="2"/>
  <c r="G22" i="2"/>
  <c r="C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23" i="2"/>
  <c r="B23" i="2"/>
  <c r="D23" i="2"/>
  <c r="A23" i="2"/>
  <c r="H12" i="2"/>
  <c r="B12" i="2"/>
  <c r="D12" i="2"/>
  <c r="A12" i="2"/>
  <c r="H11" i="2"/>
  <c r="B11" i="2"/>
  <c r="D11" i="2"/>
  <c r="A11" i="2"/>
  <c r="H22" i="2"/>
  <c r="B22" i="2"/>
  <c r="D22" i="2"/>
  <c r="A22" i="2"/>
  <c r="F11" i="1"/>
  <c r="Q38" i="1"/>
  <c r="Q36" i="1"/>
  <c r="Q37" i="1"/>
  <c r="Q35" i="1"/>
  <c r="G11" i="1"/>
  <c r="C17" i="1"/>
  <c r="Q32" i="1"/>
  <c r="Q33" i="1"/>
  <c r="Q28" i="1"/>
  <c r="Q34" i="1"/>
  <c r="Q31" i="1"/>
  <c r="Q30" i="1"/>
  <c r="Q27" i="1"/>
  <c r="Q22" i="1"/>
  <c r="Q23" i="1"/>
  <c r="Q24" i="1"/>
  <c r="E25" i="1"/>
  <c r="F25" i="1" s="1"/>
  <c r="G25" i="1" s="1"/>
  <c r="H25" i="1" s="1"/>
  <c r="Q21" i="1"/>
  <c r="E36" i="1"/>
  <c r="F36" i="1" s="1"/>
  <c r="G36" i="1" s="1"/>
  <c r="J36" i="1" s="1"/>
  <c r="E27" i="1"/>
  <c r="E11" i="2" s="1"/>
  <c r="E23" i="1"/>
  <c r="F23" i="1" s="1"/>
  <c r="G23" i="1" s="1"/>
  <c r="I23" i="1" s="1"/>
  <c r="E33" i="1"/>
  <c r="F33" i="1" s="1"/>
  <c r="G33" i="1" s="1"/>
  <c r="J33" i="1" s="1"/>
  <c r="E38" i="1"/>
  <c r="F38" i="1" s="1"/>
  <c r="G38" i="1" s="1"/>
  <c r="J38" i="1" s="1"/>
  <c r="E30" i="1"/>
  <c r="E13" i="2" s="1"/>
  <c r="E22" i="1"/>
  <c r="F22" i="1" s="1"/>
  <c r="G22" i="1" s="1"/>
  <c r="I22" i="1" s="1"/>
  <c r="E35" i="1"/>
  <c r="E18" i="2" s="1"/>
  <c r="E29" i="1"/>
  <c r="F29" i="1" s="1"/>
  <c r="G29" i="1" s="1"/>
  <c r="J29" i="1" s="1"/>
  <c r="E32" i="1"/>
  <c r="E15" i="2" s="1"/>
  <c r="E21" i="1"/>
  <c r="F21" i="1" s="1"/>
  <c r="G21" i="1" s="1"/>
  <c r="H21" i="1" s="1"/>
  <c r="E37" i="1"/>
  <c r="F37" i="1" s="1"/>
  <c r="G37" i="1" s="1"/>
  <c r="J37" i="1" s="1"/>
  <c r="E28" i="1"/>
  <c r="F28" i="1" s="1"/>
  <c r="G28" i="1" s="1"/>
  <c r="J28" i="1" s="1"/>
  <c r="E34" i="1"/>
  <c r="F34" i="1" s="1"/>
  <c r="G34" i="1" s="1"/>
  <c r="J34" i="1" s="1"/>
  <c r="E24" i="1"/>
  <c r="F24" i="1" s="1"/>
  <c r="G24" i="1" s="1"/>
  <c r="I24" i="1" s="1"/>
  <c r="E31" i="1"/>
  <c r="E14" i="2" s="1"/>
  <c r="E21" i="2"/>
  <c r="E17" i="2"/>
  <c r="E20" i="2" l="1"/>
  <c r="F32" i="1"/>
  <c r="G32" i="1" s="1"/>
  <c r="J32" i="1" s="1"/>
  <c r="F35" i="1"/>
  <c r="G35" i="1" s="1"/>
  <c r="J35" i="1" s="1"/>
  <c r="F27" i="1"/>
  <c r="G27" i="1" s="1"/>
  <c r="J27" i="1" s="1"/>
  <c r="F30" i="1"/>
  <c r="G30" i="1" s="1"/>
  <c r="J30" i="1" s="1"/>
  <c r="E22" i="2"/>
  <c r="F31" i="1"/>
  <c r="G31" i="1" s="1"/>
  <c r="E23" i="2"/>
  <c r="E16" i="2"/>
  <c r="E19" i="2"/>
  <c r="E12" i="2"/>
  <c r="F15" i="1"/>
  <c r="C12" i="1"/>
  <c r="C11" i="1"/>
  <c r="O26" i="1" l="1"/>
  <c r="O39" i="1"/>
  <c r="O35" i="1"/>
  <c r="O37" i="1"/>
  <c r="O34" i="1"/>
  <c r="O29" i="1"/>
  <c r="O27" i="1"/>
  <c r="O33" i="1"/>
  <c r="O31" i="1"/>
  <c r="O23" i="1"/>
  <c r="O24" i="1"/>
  <c r="O28" i="1"/>
  <c r="O32" i="1"/>
  <c r="O36" i="1"/>
  <c r="O38" i="1"/>
  <c r="O25" i="1"/>
  <c r="O21" i="1"/>
  <c r="C15" i="1"/>
  <c r="O22" i="1"/>
  <c r="O30" i="1"/>
  <c r="C16" i="1"/>
  <c r="D18" i="1" s="1"/>
  <c r="J3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<sst xmlns="http://schemas.openxmlformats.org/spreadsheetml/2006/main" count="210" uniqueCount="143">
  <si>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</si>
  <si>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</si>
  <si>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</si>
  <si>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</si>
  <si>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</si>
  <si>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</si>
  <si>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</si>
  <si>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</si>
  <si>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</si>
  <si>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</si>
  <si>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</si>
  <si>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</si>
  <si>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</si>
  <si>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</si>
  <si>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</si>
  <si>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</si>
  <si>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</si>
  <si>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</si>
  <si>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</si>
  <si>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</si>
  <si>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</si>
  <si>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</si>
  <si>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</si>
  <si>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</si>
  <si>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</si>
  <si>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</si>
  <si>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</si>
  <si>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</si>
  <si>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Bull.57</t>
  </si>
  <si>
    <t>B</t>
  </si>
  <si>
    <t>BBSAG Bull.58</t>
  </si>
  <si>
    <t>IBVS 5263</t>
  </si>
  <si>
    <t># of data points:</t>
  </si>
  <si>
    <t>TZ Gem / na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</si>
  <si>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</si>
  <si>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</si>
  <si>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</si>
  <si>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</si>
  <si>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</si>
  <si>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</si>
  <si>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IBVS 5761</t>
  </si>
  <si>
    <t>I</t>
  </si>
  <si>
    <t>Start of linear fit &gt;&gt;&gt;&gt;&gt;&gt;&gt;&gt;&gt;&gt;&gt;&gt;&gt;&gt;&gt;&gt;&gt;&gt;&gt;&gt;&gt;</t>
  </si>
  <si>
    <t>IBVS 5837</t>
  </si>
  <si>
    <t>IBVS 5874</t>
  </si>
  <si>
    <t>OEJV 0074</t>
  </si>
  <si>
    <t>Add cycle</t>
  </si>
  <si>
    <t>Old Cycle</t>
  </si>
  <si>
    <t>IBVS 5960</t>
  </si>
  <si>
    <t>IBVS 5992</t>
  </si>
  <si>
    <t>IBVS 6010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</si>
  <si>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</si>
  <si>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</si>
  <si>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</si>
  <si>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</si>
  <si>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</si>
  <si>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</si>
  <si>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</si>
  <si>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</si>
  <si>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</si>
  <si>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</si>
  <si>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</si>
  <si>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</si>
  <si>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2450047.6324 </t>
  </si>
  <si>
    <t> 26.11.1995 03:10 </t>
  </si>
  <si>
    <t> 0.0159 </t>
  </si>
  <si>
    <t>V </t>
  </si>
  <si>
    <t> A.Dedoch </t>
  </si>
  <si>
    <t> BRNO 32 </t>
  </si>
  <si>
    <t>2451193.5236 </t>
  </si>
  <si>
    <t> 15.01.1999 00:33 </t>
  </si>
  <si>
    <t> 0.0310 </t>
  </si>
  <si>
    <t>E </t>
  </si>
  <si>
    <t>?</t>
  </si>
  <si>
    <t> M.Zejda </t>
  </si>
  <si>
    <t>IBVS 5263 </t>
  </si>
  <si>
    <t>2451923.34071 </t>
  </si>
  <si>
    <t> 13.01.2001 20:10 </t>
  </si>
  <si>
    <t> 0.04408 </t>
  </si>
  <si>
    <t>C </t>
  </si>
  <si>
    <t>o</t>
  </si>
  <si>
    <t> J.Šafár </t>
  </si>
  <si>
    <t>OEJV 0074 </t>
  </si>
  <si>
    <t>2452282.377 </t>
  </si>
  <si>
    <t> 07.01.2002 21:02 </t>
  </si>
  <si>
    <t> 0.050 </t>
  </si>
  <si>
    <t> E.Blättler </t>
  </si>
  <si>
    <t> BBS 127 </t>
  </si>
  <si>
    <t>2453760.4599 </t>
  </si>
  <si>
    <t> 24.01.2006 23:02 </t>
  </si>
  <si>
    <t> 0.0705 </t>
  </si>
  <si>
    <t>-I</t>
  </si>
  <si>
    <t> P.Frank </t>
  </si>
  <si>
    <t>BAVM 178 </t>
  </si>
  <si>
    <t>2454092.6542 </t>
  </si>
  <si>
    <t> 23.12.2006 03:42 </t>
  </si>
  <si>
    <t>15257</t>
  </si>
  <si>
    <t> 0.0782 </t>
  </si>
  <si>
    <t> F.Agerer </t>
  </si>
  <si>
    <t>BAVM 183 </t>
  </si>
  <si>
    <t>2454505.3745 </t>
  </si>
  <si>
    <t> 08.02.2008 20:59 </t>
  </si>
  <si>
    <t>15503</t>
  </si>
  <si>
    <t> 0.0817 </t>
  </si>
  <si>
    <t> U.Schmidt </t>
  </si>
  <si>
    <t>BAVM 201 </t>
  </si>
  <si>
    <t>2454505.3777 </t>
  </si>
  <si>
    <t> 08.02.2008 21:03 </t>
  </si>
  <si>
    <t> 0.0849 </t>
  </si>
  <si>
    <t>2454505.380 </t>
  </si>
  <si>
    <t> 08.02.2008 21:07 </t>
  </si>
  <si>
    <t> 0.087 </t>
  </si>
  <si>
    <t> R.Diethelm </t>
  </si>
  <si>
    <t>IBVS 5837 </t>
  </si>
  <si>
    <t>2455538.8603 </t>
  </si>
  <si>
    <t> 08.12.2010 08:38 </t>
  </si>
  <si>
    <t>16119</t>
  </si>
  <si>
    <t> 0.0980 </t>
  </si>
  <si>
    <t>IBVS 5960 </t>
  </si>
  <si>
    <t>2455602.6133 </t>
  </si>
  <si>
    <t> 10.02.2011 02:43 </t>
  </si>
  <si>
    <t>16157</t>
  </si>
  <si>
    <t>IBVS 5992 </t>
  </si>
  <si>
    <t>2455629.4572 </t>
  </si>
  <si>
    <t> 08.03.2011 22:58 </t>
  </si>
  <si>
    <t>16173</t>
  </si>
  <si>
    <t> 0.0985 </t>
  </si>
  <si>
    <t>BAVM 220 </t>
  </si>
  <si>
    <t>2455971.7099 </t>
  </si>
  <si>
    <t> 14.02.2012 05:02 </t>
  </si>
  <si>
    <t>16377</t>
  </si>
  <si>
    <t> 0.0983 </t>
  </si>
  <si>
    <t>IBVS 6029 </t>
  </si>
  <si>
    <t>BAV 91 Feb 2024</t>
  </si>
  <si>
    <t>Next ToM-P</t>
  </si>
  <si>
    <t>Next ToM-S</t>
  </si>
  <si>
    <t>13.40-15.60</t>
  </si>
  <si>
    <t xml:space="preserve">Mag p </t>
  </si>
  <si>
    <t>VSX</t>
  </si>
  <si>
    <t>CCD?</t>
  </si>
  <si>
    <t>S3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</si>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</sst>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22" fontId="22" fillId="0" borderId="15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11" fillId="3" borderId="14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right" vertical="center"/>
    </xf>
    <xf numFmtId="22" fontId="24" fillId="0" borderId="16" xfId="0" applyNumberFormat="1" applyFont="1" applyBorder="1" applyAlignment="1">
      <alignment horizontal="right" vertical="center"/>
    </xf>
    <xf numFmtId="22" fontId="24" fillId="0" borderId="17" xfId="0" applyNumberFormat="1" applyFont="1" applyBorder="1" applyAlignment="1">
      <alignment horizontal="right" vertical="center"/>
    </xf>
    <xf numFmtId="0" fontId="11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Gem - O-C Diagr.</a:t>
            </a:r>
          </a:p>
        </c:rich>
      </c:tx>
      <c:layout>
        <c:manualLayout>
          <c:xMode val="edge"/>
          <c:yMode val="edge"/>
          <c:x val="0.3629896974621944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0760007819456"/>
          <c:y val="0.14906854902912253"/>
          <c:w val="0.7989330784769435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0.3091175999979896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74-4EC1-913B-CF1C9E5FE9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5.7007200004591141E-2</c:v>
                </c:pt>
                <c:pt idx="2">
                  <c:v>6.5640799999528099E-2</c:v>
                </c:pt>
                <c:pt idx="3">
                  <c:v>5.6433999998262152E-2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74-4EC1-913B-CF1C9E5FE9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">
                  <c:v>-2.2147999989101663E-3</c:v>
                </c:pt>
                <c:pt idx="7">
                  <c:v>-9.0800007455982268E-5</c:v>
                </c:pt>
                <c:pt idx="8">
                  <c:v>7.8080000093905255E-4</c:v>
                </c:pt>
                <c:pt idx="9">
                  <c:v>-1.3828000010107644E-3</c:v>
                </c:pt>
                <c:pt idx="10">
                  <c:v>1.2683999957516789E-3</c:v>
                </c:pt>
                <c:pt idx="11">
                  <c:v>-1.3892000060877763E-3</c:v>
                </c:pt>
                <c:pt idx="12">
                  <c:v>1.810799993108958E-3</c:v>
                </c:pt>
                <c:pt idx="13">
                  <c:v>4.1107999932137318E-3</c:v>
                </c:pt>
                <c:pt idx="14">
                  <c:v>-7.1880000177770853E-4</c:v>
                </c:pt>
                <c:pt idx="15">
                  <c:v>-1.6716000027372502E-3</c:v>
                </c:pt>
                <c:pt idx="16">
                  <c:v>-1.5412000066135079E-3</c:v>
                </c:pt>
                <c:pt idx="17">
                  <c:v>-6.903599998622667E-3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74-4EC1-913B-CF1C9E5FE9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74-4EC1-913B-CF1C9E5FE9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8">
                  <c:v>-1.5580799998133443E-2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74-4EC1-913B-CF1C9E5FE9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74-4EC1-913B-CF1C9E5FE9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74-4EC1-913B-CF1C9E5FE9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2.658688776710446E-2</c:v>
                </c:pt>
                <c:pt idx="1">
                  <c:v>8.4063391690204908E-3</c:v>
                </c:pt>
                <c:pt idx="2">
                  <c:v>8.3245787296995881E-3</c:v>
                </c:pt>
                <c:pt idx="3">
                  <c:v>8.319004154291345E-3</c:v>
                </c:pt>
                <c:pt idx="4">
                  <c:v>2.7165558690068854E-3</c:v>
                </c:pt>
                <c:pt idx="5">
                  <c:v>2.7165558690068854E-3</c:v>
                </c:pt>
                <c:pt idx="6">
                  <c:v>1.4474108677301734E-3</c:v>
                </c:pt>
                <c:pt idx="7">
                  <c:v>6.3909743353490278E-4</c:v>
                </c:pt>
                <c:pt idx="8">
                  <c:v>2.4144438774688489E-4</c:v>
                </c:pt>
                <c:pt idx="9">
                  <c:v>-1.3956225904738816E-3</c:v>
                </c:pt>
                <c:pt idx="10">
                  <c:v>-1.7635445674179353E-3</c:v>
                </c:pt>
                <c:pt idx="11">
                  <c:v>-2.2206597508938816E-3</c:v>
                </c:pt>
                <c:pt idx="12">
                  <c:v>-2.2206597508938816E-3</c:v>
                </c:pt>
                <c:pt idx="13">
                  <c:v>-2.2206597508938816E-3</c:v>
                </c:pt>
                <c:pt idx="14">
                  <c:v>-3.365305901386494E-3</c:v>
                </c:pt>
                <c:pt idx="15">
                  <c:v>-3.4359171898909087E-3</c:v>
                </c:pt>
                <c:pt idx="16">
                  <c:v>-3.4656482587348729E-3</c:v>
                </c:pt>
                <c:pt idx="17">
                  <c:v>-3.8447193864954137E-3</c:v>
                </c:pt>
                <c:pt idx="18">
                  <c:v>-7.351127318280414E-3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74-4EC1-913B-CF1C9E5FE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96000"/>
        <c:axId val="1"/>
      </c:scatterChart>
      <c:valAx>
        <c:axId val="874296000"/>
        <c:scaling>
          <c:orientation val="minMax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7332735543282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9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21726865992284"/>
          <c:y val="0.91925596256989606"/>
          <c:w val="0.8647694305115775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Gem - O-C Diagr.</a:t>
            </a:r>
          </a:p>
        </c:rich>
      </c:tx>
      <c:layout>
        <c:manualLayout>
          <c:xMode val="edge"/>
          <c:yMode val="edge"/>
          <c:x val="0.3641207815275310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5310834813499"/>
          <c:y val="0.14860681114551083"/>
          <c:w val="0.79218472468916523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0.3091175999979896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BA-4459-94FF-26C4C155F5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5.7007200004591141E-2</c:v>
                </c:pt>
                <c:pt idx="2">
                  <c:v>6.5640799999528099E-2</c:v>
                </c:pt>
                <c:pt idx="3">
                  <c:v>5.6433999998262152E-2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BA-4459-94FF-26C4C155F5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">
                  <c:v>-2.2147999989101663E-3</c:v>
                </c:pt>
                <c:pt idx="7">
                  <c:v>-9.0800007455982268E-5</c:v>
                </c:pt>
                <c:pt idx="8">
                  <c:v>7.8080000093905255E-4</c:v>
                </c:pt>
                <c:pt idx="9">
                  <c:v>-1.3828000010107644E-3</c:v>
                </c:pt>
                <c:pt idx="10">
                  <c:v>1.2683999957516789E-3</c:v>
                </c:pt>
                <c:pt idx="11">
                  <c:v>-1.3892000060877763E-3</c:v>
                </c:pt>
                <c:pt idx="12">
                  <c:v>1.810799993108958E-3</c:v>
                </c:pt>
                <c:pt idx="13">
                  <c:v>4.1107999932137318E-3</c:v>
                </c:pt>
                <c:pt idx="14">
                  <c:v>-7.1880000177770853E-4</c:v>
                </c:pt>
                <c:pt idx="15">
                  <c:v>-1.6716000027372502E-3</c:v>
                </c:pt>
                <c:pt idx="16">
                  <c:v>-1.5412000066135079E-3</c:v>
                </c:pt>
                <c:pt idx="17">
                  <c:v>-6.903599998622667E-3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BA-4459-94FF-26C4C155F5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BA-4459-94FF-26C4C155F5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8">
                  <c:v>-1.5580799998133443E-2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BA-4459-94FF-26C4C155F5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BA-4459-94FF-26C4C155F5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0</c:v>
                  </c:pt>
                  <c:pt idx="6">
                    <c:v>3.3E-3</c:v>
                  </c:pt>
                  <c:pt idx="7">
                    <c:v>2.3999999999999998E-3</c:v>
                  </c:pt>
                  <c:pt idx="8">
                    <c:v>0</c:v>
                  </c:pt>
                  <c:pt idx="9">
                    <c:v>1.4E-3</c:v>
                  </c:pt>
                  <c:pt idx="10">
                    <c:v>1.9E-3</c:v>
                  </c:pt>
                  <c:pt idx="11">
                    <c:v>1.2999999999999999E-3</c:v>
                  </c:pt>
                  <c:pt idx="12">
                    <c:v>5.9999999999999995E-4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1.4E-3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BA-4459-94FF-26C4C155F5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-12846</c:v>
                </c:pt>
                <c:pt idx="1">
                  <c:v>-3062</c:v>
                </c:pt>
                <c:pt idx="2">
                  <c:v>-3018</c:v>
                </c:pt>
                <c:pt idx="3">
                  <c:v>-3015</c:v>
                </c:pt>
                <c:pt idx="4">
                  <c:v>0</c:v>
                </c:pt>
                <c:pt idx="5">
                  <c:v>0</c:v>
                </c:pt>
                <c:pt idx="6">
                  <c:v>683</c:v>
                </c:pt>
                <c:pt idx="7">
                  <c:v>1118</c:v>
                </c:pt>
                <c:pt idx="8">
                  <c:v>1332</c:v>
                </c:pt>
                <c:pt idx="9">
                  <c:v>2213</c:v>
                </c:pt>
                <c:pt idx="10">
                  <c:v>2411</c:v>
                </c:pt>
                <c:pt idx="11">
                  <c:v>2657</c:v>
                </c:pt>
                <c:pt idx="12">
                  <c:v>2657</c:v>
                </c:pt>
                <c:pt idx="13">
                  <c:v>2657</c:v>
                </c:pt>
                <c:pt idx="14">
                  <c:v>3273</c:v>
                </c:pt>
                <c:pt idx="15">
                  <c:v>3311</c:v>
                </c:pt>
                <c:pt idx="16">
                  <c:v>3327</c:v>
                </c:pt>
                <c:pt idx="17">
                  <c:v>3531</c:v>
                </c:pt>
                <c:pt idx="18">
                  <c:v>5418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2.658688776710446E-2</c:v>
                </c:pt>
                <c:pt idx="1">
                  <c:v>8.4063391690204908E-3</c:v>
                </c:pt>
                <c:pt idx="2">
                  <c:v>8.3245787296995881E-3</c:v>
                </c:pt>
                <c:pt idx="3">
                  <c:v>8.319004154291345E-3</c:v>
                </c:pt>
                <c:pt idx="4">
                  <c:v>2.7165558690068854E-3</c:v>
                </c:pt>
                <c:pt idx="5">
                  <c:v>2.7165558690068854E-3</c:v>
                </c:pt>
                <c:pt idx="6">
                  <c:v>1.4474108677301734E-3</c:v>
                </c:pt>
                <c:pt idx="7">
                  <c:v>6.3909743353490278E-4</c:v>
                </c:pt>
                <c:pt idx="8">
                  <c:v>2.4144438774688489E-4</c:v>
                </c:pt>
                <c:pt idx="9">
                  <c:v>-1.3956225904738816E-3</c:v>
                </c:pt>
                <c:pt idx="10">
                  <c:v>-1.7635445674179353E-3</c:v>
                </c:pt>
                <c:pt idx="11">
                  <c:v>-2.2206597508938816E-3</c:v>
                </c:pt>
                <c:pt idx="12">
                  <c:v>-2.2206597508938816E-3</c:v>
                </c:pt>
                <c:pt idx="13">
                  <c:v>-2.2206597508938816E-3</c:v>
                </c:pt>
                <c:pt idx="14">
                  <c:v>-3.365305901386494E-3</c:v>
                </c:pt>
                <c:pt idx="15">
                  <c:v>-3.4359171898909087E-3</c:v>
                </c:pt>
                <c:pt idx="16">
                  <c:v>-3.4656482587348729E-3</c:v>
                </c:pt>
                <c:pt idx="17">
                  <c:v>-3.8447193864954137E-3</c:v>
                </c:pt>
                <c:pt idx="18">
                  <c:v>-7.351127318280414E-3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BA-4459-94FF-26C4C155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698440"/>
        <c:axId val="1"/>
      </c:scatterChart>
      <c:valAx>
        <c:axId val="86569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786856127886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698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33392539964476"/>
          <c:y val="0.91950464396284826"/>
          <c:w val="0.8632326820603907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0</xdr:rowOff>
    </xdr:from>
    <xdr:to>
      <xdr:col>18</xdr:col>
      <xdr:colOff>123824</xdr:colOff>
      <xdr:row>18</xdr:row>
      <xdr:rowOff>85724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D9E0C7F-3F41-1E17-CC3A-56E6C0F4A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266700</xdr:colOff>
      <xdr:row>0</xdr:row>
      <xdr:rowOff>38100</xdr:rowOff>
    </xdr:from>
    <xdr:to>
      <xdr:col>27</xdr:col>
      <xdr:colOff>66675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46A90DE-F75C-9010-3A4A-3C64924B0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konkoly.hu/cgi-bin/IBVS?5837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01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33</v>
      </c>
    </row>
    <row r="2" spans="1:7" ht="12.95" customHeight="1" x14ac:dyDescent="0.2">
      <c r="A2" t="s">
        <v>24</v>
      </c>
      <c r="B2" s="10" t="s">
        <v>34</v>
      </c>
    </row>
    <row r="3" spans="1:7" ht="12.95" customHeight="1" x14ac:dyDescent="0.2"/>
    <row r="4" spans="1:7" ht="12.95" customHeight="1" x14ac:dyDescent="0.2">
      <c r="A4" s="7" t="s">
        <v>0</v>
      </c>
      <c r="C4" s="3">
        <v>28495.75</v>
      </c>
      <c r="D4" s="4">
        <v>1.6777103</v>
      </c>
    </row>
    <row r="5" spans="1:7" ht="12.95" customHeight="1" x14ac:dyDescent="0.2"/>
    <row r="6" spans="1:7" ht="12.95" customHeight="1" x14ac:dyDescent="0.2">
      <c r="A6" s="7" t="s">
        <v>1</v>
      </c>
    </row>
    <row r="7" spans="1:7" ht="12.95" customHeight="1" x14ac:dyDescent="0.2">
      <c r="A7" t="s">
        <v>2</v>
      </c>
      <c r="C7">
        <v>50047.632400000002</v>
      </c>
      <c r="D7" s="65" t="s">
        <v>138</v>
      </c>
    </row>
    <row r="8" spans="1:7" ht="12.95" customHeight="1" x14ac:dyDescent="0.2">
      <c r="A8" t="s">
        <v>3</v>
      </c>
      <c r="C8">
        <v>1.6777356000000001</v>
      </c>
      <c r="D8" s="65" t="s">
        <v>138</v>
      </c>
    </row>
    <row r="9" spans="1:7" ht="12.95" customHeight="1" x14ac:dyDescent="0.2">
      <c r="A9" s="14" t="s">
        <v>36</v>
      </c>
      <c r="B9" s="11"/>
      <c r="C9" s="15">
        <v>-9.5</v>
      </c>
      <c r="D9" s="11" t="s">
        <v>37</v>
      </c>
      <c r="E9" s="11"/>
    </row>
    <row r="10" spans="1:7" ht="12.95" customHeight="1" thickBot="1" x14ac:dyDescent="0.25">
      <c r="A10" s="11"/>
      <c r="B10" s="11"/>
      <c r="C10" s="6" t="s">
        <v>20</v>
      </c>
      <c r="D10" s="6" t="s">
        <v>21</v>
      </c>
      <c r="E10" s="11"/>
    </row>
    <row r="11" spans="1:7" ht="12.95" customHeight="1" x14ac:dyDescent="0.2">
      <c r="A11" s="11" t="s">
        <v>16</v>
      </c>
      <c r="B11" s="11"/>
      <c r="C11" s="24">
        <f ca="1">INTERCEPT(INDIRECT($G$11):G992,INDIRECT($F$11):F992)</f>
        <v>2.7165558690068854E-3</v>
      </c>
      <c r="D11" s="5"/>
      <c r="E11" s="11"/>
      <c r="F11" s="25" t="str">
        <f>"F"&amp;E19</f>
        <v>F25</v>
      </c>
      <c r="G11" s="26" t="str">
        <f>"G"&amp;E19</f>
        <v>G25</v>
      </c>
    </row>
    <row r="12" spans="1:7" ht="12.95" customHeight="1" x14ac:dyDescent="0.2">
      <c r="A12" s="11" t="s">
        <v>17</v>
      </c>
      <c r="B12" s="11"/>
      <c r="C12" s="24">
        <f ca="1">SLOPE(INDIRECT($G$11):G992,INDIRECT($F$11):F992)</f>
        <v>-1.8581918027477482E-6</v>
      </c>
      <c r="D12" s="5"/>
      <c r="E12" s="59" t="s">
        <v>137</v>
      </c>
      <c r="F12" s="61" t="s">
        <v>136</v>
      </c>
    </row>
    <row r="13" spans="1:7" ht="12.95" customHeight="1" x14ac:dyDescent="0.2">
      <c r="A13" s="11" t="s">
        <v>19</v>
      </c>
      <c r="B13" s="11"/>
      <c r="C13" s="5" t="s">
        <v>14</v>
      </c>
      <c r="D13" s="18"/>
      <c r="E13" s="56" t="s">
        <v>46</v>
      </c>
      <c r="F13" s="60">
        <v>1</v>
      </c>
    </row>
    <row r="14" spans="1:7" ht="12.95" customHeight="1" x14ac:dyDescent="0.2">
      <c r="A14" s="11"/>
      <c r="B14" s="11"/>
      <c r="C14" s="11"/>
      <c r="D14" s="18"/>
      <c r="E14" s="56" t="s">
        <v>38</v>
      </c>
      <c r="F14" s="62">
        <f ca="1">NOW()+15018.5+$C$9/24</f>
        <v>60546.745610648148</v>
      </c>
    </row>
    <row r="15" spans="1:7" ht="12.95" customHeight="1" x14ac:dyDescent="0.2">
      <c r="A15" s="16" t="s">
        <v>18</v>
      </c>
      <c r="B15" s="11"/>
      <c r="C15" s="17">
        <f ca="1">(C7+C11)+(C8+C12)*INT(MAX(F21:F3533))</f>
        <v>59137.596529672686</v>
      </c>
      <c r="D15" s="18"/>
      <c r="E15" s="56" t="s">
        <v>47</v>
      </c>
      <c r="F15" s="62">
        <f ca="1">ROUND(2*($F$14-$C$7)/$C$8,0)/2+$F$13</f>
        <v>6259</v>
      </c>
    </row>
    <row r="16" spans="1:7" ht="12.95" customHeight="1" x14ac:dyDescent="0.2">
      <c r="A16" s="19" t="s">
        <v>4</v>
      </c>
      <c r="B16" s="11"/>
      <c r="C16" s="20">
        <f ca="1">+C8+C12</f>
        <v>1.6777337418081975</v>
      </c>
      <c r="D16" s="18"/>
      <c r="E16" s="56" t="s">
        <v>39</v>
      </c>
      <c r="F16" s="62">
        <f ca="1">ROUND(2*($F$14-$C$15)/$C$16,0)/2+$F$13</f>
        <v>841</v>
      </c>
    </row>
    <row r="17" spans="1:30" ht="12.95" customHeight="1" thickBot="1" x14ac:dyDescent="0.25">
      <c r="A17" s="18" t="s">
        <v>32</v>
      </c>
      <c r="B17" s="11"/>
      <c r="C17" s="11">
        <f>COUNT(C21:C2191)</f>
        <v>19</v>
      </c>
      <c r="D17" s="18"/>
      <c r="E17" s="57" t="s">
        <v>134</v>
      </c>
      <c r="F17" s="63">
        <f ca="1">+$C$15+$C$16*$F$16-15018.5-$C$9/24</f>
        <v>45530.466439866716</v>
      </c>
    </row>
    <row r="18" spans="1:30" ht="12.95" customHeight="1" thickTop="1" thickBot="1" x14ac:dyDescent="0.25">
      <c r="A18" s="19" t="s">
        <v>5</v>
      </c>
      <c r="B18" s="11"/>
      <c r="C18" s="21">
        <f ca="1">+C15</f>
        <v>59137.596529672686</v>
      </c>
      <c r="D18" s="22">
        <f ca="1">+C16</f>
        <v>1.6777337418081975</v>
      </c>
      <c r="E18" s="58" t="s">
        <v>135</v>
      </c>
      <c r="F18" s="64">
        <f ca="1">+($C$15+$C$16*$F$16)-($C$16/2)-15018.5-$C$9/24</f>
        <v>45529.627572995814</v>
      </c>
    </row>
    <row r="19" spans="1:30" ht="12.95" customHeight="1" thickTop="1" x14ac:dyDescent="0.2">
      <c r="A19" s="27" t="s">
        <v>42</v>
      </c>
      <c r="E19" s="28">
        <v>25</v>
      </c>
    </row>
    <row r="20" spans="1:30" ht="12.95" customHeight="1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141</v>
      </c>
      <c r="I20" s="9" t="s">
        <v>142</v>
      </c>
      <c r="J20" s="9" t="s">
        <v>139</v>
      </c>
      <c r="K20" s="9" t="s">
        <v>140</v>
      </c>
      <c r="L20" s="9" t="s">
        <v>54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</row>
    <row r="21" spans="1:30" ht="12.95" customHeight="1" x14ac:dyDescent="0.2">
      <c r="A21" t="s">
        <v>12</v>
      </c>
      <c r="C21" s="12">
        <v>28495.75</v>
      </c>
      <c r="D21" s="12" t="s">
        <v>14</v>
      </c>
      <c r="E21">
        <f>+(C21-C$7)/C$8</f>
        <v>-12845.815753090059</v>
      </c>
      <c r="F21">
        <f>ROUND(2*E21,0)/2</f>
        <v>-12846</v>
      </c>
      <c r="G21">
        <f>+C21-(C$7+F21*C$8)</f>
        <v>0.3091175999979896</v>
      </c>
      <c r="H21" s="29">
        <f>G21</f>
        <v>0.3091175999979896</v>
      </c>
      <c r="O21">
        <f ca="1">+C$11+C$12*F21</f>
        <v>2.658688776710446E-2</v>
      </c>
      <c r="Q21" s="2">
        <f>+C21-15018.5</f>
        <v>13477.25</v>
      </c>
    </row>
    <row r="22" spans="1:30" ht="12.95" customHeight="1" x14ac:dyDescent="0.2">
      <c r="A22" t="s">
        <v>28</v>
      </c>
      <c r="C22" s="12">
        <v>44910.463000000003</v>
      </c>
      <c r="D22" s="12"/>
      <c r="E22">
        <f>+(C22-C$7)/C$8</f>
        <v>-3061.9660213444827</v>
      </c>
      <c r="F22">
        <f>ROUND(2*E22,0)/2</f>
        <v>-3062</v>
      </c>
      <c r="G22">
        <f>+C22-(C$7+F22*C$8)</f>
        <v>5.7007200004591141E-2</v>
      </c>
      <c r="I22">
        <f>+G22</f>
        <v>5.7007200004591141E-2</v>
      </c>
      <c r="O22">
        <f ca="1">+C$11+C$12*F22</f>
        <v>8.4063391690204908E-3</v>
      </c>
      <c r="Q22" s="2">
        <f>+C22-15018.5</f>
        <v>29891.963000000003</v>
      </c>
      <c r="AA22">
        <v>7</v>
      </c>
      <c r="AB22" t="s">
        <v>27</v>
      </c>
      <c r="AD22" t="s">
        <v>29</v>
      </c>
    </row>
    <row r="23" spans="1:30" ht="12.95" customHeight="1" x14ac:dyDescent="0.2">
      <c r="A23" t="s">
        <v>30</v>
      </c>
      <c r="C23" s="12">
        <v>44984.292000000001</v>
      </c>
      <c r="D23" s="12"/>
      <c r="E23">
        <f>+(C23-C$7)/C$8</f>
        <v>-3017.960875360814</v>
      </c>
      <c r="F23">
        <f>ROUND(2*E23,0)/2</f>
        <v>-3018</v>
      </c>
      <c r="G23">
        <f>+C23-(C$7+F23*C$8)</f>
        <v>6.5640799999528099E-2</v>
      </c>
      <c r="I23">
        <f>+G23</f>
        <v>6.5640799999528099E-2</v>
      </c>
      <c r="O23">
        <f ca="1">+C$11+C$12*F23</f>
        <v>8.3245787296995881E-3</v>
      </c>
      <c r="Q23" s="2">
        <f>+C23-15018.5</f>
        <v>29965.792000000001</v>
      </c>
      <c r="AA23">
        <v>6</v>
      </c>
      <c r="AB23" t="s">
        <v>27</v>
      </c>
      <c r="AD23" t="s">
        <v>29</v>
      </c>
    </row>
    <row r="24" spans="1:30" ht="12.95" customHeight="1" x14ac:dyDescent="0.2">
      <c r="A24" t="s">
        <v>30</v>
      </c>
      <c r="C24" s="12">
        <v>44989.315999999999</v>
      </c>
      <c r="D24" s="12"/>
      <c r="E24">
        <f>+(C24-C$7)/C$8</f>
        <v>-3014.9663629954584</v>
      </c>
      <c r="F24">
        <f>ROUND(2*E24,0)/2</f>
        <v>-3015</v>
      </c>
      <c r="G24">
        <f>+C24-(C$7+F24*C$8)</f>
        <v>5.6433999998262152E-2</v>
      </c>
      <c r="I24">
        <f>+G24</f>
        <v>5.6433999998262152E-2</v>
      </c>
      <c r="O24">
        <f ca="1">+C$11+C$12*F24</f>
        <v>8.319004154291345E-3</v>
      </c>
      <c r="Q24" s="2">
        <f>+C24-15018.5</f>
        <v>29970.815999999999</v>
      </c>
      <c r="AA24">
        <v>6</v>
      </c>
      <c r="AB24" t="s">
        <v>27</v>
      </c>
      <c r="AD24" t="s">
        <v>29</v>
      </c>
    </row>
    <row r="25" spans="1:30" ht="12.95" customHeight="1" x14ac:dyDescent="0.2">
      <c r="A25" s="52" t="s">
        <v>68</v>
      </c>
      <c r="B25" s="53" t="s">
        <v>41</v>
      </c>
      <c r="C25" s="52">
        <v>50047.632400000002</v>
      </c>
      <c r="D25" s="52" t="s">
        <v>62</v>
      </c>
      <c r="E25">
        <f>+(C25-C$7)/C$8</f>
        <v>0</v>
      </c>
      <c r="F25">
        <f>ROUND(2*E25,0)/2</f>
        <v>0</v>
      </c>
      <c r="G25">
        <f>+C25-(C$7+F25*C$8)</f>
        <v>0</v>
      </c>
      <c r="H25">
        <f>+G25</f>
        <v>0</v>
      </c>
      <c r="O25">
        <f ca="1">+C$11+C$12*F25</f>
        <v>2.7165558690068854E-3</v>
      </c>
      <c r="Q25" s="2">
        <f>+C25-15018.5</f>
        <v>35029.132400000002</v>
      </c>
    </row>
    <row r="26" spans="1:30" ht="12.95" customHeight="1" x14ac:dyDescent="0.2">
      <c r="A26" s="65" t="s">
        <v>138</v>
      </c>
      <c r="C26">
        <v>50047.632400000002</v>
      </c>
      <c r="D26" s="5"/>
      <c r="E26">
        <f>+(C26-C$7)/C$8</f>
        <v>0</v>
      </c>
      <c r="F26">
        <f>ROUND(2*E26,0)/2</f>
        <v>0</v>
      </c>
      <c r="G26">
        <f>+C26-(C$7+F26*C$8)</f>
        <v>0</v>
      </c>
      <c r="H26">
        <f>+G26</f>
        <v>0</v>
      </c>
      <c r="O26">
        <f ca="1">+C$11+C$12*F26</f>
        <v>2.7165558690068854E-3</v>
      </c>
      <c r="Q26" s="2">
        <f>+C26-15018.5</f>
        <v>35029.132400000002</v>
      </c>
    </row>
    <row r="27" spans="1:30" ht="12.95" customHeight="1" x14ac:dyDescent="0.2">
      <c r="A27" t="s">
        <v>31</v>
      </c>
      <c r="C27" s="13">
        <v>51193.5236</v>
      </c>
      <c r="D27" s="13">
        <v>3.3E-3</v>
      </c>
      <c r="E27">
        <f>+(C27-C$7)/C$8</f>
        <v>682.99867988734229</v>
      </c>
      <c r="F27">
        <f>ROUND(2*E27,0)/2</f>
        <v>683</v>
      </c>
      <c r="G27">
        <f>+C27-(C$7+F27*C$8)</f>
        <v>-2.2147999989101663E-3</v>
      </c>
      <c r="J27">
        <f>+G27</f>
        <v>-2.2147999989101663E-3</v>
      </c>
      <c r="O27">
        <f ca="1">+C$11+C$12*F27</f>
        <v>1.4474108677301734E-3</v>
      </c>
      <c r="Q27" s="2">
        <f>+C27-15018.5</f>
        <v>36175.0236</v>
      </c>
    </row>
    <row r="28" spans="1:30" ht="12.95" customHeight="1" x14ac:dyDescent="0.2">
      <c r="A28" s="31" t="s">
        <v>45</v>
      </c>
      <c r="B28" s="30" t="s">
        <v>41</v>
      </c>
      <c r="C28" s="31">
        <v>51923.340709999997</v>
      </c>
      <c r="D28" s="31">
        <v>2.3999999999999998E-3</v>
      </c>
      <c r="E28">
        <f>+(C28-C$7)/C$8</f>
        <v>1117.9999458794309</v>
      </c>
      <c r="F28">
        <f>ROUND(2*E28,0)/2</f>
        <v>1118</v>
      </c>
      <c r="G28">
        <f>+C28-(C$7+F28*C$8)</f>
        <v>-9.0800007455982268E-5</v>
      </c>
      <c r="J28">
        <f>+G28</f>
        <v>-9.0800007455982268E-5</v>
      </c>
      <c r="O28">
        <f ca="1">+C$11+C$12*F28</f>
        <v>6.3909743353490278E-4</v>
      </c>
      <c r="Q28" s="2">
        <f>+C28-15018.5</f>
        <v>36904.840709999997</v>
      </c>
    </row>
    <row r="29" spans="1:30" ht="12.95" customHeight="1" x14ac:dyDescent="0.2">
      <c r="A29" s="52" t="s">
        <v>87</v>
      </c>
      <c r="B29" s="53" t="s">
        <v>41</v>
      </c>
      <c r="C29" s="52">
        <v>52282.377</v>
      </c>
      <c r="D29" s="52" t="s">
        <v>62</v>
      </c>
      <c r="E29">
        <f>+(C29-C$7)/C$8</f>
        <v>1332.0004653891817</v>
      </c>
      <c r="F29">
        <f>ROUND(2*E29,0)/2</f>
        <v>1332</v>
      </c>
      <c r="G29">
        <f>+C29-(C$7+F29*C$8)</f>
        <v>7.8080000093905255E-4</v>
      </c>
      <c r="J29">
        <f>+G29</f>
        <v>7.8080000093905255E-4</v>
      </c>
      <c r="O29">
        <f ca="1">+C$11+C$12*F29</f>
        <v>2.4144438774688489E-4</v>
      </c>
      <c r="Q29" s="2">
        <f>+C29-15018.5</f>
        <v>37263.877</v>
      </c>
    </row>
    <row r="30" spans="1:30" ht="12.95" customHeight="1" x14ac:dyDescent="0.2">
      <c r="A30" s="23" t="s">
        <v>35</v>
      </c>
      <c r="B30" s="32"/>
      <c r="C30" s="31">
        <v>53760.459900000002</v>
      </c>
      <c r="D30" s="31">
        <v>1.4E-3</v>
      </c>
      <c r="E30">
        <f>+(C30-C$7)/C$8</f>
        <v>2212.9991757938492</v>
      </c>
      <c r="F30">
        <f>ROUND(2*E30,0)/2</f>
        <v>2213</v>
      </c>
      <c r="G30">
        <f>+C30-(C$7+F30*C$8)</f>
        <v>-1.3828000010107644E-3</v>
      </c>
      <c r="J30">
        <f>+G30</f>
        <v>-1.3828000010107644E-3</v>
      </c>
      <c r="O30">
        <f ca="1">+C$11+C$12*F30</f>
        <v>-1.3956225904738816E-3</v>
      </c>
      <c r="Q30" s="2">
        <f>+C30-15018.5</f>
        <v>38741.959900000002</v>
      </c>
    </row>
    <row r="31" spans="1:30" ht="12.95" customHeight="1" x14ac:dyDescent="0.2">
      <c r="A31" s="23" t="s">
        <v>40</v>
      </c>
      <c r="B31" s="33" t="s">
        <v>41</v>
      </c>
      <c r="C31" s="31">
        <v>54092.654199999997</v>
      </c>
      <c r="D31" s="31">
        <v>1.9E-3</v>
      </c>
      <c r="E31">
        <f>+(C31-C$7)/C$8</f>
        <v>2411.0007560190024</v>
      </c>
      <c r="F31">
        <f>ROUND(2*E31,0)/2</f>
        <v>2411</v>
      </c>
      <c r="G31">
        <f>+C31-(C$7+F31*C$8)</f>
        <v>1.2683999957516789E-3</v>
      </c>
      <c r="J31">
        <f>+G31</f>
        <v>1.2683999957516789E-3</v>
      </c>
      <c r="O31">
        <f ca="1">+C$11+C$12*F31</f>
        <v>-1.7635445674179353E-3</v>
      </c>
      <c r="Q31" s="2">
        <f>+C31-15018.5</f>
        <v>39074.154199999997</v>
      </c>
    </row>
    <row r="32" spans="1:30" ht="12.95" customHeight="1" x14ac:dyDescent="0.2">
      <c r="A32" s="31" t="s">
        <v>44</v>
      </c>
      <c r="B32" s="30" t="s">
        <v>41</v>
      </c>
      <c r="C32" s="31">
        <v>54505.374499999998</v>
      </c>
      <c r="D32" s="31">
        <v>1.2999999999999999E-3</v>
      </c>
      <c r="E32">
        <f>+(C32-C$7)/C$8</f>
        <v>2656.9991719791815</v>
      </c>
      <c r="F32">
        <f>ROUND(2*E32,0)/2</f>
        <v>2657</v>
      </c>
      <c r="G32">
        <f>+C32-(C$7+F32*C$8)</f>
        <v>-1.3892000060877763E-3</v>
      </c>
      <c r="J32">
        <f>+G32</f>
        <v>-1.3892000060877763E-3</v>
      </c>
      <c r="O32">
        <f ca="1">+C$11+C$12*F32</f>
        <v>-2.2206597508938816E-3</v>
      </c>
      <c r="Q32" s="2">
        <f>+C32-15018.5</f>
        <v>39486.874499999998</v>
      </c>
    </row>
    <row r="33" spans="1:17" ht="12.95" customHeight="1" x14ac:dyDescent="0.2">
      <c r="A33" s="31" t="s">
        <v>44</v>
      </c>
      <c r="B33" s="30" t="s">
        <v>41</v>
      </c>
      <c r="C33" s="31">
        <v>54505.377699999997</v>
      </c>
      <c r="D33" s="31">
        <v>5.9999999999999995E-4</v>
      </c>
      <c r="E33">
        <f>+(C33-C$7)/C$8</f>
        <v>2657.0010793118981</v>
      </c>
      <c r="F33">
        <f>ROUND(2*E33,0)/2</f>
        <v>2657</v>
      </c>
      <c r="G33">
        <f>+C33-(C$7+F33*C$8)</f>
        <v>1.810799993108958E-3</v>
      </c>
      <c r="J33">
        <f>+G33</f>
        <v>1.810799993108958E-3</v>
      </c>
      <c r="O33">
        <f ca="1">+C$11+C$12*F33</f>
        <v>-2.2206597508938816E-3</v>
      </c>
      <c r="Q33" s="2">
        <f>+C33-15018.5</f>
        <v>39486.877699999997</v>
      </c>
    </row>
    <row r="34" spans="1:17" ht="12.95" customHeight="1" x14ac:dyDescent="0.2">
      <c r="A34" s="23" t="s">
        <v>43</v>
      </c>
      <c r="B34" s="30" t="s">
        <v>41</v>
      </c>
      <c r="C34" s="31">
        <v>54505.38</v>
      </c>
      <c r="D34" s="31"/>
      <c r="E34">
        <f>+(C34-C$7)/C$8</f>
        <v>2657.0024502072883</v>
      </c>
      <c r="F34">
        <f>ROUND(2*E34,0)/2</f>
        <v>2657</v>
      </c>
      <c r="G34">
        <f>+C34-(C$7+F34*C$8)</f>
        <v>4.1107999932137318E-3</v>
      </c>
      <c r="J34">
        <f>+G34</f>
        <v>4.1107999932137318E-3</v>
      </c>
      <c r="O34">
        <f ca="1">+C$11+C$12*F34</f>
        <v>-2.2206597508938816E-3</v>
      </c>
      <c r="Q34" s="2">
        <f>+C34-15018.5</f>
        <v>39486.879999999997</v>
      </c>
    </row>
    <row r="35" spans="1:17" ht="12.95" customHeight="1" x14ac:dyDescent="0.2">
      <c r="A35" s="23" t="s">
        <v>48</v>
      </c>
      <c r="B35" s="30" t="s">
        <v>41</v>
      </c>
      <c r="C35" s="31">
        <v>55538.8603</v>
      </c>
      <c r="D35" s="31">
        <v>1E-3</v>
      </c>
      <c r="E35">
        <f>+(C35-C$7)/C$8</f>
        <v>3272.9995715653872</v>
      </c>
      <c r="F35">
        <f>ROUND(2*E35,0)/2</f>
        <v>3273</v>
      </c>
      <c r="G35">
        <f>+C35-(C$7+F35*C$8)</f>
        <v>-7.1880000177770853E-4</v>
      </c>
      <c r="J35">
        <f>+G35</f>
        <v>-7.1880000177770853E-4</v>
      </c>
      <c r="O35">
        <f ca="1">+C$11+C$12*F35</f>
        <v>-3.365305901386494E-3</v>
      </c>
      <c r="Q35" s="2">
        <f>+C35-15018.5</f>
        <v>40520.3603</v>
      </c>
    </row>
    <row r="36" spans="1:17" ht="12.95" customHeight="1" x14ac:dyDescent="0.2">
      <c r="A36" s="34" t="s">
        <v>49</v>
      </c>
      <c r="B36" s="35" t="s">
        <v>41</v>
      </c>
      <c r="C36" s="34">
        <v>55602.613299999997</v>
      </c>
      <c r="D36" s="34">
        <v>2.0000000000000001E-4</v>
      </c>
      <c r="E36">
        <f>+(C36-C$7)/C$8</f>
        <v>3310.9990036570689</v>
      </c>
      <c r="F36">
        <f>ROUND(2*E36,0)/2</f>
        <v>3311</v>
      </c>
      <c r="G36">
        <f>+C36-(C$7+F36*C$8)</f>
        <v>-1.6716000027372502E-3</v>
      </c>
      <c r="J36">
        <f>+G36</f>
        <v>-1.6716000027372502E-3</v>
      </c>
      <c r="O36">
        <f ca="1">+C$11+C$12*F36</f>
        <v>-3.4359171898909087E-3</v>
      </c>
      <c r="Q36" s="2">
        <f>+C36-15018.5</f>
        <v>40584.113299999997</v>
      </c>
    </row>
    <row r="37" spans="1:17" ht="12.95" customHeight="1" x14ac:dyDescent="0.2">
      <c r="A37" s="34" t="s">
        <v>50</v>
      </c>
      <c r="B37" s="35" t="s">
        <v>41</v>
      </c>
      <c r="C37" s="34">
        <v>55629.457199999997</v>
      </c>
      <c r="D37" s="34">
        <v>1E-4</v>
      </c>
      <c r="E37">
        <f>+(C37-C$7)/C$8</f>
        <v>3326.9990813808772</v>
      </c>
      <c r="F37">
        <f>ROUND(2*E37,0)/2</f>
        <v>3327</v>
      </c>
      <c r="G37">
        <f>+C37-(C$7+F37*C$8)</f>
        <v>-1.5412000066135079E-3</v>
      </c>
      <c r="J37">
        <f>+G37</f>
        <v>-1.5412000066135079E-3</v>
      </c>
      <c r="O37">
        <f ca="1">+C$11+C$12*F37</f>
        <v>-3.4656482587348729E-3</v>
      </c>
      <c r="Q37" s="2">
        <f>+C37-15018.5</f>
        <v>40610.957199999997</v>
      </c>
    </row>
    <row r="38" spans="1:17" ht="12.95" customHeight="1" x14ac:dyDescent="0.2">
      <c r="A38" s="36" t="s">
        <v>51</v>
      </c>
      <c r="B38" s="37" t="s">
        <v>41</v>
      </c>
      <c r="C38" s="36">
        <v>55971.709900000002</v>
      </c>
      <c r="D38" s="36">
        <v>1.4E-3</v>
      </c>
      <c r="E38">
        <f>+(C38-C$7)/C$8</f>
        <v>3530.9958851680794</v>
      </c>
      <c r="F38">
        <f>ROUND(2*E38,0)/2</f>
        <v>3531</v>
      </c>
      <c r="G38">
        <f>+C38-(C$7+F38*C$8)</f>
        <v>-6.903599998622667E-3</v>
      </c>
      <c r="J38">
        <f>+G38</f>
        <v>-6.903599998622667E-3</v>
      </c>
      <c r="O38">
        <f ca="1">+C$11+C$12*F38</f>
        <v>-3.8447193864954137E-3</v>
      </c>
      <c r="Q38" s="2">
        <f>+C38-15018.5</f>
        <v>40953.209900000002</v>
      </c>
    </row>
    <row r="39" spans="1:17" ht="12.95" customHeight="1" x14ac:dyDescent="0.2">
      <c r="A39" s="54" t="s">
        <v>133</v>
      </c>
      <c r="B39" s="55" t="s">
        <v>41</v>
      </c>
      <c r="C39" s="54">
        <v>59137.588300000003</v>
      </c>
      <c r="D39" s="54">
        <v>3.5000000000000001E-3</v>
      </c>
      <c r="E39">
        <f>+(C39-C$7)/C$8</f>
        <v>5417.9907131970022</v>
      </c>
      <c r="F39">
        <f>ROUND(2*E39,0)/2</f>
        <v>5418</v>
      </c>
      <c r="G39">
        <f>+C39-(C$7+F39*C$8)</f>
        <v>-1.5580799998133443E-2</v>
      </c>
      <c r="L39">
        <f>+G39</f>
        <v>-1.5580799998133443E-2</v>
      </c>
      <c r="O39">
        <f ca="1">+C$11+C$12*F39</f>
        <v>-7.351127318280414E-3</v>
      </c>
      <c r="Q39" s="2">
        <f>+C39-15018.5</f>
        <v>44119.088300000003</v>
      </c>
    </row>
    <row r="40" spans="1:17" ht="12.95" customHeight="1" x14ac:dyDescent="0.2">
      <c r="D40" s="5"/>
    </row>
    <row r="41" spans="1:17" x14ac:dyDescent="0.2">
      <c r="D41" s="5"/>
    </row>
    <row r="42" spans="1:17" x14ac:dyDescent="0.2">
      <c r="D42" s="5"/>
    </row>
    <row r="43" spans="1:17" x14ac:dyDescent="0.2">
      <c r="D43" s="5"/>
    </row>
    <row r="44" spans="1:17" x14ac:dyDescent="0.2">
      <c r="D44" s="5"/>
    </row>
    <row r="45" spans="1:17" x14ac:dyDescent="0.2">
      <c r="D45" s="5"/>
    </row>
    <row r="46" spans="1:17" x14ac:dyDescent="0.2">
      <c r="D46" s="5"/>
    </row>
  </sheetData>
  <sortState xmlns:xlrd2="http://schemas.microsoft.com/office/spreadsheetml/2017/richdata2" ref="A21:AE43">
    <sortCondition ref="C21:C43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9"/>
  <sheetViews>
    <sheetView workbookViewId="0">
      <selection activeCell="A22" sqref="A22:D23"/>
    </sheetView>
  </sheetViews>
  <sheetFormatPr defaultRowHeight="12.75" x14ac:dyDescent="0.2"/>
  <cols>
    <col min="1" max="1" width="19.7109375" style="39" customWidth="1"/>
    <col min="2" max="2" width="4.42578125" style="11" customWidth="1"/>
    <col min="3" max="3" width="12.7109375" style="3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8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39" t="str">
        <f t="shared" ref="A11:A23" si="0">P11</f>
        <v>IBVS 5263 </v>
      </c>
      <c r="B11" s="5" t="str">
        <f t="shared" ref="B11:B23" si="1">IF(H11=INT(H11),"I","II")</f>
        <v>I</v>
      </c>
      <c r="C11" s="39">
        <f t="shared" ref="C11:C23" si="2">1*G11</f>
        <v>51193.5236</v>
      </c>
      <c r="D11" s="11" t="str">
        <f t="shared" ref="D11:D23" si="3">VLOOKUP(F11,I$1:J$5,2,FALSE)</f>
        <v>vis</v>
      </c>
      <c r="E11" s="47">
        <f>VLOOKUP(C11,Active!C$21:E$973,3,FALSE)</f>
        <v>682.99867988734229</v>
      </c>
      <c r="F11" s="5" t="s">
        <v>61</v>
      </c>
      <c r="G11" s="11" t="str">
        <f t="shared" ref="G11:G23" si="4">MID(I11,3,LEN(I11)-3)</f>
        <v>51193.5236</v>
      </c>
      <c r="H11" s="39">
        <f t="shared" ref="H11:H23" si="5">1*K11</f>
        <v>13529</v>
      </c>
      <c r="I11" s="48" t="s">
        <v>69</v>
      </c>
      <c r="J11" s="49" t="s">
        <v>70</v>
      </c>
      <c r="K11" s="48">
        <v>13529</v>
      </c>
      <c r="L11" s="48" t="s">
        <v>71</v>
      </c>
      <c r="M11" s="49" t="s">
        <v>72</v>
      </c>
      <c r="N11" s="49" t="s">
        <v>73</v>
      </c>
      <c r="O11" s="50" t="s">
        <v>74</v>
      </c>
      <c r="P11" s="51" t="s">
        <v>75</v>
      </c>
    </row>
    <row r="12" spans="1:16" ht="12.75" customHeight="1" thickBot="1" x14ac:dyDescent="0.25">
      <c r="A12" s="39" t="str">
        <f t="shared" si="0"/>
        <v>OEJV 0074 </v>
      </c>
      <c r="B12" s="5" t="str">
        <f t="shared" si="1"/>
        <v>I</v>
      </c>
      <c r="C12" s="39">
        <f t="shared" si="2"/>
        <v>51923.340709999997</v>
      </c>
      <c r="D12" s="11" t="str">
        <f t="shared" si="3"/>
        <v>vis</v>
      </c>
      <c r="E12" s="47">
        <f>VLOOKUP(C12,Active!C$21:E$973,3,FALSE)</f>
        <v>1117.9999458794309</v>
      </c>
      <c r="F12" s="5" t="s">
        <v>61</v>
      </c>
      <c r="G12" s="11" t="str">
        <f t="shared" si="4"/>
        <v>51923.34071</v>
      </c>
      <c r="H12" s="39">
        <f t="shared" si="5"/>
        <v>13964</v>
      </c>
      <c r="I12" s="48" t="s">
        <v>76</v>
      </c>
      <c r="J12" s="49" t="s">
        <v>77</v>
      </c>
      <c r="K12" s="48">
        <v>13964</v>
      </c>
      <c r="L12" s="48" t="s">
        <v>78</v>
      </c>
      <c r="M12" s="49" t="s">
        <v>79</v>
      </c>
      <c r="N12" s="49" t="s">
        <v>80</v>
      </c>
      <c r="O12" s="50" t="s">
        <v>81</v>
      </c>
      <c r="P12" s="51" t="s">
        <v>82</v>
      </c>
    </row>
    <row r="13" spans="1:16" ht="12.75" customHeight="1" thickBot="1" x14ac:dyDescent="0.25">
      <c r="A13" s="39" t="str">
        <f t="shared" si="0"/>
        <v>BAVM 178 </v>
      </c>
      <c r="B13" s="5" t="str">
        <f t="shared" si="1"/>
        <v>I</v>
      </c>
      <c r="C13" s="39">
        <f t="shared" si="2"/>
        <v>53760.459900000002</v>
      </c>
      <c r="D13" s="11" t="str">
        <f t="shared" si="3"/>
        <v>vis</v>
      </c>
      <c r="E13" s="47">
        <f>VLOOKUP(C13,Active!C$21:E$973,3,FALSE)</f>
        <v>2212.9991757938492</v>
      </c>
      <c r="F13" s="5" t="s">
        <v>61</v>
      </c>
      <c r="G13" s="11" t="str">
        <f t="shared" si="4"/>
        <v>53760.4599</v>
      </c>
      <c r="H13" s="39">
        <f t="shared" si="5"/>
        <v>15059</v>
      </c>
      <c r="I13" s="48" t="s">
        <v>88</v>
      </c>
      <c r="J13" s="49" t="s">
        <v>89</v>
      </c>
      <c r="K13" s="48">
        <v>15059</v>
      </c>
      <c r="L13" s="48" t="s">
        <v>90</v>
      </c>
      <c r="M13" s="49" t="s">
        <v>79</v>
      </c>
      <c r="N13" s="49" t="s">
        <v>91</v>
      </c>
      <c r="O13" s="50" t="s">
        <v>92</v>
      </c>
      <c r="P13" s="51" t="s">
        <v>93</v>
      </c>
    </row>
    <row r="14" spans="1:16" ht="12.75" customHeight="1" thickBot="1" x14ac:dyDescent="0.25">
      <c r="A14" s="39" t="str">
        <f t="shared" si="0"/>
        <v>BAVM 183 </v>
      </c>
      <c r="B14" s="5" t="str">
        <f t="shared" si="1"/>
        <v>I</v>
      </c>
      <c r="C14" s="39">
        <f t="shared" si="2"/>
        <v>54092.654199999997</v>
      </c>
      <c r="D14" s="11" t="str">
        <f t="shared" si="3"/>
        <v>vis</v>
      </c>
      <c r="E14" s="47">
        <f>VLOOKUP(C14,Active!C$21:E$973,3,FALSE)</f>
        <v>2411.0007560190024</v>
      </c>
      <c r="F14" s="5" t="s">
        <v>61</v>
      </c>
      <c r="G14" s="11" t="str">
        <f t="shared" si="4"/>
        <v>54092.6542</v>
      </c>
      <c r="H14" s="39">
        <f t="shared" si="5"/>
        <v>15257</v>
      </c>
      <c r="I14" s="48" t="s">
        <v>94</v>
      </c>
      <c r="J14" s="49" t="s">
        <v>95</v>
      </c>
      <c r="K14" s="48" t="s">
        <v>96</v>
      </c>
      <c r="L14" s="48" t="s">
        <v>97</v>
      </c>
      <c r="M14" s="49" t="s">
        <v>79</v>
      </c>
      <c r="N14" s="49" t="s">
        <v>91</v>
      </c>
      <c r="O14" s="50" t="s">
        <v>98</v>
      </c>
      <c r="P14" s="51" t="s">
        <v>99</v>
      </c>
    </row>
    <row r="15" spans="1:16" ht="12.75" customHeight="1" thickBot="1" x14ac:dyDescent="0.25">
      <c r="A15" s="39" t="str">
        <f t="shared" si="0"/>
        <v>BAVM 201 </v>
      </c>
      <c r="B15" s="5" t="str">
        <f t="shared" si="1"/>
        <v>I</v>
      </c>
      <c r="C15" s="39">
        <f t="shared" si="2"/>
        <v>54505.374499999998</v>
      </c>
      <c r="D15" s="11" t="str">
        <f t="shared" si="3"/>
        <v>vis</v>
      </c>
      <c r="E15" s="47">
        <f>VLOOKUP(C15,Active!C$21:E$973,3,FALSE)</f>
        <v>2656.9991719791815</v>
      </c>
      <c r="F15" s="5" t="s">
        <v>61</v>
      </c>
      <c r="G15" s="11" t="str">
        <f t="shared" si="4"/>
        <v>54505.3745</v>
      </c>
      <c r="H15" s="39">
        <f t="shared" si="5"/>
        <v>15503</v>
      </c>
      <c r="I15" s="48" t="s">
        <v>100</v>
      </c>
      <c r="J15" s="49" t="s">
        <v>101</v>
      </c>
      <c r="K15" s="48" t="s">
        <v>102</v>
      </c>
      <c r="L15" s="48" t="s">
        <v>103</v>
      </c>
      <c r="M15" s="49" t="s">
        <v>79</v>
      </c>
      <c r="N15" s="49" t="s">
        <v>80</v>
      </c>
      <c r="O15" s="50" t="s">
        <v>104</v>
      </c>
      <c r="P15" s="51" t="s">
        <v>105</v>
      </c>
    </row>
    <row r="16" spans="1:16" ht="12.75" customHeight="1" thickBot="1" x14ac:dyDescent="0.25">
      <c r="A16" s="39" t="str">
        <f t="shared" si="0"/>
        <v>BAVM 201 </v>
      </c>
      <c r="B16" s="5" t="str">
        <f t="shared" si="1"/>
        <v>I</v>
      </c>
      <c r="C16" s="39">
        <f t="shared" si="2"/>
        <v>54505.377699999997</v>
      </c>
      <c r="D16" s="11" t="str">
        <f t="shared" si="3"/>
        <v>vis</v>
      </c>
      <c r="E16" s="47">
        <f>VLOOKUP(C16,Active!C$21:E$973,3,FALSE)</f>
        <v>2657.0010793118981</v>
      </c>
      <c r="F16" s="5" t="s">
        <v>61</v>
      </c>
      <c r="G16" s="11" t="str">
        <f t="shared" si="4"/>
        <v>54505.3777</v>
      </c>
      <c r="H16" s="39">
        <f t="shared" si="5"/>
        <v>15503</v>
      </c>
      <c r="I16" s="48" t="s">
        <v>106</v>
      </c>
      <c r="J16" s="49" t="s">
        <v>107</v>
      </c>
      <c r="K16" s="48" t="s">
        <v>102</v>
      </c>
      <c r="L16" s="48" t="s">
        <v>108</v>
      </c>
      <c r="M16" s="49" t="s">
        <v>79</v>
      </c>
      <c r="N16" s="49" t="s">
        <v>91</v>
      </c>
      <c r="O16" s="50" t="s">
        <v>98</v>
      </c>
      <c r="P16" s="51" t="s">
        <v>105</v>
      </c>
    </row>
    <row r="17" spans="1:16" ht="12.75" customHeight="1" thickBot="1" x14ac:dyDescent="0.25">
      <c r="A17" s="39" t="str">
        <f t="shared" si="0"/>
        <v>IBVS 5837 </v>
      </c>
      <c r="B17" s="5" t="str">
        <f t="shared" si="1"/>
        <v>I</v>
      </c>
      <c r="C17" s="39">
        <f t="shared" si="2"/>
        <v>54505.38</v>
      </c>
      <c r="D17" s="11" t="str">
        <f t="shared" si="3"/>
        <v>vis</v>
      </c>
      <c r="E17" s="47">
        <f>VLOOKUP(C17,Active!C$21:E$973,3,FALSE)</f>
        <v>2657.0024502072883</v>
      </c>
      <c r="F17" s="5" t="s">
        <v>61</v>
      </c>
      <c r="G17" s="11" t="str">
        <f t="shared" si="4"/>
        <v>54505.380</v>
      </c>
      <c r="H17" s="39">
        <f t="shared" si="5"/>
        <v>15503</v>
      </c>
      <c r="I17" s="48" t="s">
        <v>109</v>
      </c>
      <c r="J17" s="49" t="s">
        <v>110</v>
      </c>
      <c r="K17" s="48" t="s">
        <v>102</v>
      </c>
      <c r="L17" s="48" t="s">
        <v>111</v>
      </c>
      <c r="M17" s="49" t="s">
        <v>79</v>
      </c>
      <c r="N17" s="49" t="s">
        <v>61</v>
      </c>
      <c r="O17" s="50" t="s">
        <v>112</v>
      </c>
      <c r="P17" s="51" t="s">
        <v>113</v>
      </c>
    </row>
    <row r="18" spans="1:16" ht="12.75" customHeight="1" thickBot="1" x14ac:dyDescent="0.25">
      <c r="A18" s="39" t="str">
        <f t="shared" si="0"/>
        <v>IBVS 5960 </v>
      </c>
      <c r="B18" s="5" t="str">
        <f t="shared" si="1"/>
        <v>I</v>
      </c>
      <c r="C18" s="39">
        <f t="shared" si="2"/>
        <v>55538.8603</v>
      </c>
      <c r="D18" s="11" t="str">
        <f t="shared" si="3"/>
        <v>vis</v>
      </c>
      <c r="E18" s="47">
        <f>VLOOKUP(C18,Active!C$21:E$973,3,FALSE)</f>
        <v>3272.9995715653872</v>
      </c>
      <c r="F18" s="5" t="s">
        <v>61</v>
      </c>
      <c r="G18" s="11" t="str">
        <f t="shared" si="4"/>
        <v>55538.8603</v>
      </c>
      <c r="H18" s="39">
        <f t="shared" si="5"/>
        <v>16119</v>
      </c>
      <c r="I18" s="48" t="s">
        <v>114</v>
      </c>
      <c r="J18" s="49" t="s">
        <v>115</v>
      </c>
      <c r="K18" s="48" t="s">
        <v>116</v>
      </c>
      <c r="L18" s="48" t="s">
        <v>117</v>
      </c>
      <c r="M18" s="49" t="s">
        <v>79</v>
      </c>
      <c r="N18" s="49" t="s">
        <v>61</v>
      </c>
      <c r="O18" s="50" t="s">
        <v>112</v>
      </c>
      <c r="P18" s="51" t="s">
        <v>118</v>
      </c>
    </row>
    <row r="19" spans="1:16" ht="12.75" customHeight="1" thickBot="1" x14ac:dyDescent="0.25">
      <c r="A19" s="39" t="str">
        <f t="shared" si="0"/>
        <v>IBVS 5992 </v>
      </c>
      <c r="B19" s="5" t="str">
        <f t="shared" si="1"/>
        <v>I</v>
      </c>
      <c r="C19" s="39">
        <f t="shared" si="2"/>
        <v>55602.613299999997</v>
      </c>
      <c r="D19" s="11" t="str">
        <f t="shared" si="3"/>
        <v>vis</v>
      </c>
      <c r="E19" s="47">
        <f>VLOOKUP(C19,Active!C$21:E$973,3,FALSE)</f>
        <v>3310.9990036570689</v>
      </c>
      <c r="F19" s="5" t="s">
        <v>61</v>
      </c>
      <c r="G19" s="11" t="str">
        <f t="shared" si="4"/>
        <v>55602.6133</v>
      </c>
      <c r="H19" s="39">
        <f t="shared" si="5"/>
        <v>16157</v>
      </c>
      <c r="I19" s="48" t="s">
        <v>119</v>
      </c>
      <c r="J19" s="49" t="s">
        <v>120</v>
      </c>
      <c r="K19" s="48" t="s">
        <v>121</v>
      </c>
      <c r="L19" s="48" t="s">
        <v>117</v>
      </c>
      <c r="M19" s="49" t="s">
        <v>79</v>
      </c>
      <c r="N19" s="49" t="s">
        <v>61</v>
      </c>
      <c r="O19" s="50" t="s">
        <v>112</v>
      </c>
      <c r="P19" s="51" t="s">
        <v>122</v>
      </c>
    </row>
    <row r="20" spans="1:16" ht="12.75" customHeight="1" thickBot="1" x14ac:dyDescent="0.25">
      <c r="A20" s="39" t="str">
        <f t="shared" si="0"/>
        <v>BAVM 220 </v>
      </c>
      <c r="B20" s="5" t="str">
        <f t="shared" si="1"/>
        <v>I</v>
      </c>
      <c r="C20" s="39">
        <f t="shared" si="2"/>
        <v>55629.457199999997</v>
      </c>
      <c r="D20" s="11" t="str">
        <f t="shared" si="3"/>
        <v>vis</v>
      </c>
      <c r="E20" s="47">
        <f>VLOOKUP(C20,Active!C$21:E$973,3,FALSE)</f>
        <v>3326.9990813808772</v>
      </c>
      <c r="F20" s="5" t="s">
        <v>61</v>
      </c>
      <c r="G20" s="11" t="str">
        <f t="shared" si="4"/>
        <v>55629.4572</v>
      </c>
      <c r="H20" s="39">
        <f t="shared" si="5"/>
        <v>16173</v>
      </c>
      <c r="I20" s="48" t="s">
        <v>123</v>
      </c>
      <c r="J20" s="49" t="s">
        <v>124</v>
      </c>
      <c r="K20" s="48" t="s">
        <v>125</v>
      </c>
      <c r="L20" s="48" t="s">
        <v>126</v>
      </c>
      <c r="M20" s="49" t="s">
        <v>79</v>
      </c>
      <c r="N20" s="49" t="s">
        <v>91</v>
      </c>
      <c r="O20" s="50" t="s">
        <v>92</v>
      </c>
      <c r="P20" s="51" t="s">
        <v>127</v>
      </c>
    </row>
    <row r="21" spans="1:16" ht="12.75" customHeight="1" thickBot="1" x14ac:dyDescent="0.25">
      <c r="A21" s="39" t="str">
        <f t="shared" si="0"/>
        <v>IBVS 6029 </v>
      </c>
      <c r="B21" s="5" t="str">
        <f t="shared" si="1"/>
        <v>I</v>
      </c>
      <c r="C21" s="39">
        <f t="shared" si="2"/>
        <v>55971.709900000002</v>
      </c>
      <c r="D21" s="11" t="str">
        <f t="shared" si="3"/>
        <v>vis</v>
      </c>
      <c r="E21" s="47">
        <f>VLOOKUP(C21,Active!C$21:E$973,3,FALSE)</f>
        <v>3530.9958851680794</v>
      </c>
      <c r="F21" s="5" t="s">
        <v>61</v>
      </c>
      <c r="G21" s="11" t="str">
        <f t="shared" si="4"/>
        <v>55971.7099</v>
      </c>
      <c r="H21" s="39">
        <f t="shared" si="5"/>
        <v>16377</v>
      </c>
      <c r="I21" s="48" t="s">
        <v>128</v>
      </c>
      <c r="J21" s="49" t="s">
        <v>129</v>
      </c>
      <c r="K21" s="48" t="s">
        <v>130</v>
      </c>
      <c r="L21" s="48" t="s">
        <v>131</v>
      </c>
      <c r="M21" s="49" t="s">
        <v>79</v>
      </c>
      <c r="N21" s="49" t="s">
        <v>61</v>
      </c>
      <c r="O21" s="50" t="s">
        <v>112</v>
      </c>
      <c r="P21" s="51" t="s">
        <v>132</v>
      </c>
    </row>
    <row r="22" spans="1:16" ht="12.75" customHeight="1" thickBot="1" x14ac:dyDescent="0.25">
      <c r="A22" s="39" t="str">
        <f t="shared" si="0"/>
        <v> BRNO 32 </v>
      </c>
      <c r="B22" s="5" t="str">
        <f t="shared" si="1"/>
        <v>I</v>
      </c>
      <c r="C22" s="39">
        <f t="shared" si="2"/>
        <v>50047.632400000002</v>
      </c>
      <c r="D22" s="11" t="str">
        <f t="shared" si="3"/>
        <v>vis</v>
      </c>
      <c r="E22" s="47">
        <f>VLOOKUP(C22,Active!C$21:E$973,3,FALSE)</f>
        <v>0</v>
      </c>
      <c r="F22" s="5" t="s">
        <v>61</v>
      </c>
      <c r="G22" s="11" t="str">
        <f t="shared" si="4"/>
        <v>50047.6324</v>
      </c>
      <c r="H22" s="39">
        <f t="shared" si="5"/>
        <v>12846</v>
      </c>
      <c r="I22" s="48" t="s">
        <v>63</v>
      </c>
      <c r="J22" s="49" t="s">
        <v>64</v>
      </c>
      <c r="K22" s="48">
        <v>12846</v>
      </c>
      <c r="L22" s="48" t="s">
        <v>65</v>
      </c>
      <c r="M22" s="49" t="s">
        <v>66</v>
      </c>
      <c r="N22" s="49"/>
      <c r="O22" s="50" t="s">
        <v>67</v>
      </c>
      <c r="P22" s="50" t="s">
        <v>68</v>
      </c>
    </row>
    <row r="23" spans="1:16" ht="12.75" customHeight="1" thickBot="1" x14ac:dyDescent="0.25">
      <c r="A23" s="39" t="str">
        <f t="shared" si="0"/>
        <v> BBS 127 </v>
      </c>
      <c r="B23" s="5" t="str">
        <f t="shared" si="1"/>
        <v>I</v>
      </c>
      <c r="C23" s="39">
        <f t="shared" si="2"/>
        <v>52282.377</v>
      </c>
      <c r="D23" s="11" t="str">
        <f t="shared" si="3"/>
        <v>vis</v>
      </c>
      <c r="E23" s="47">
        <f>VLOOKUP(C23,Active!C$21:E$973,3,FALSE)</f>
        <v>1332.0004653891817</v>
      </c>
      <c r="F23" s="5" t="s">
        <v>61</v>
      </c>
      <c r="G23" s="11" t="str">
        <f t="shared" si="4"/>
        <v>52282.377</v>
      </c>
      <c r="H23" s="39">
        <f t="shared" si="5"/>
        <v>14178</v>
      </c>
      <c r="I23" s="48" t="s">
        <v>83</v>
      </c>
      <c r="J23" s="49" t="s">
        <v>84</v>
      </c>
      <c r="K23" s="48">
        <v>14178</v>
      </c>
      <c r="L23" s="48" t="s">
        <v>85</v>
      </c>
      <c r="M23" s="49" t="s">
        <v>72</v>
      </c>
      <c r="N23" s="49" t="s">
        <v>73</v>
      </c>
      <c r="O23" s="50" t="s">
        <v>86</v>
      </c>
      <c r="P23" s="50" t="s">
        <v>87</v>
      </c>
    </row>
    <row r="24" spans="1:16" x14ac:dyDescent="0.2">
      <c r="B24" s="5"/>
      <c r="E24" s="47"/>
      <c r="F24" s="5"/>
    </row>
    <row r="25" spans="1:16" x14ac:dyDescent="0.2">
      <c r="B25" s="5"/>
      <c r="E25" s="47"/>
      <c r="F25" s="5"/>
    </row>
    <row r="26" spans="1:16" x14ac:dyDescent="0.2">
      <c r="B26" s="5"/>
      <c r="E26" s="47"/>
      <c r="F26" s="5"/>
    </row>
    <row r="27" spans="1:16" x14ac:dyDescent="0.2">
      <c r="B27" s="5"/>
      <c r="E27" s="47"/>
      <c r="F27" s="5"/>
    </row>
    <row r="28" spans="1:16" x14ac:dyDescent="0.2">
      <c r="B28" s="5"/>
      <c r="E28" s="47"/>
      <c r="F28" s="5"/>
    </row>
    <row r="29" spans="1:16" x14ac:dyDescent="0.2">
      <c r="B29" s="5"/>
      <c r="E29" s="47"/>
      <c r="F29" s="5"/>
    </row>
    <row r="30" spans="1:16" x14ac:dyDescent="0.2">
      <c r="B30" s="5"/>
      <c r="E30" s="47"/>
      <c r="F30" s="5"/>
    </row>
    <row r="31" spans="1:16" x14ac:dyDescent="0.2">
      <c r="B31" s="5"/>
      <c r="E31" s="47"/>
      <c r="F31" s="5"/>
    </row>
    <row r="32" spans="1:16" x14ac:dyDescent="0.2">
      <c r="B32" s="5"/>
      <c r="E32" s="47"/>
      <c r="F32" s="5"/>
    </row>
    <row r="33" spans="2:6" x14ac:dyDescent="0.2">
      <c r="B33" s="5"/>
      <c r="E33" s="47"/>
      <c r="F33" s="5"/>
    </row>
    <row r="34" spans="2:6" x14ac:dyDescent="0.2">
      <c r="B34" s="5"/>
      <c r="E34" s="47"/>
      <c r="F34" s="5"/>
    </row>
    <row r="35" spans="2:6" x14ac:dyDescent="0.2">
      <c r="B35" s="5"/>
      <c r="E35" s="47"/>
      <c r="F35" s="5"/>
    </row>
    <row r="36" spans="2:6" x14ac:dyDescent="0.2">
      <c r="B36" s="5"/>
      <c r="E36" s="47"/>
      <c r="F36" s="5"/>
    </row>
    <row r="37" spans="2:6" x14ac:dyDescent="0.2">
      <c r="B37" s="5"/>
      <c r="E37" s="47"/>
      <c r="F37" s="5"/>
    </row>
    <row r="38" spans="2:6" x14ac:dyDescent="0.2">
      <c r="B38" s="5"/>
      <c r="E38" s="47"/>
      <c r="F38" s="5"/>
    </row>
    <row r="39" spans="2:6" x14ac:dyDescent="0.2">
      <c r="B39" s="5"/>
      <c r="E39" s="47"/>
      <c r="F39" s="5"/>
    </row>
    <row r="40" spans="2:6" x14ac:dyDescent="0.2">
      <c r="B40" s="5"/>
      <c r="E40" s="47"/>
      <c r="F40" s="5"/>
    </row>
    <row r="41" spans="2:6" x14ac:dyDescent="0.2">
      <c r="B41" s="5"/>
      <c r="E41" s="47"/>
      <c r="F41" s="5"/>
    </row>
    <row r="42" spans="2:6" x14ac:dyDescent="0.2">
      <c r="B42" s="5"/>
      <c r="E42" s="47"/>
      <c r="F42" s="5"/>
    </row>
    <row r="43" spans="2:6" x14ac:dyDescent="0.2">
      <c r="B43" s="5"/>
      <c r="E43" s="47"/>
      <c r="F43" s="5"/>
    </row>
    <row r="44" spans="2:6" x14ac:dyDescent="0.2">
      <c r="B44" s="5"/>
      <c r="E44" s="47"/>
      <c r="F44" s="5"/>
    </row>
    <row r="45" spans="2:6" x14ac:dyDescent="0.2">
      <c r="B45" s="5"/>
      <c r="E45" s="47"/>
      <c r="F45" s="5"/>
    </row>
    <row r="46" spans="2:6" x14ac:dyDescent="0.2">
      <c r="B46" s="5"/>
      <c r="E46" s="47"/>
      <c r="F46" s="5"/>
    </row>
    <row r="47" spans="2:6" x14ac:dyDescent="0.2">
      <c r="B47" s="5"/>
      <c r="E47" s="47"/>
      <c r="F47" s="5"/>
    </row>
    <row r="48" spans="2:6" x14ac:dyDescent="0.2">
      <c r="B48" s="5"/>
      <c r="E48" s="47"/>
      <c r="F48" s="5"/>
    </row>
    <row r="49" spans="2:6" x14ac:dyDescent="0.2">
      <c r="B49" s="5"/>
      <c r="E49" s="47"/>
      <c r="F49" s="5"/>
    </row>
    <row r="50" spans="2:6" x14ac:dyDescent="0.2">
      <c r="B50" s="5"/>
      <c r="E50" s="47"/>
      <c r="F50" s="5"/>
    </row>
    <row r="51" spans="2:6" x14ac:dyDescent="0.2">
      <c r="B51" s="5"/>
      <c r="E51" s="47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</sheetData>
  <phoneticPr fontId="7" type="noConversion"/>
  <hyperlinks>
    <hyperlink ref="P11" r:id="rId1" display="http://www.konkoly.hu/cgi-bin/IBVS?5263" xr:uid="{00000000-0004-0000-0100-000000000000}"/>
    <hyperlink ref="P12" r:id="rId2" display="http://var.astro.cz/oejv/issues/oejv0074.pdf" xr:uid="{00000000-0004-0000-0100-000001000000}"/>
    <hyperlink ref="P13" r:id="rId3" display="http://www.bav-astro.de/sfs/BAVM_link.php?BAVMnr=178" xr:uid="{00000000-0004-0000-0100-000002000000}"/>
    <hyperlink ref="P14" r:id="rId4" display="http://www.bav-astro.de/sfs/BAVM_link.php?BAVMnr=183" xr:uid="{00000000-0004-0000-0100-000003000000}"/>
    <hyperlink ref="P15" r:id="rId5" display="http://www.bav-astro.de/sfs/BAVM_link.php?BAVMnr=201" xr:uid="{00000000-0004-0000-0100-000004000000}"/>
    <hyperlink ref="P16" r:id="rId6" display="http://www.bav-astro.de/sfs/BAVM_link.php?BAVMnr=201" xr:uid="{00000000-0004-0000-0100-000005000000}"/>
    <hyperlink ref="P17" r:id="rId7" display="http://www.konkoly.hu/cgi-bin/IBVS?5837" xr:uid="{00000000-0004-0000-0100-000006000000}"/>
    <hyperlink ref="P18" r:id="rId8" display="http://www.konkoly.hu/cgi-bin/IBVS?5960" xr:uid="{00000000-0004-0000-0100-000007000000}"/>
    <hyperlink ref="P19" r:id="rId9" display="http://www.konkoly.hu/cgi-bin/IBVS?5992" xr:uid="{00000000-0004-0000-0100-000008000000}"/>
    <hyperlink ref="P20" r:id="rId10" display="http://www.bav-astro.de/sfs/BAVM_link.php?BAVMnr=220" xr:uid="{00000000-0004-0000-0100-000009000000}"/>
    <hyperlink ref="P21" r:id="rId11" display="http://www.konkoly.hu/cgi-bin/IBVS?6029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2024-08-24T05:53:40Z</dcterms:modified>
</cp:coreProperties>
</file>