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F453016-31D4-4D00-A230-4FAC75E3DE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F14" i="1"/>
  <c r="E22" i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/>
  <c r="G27" i="1"/>
  <c r="K27" i="1"/>
  <c r="Q27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8" i="1" l="1"/>
  <c r="O23" i="1"/>
  <c r="O27" i="1"/>
  <c r="O22" i="1"/>
  <c r="O26" i="1"/>
  <c r="O25" i="1"/>
  <c r="O24" i="1"/>
  <c r="C16" i="1"/>
  <c r="D18" i="1" s="1"/>
  <c r="C15" i="1"/>
  <c r="O21" i="1"/>
  <c r="K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<sst xmlns="http://schemas.openxmlformats.org/spreadsheetml/2006/main" count="68" uniqueCount="54">
  <si>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</si>
  <si>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</si>
  <si>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</si>
  <si>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</si>
  <si>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</si>
  <si>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</si>
  <si>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</si>
  <si>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</si>
  <si>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</si>
  <si>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</si>
  <si>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</si>
  <si>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</si>
  <si>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</si>
  <si>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</si>
  <si>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</si>
  <si>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</si>
  <si>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</si>
  <si>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</si>
  <si>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</si>
  <si>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</si>
  <si>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</si>
  <si>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</si>
  <si>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</si>
  <si>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</si>
  <si>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</si>
  <si>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</si>
  <si>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</si>
  <si>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</si>
  <si>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</si>
  <si>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</si>
  <si>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</si>
  <si>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</si>
  <si>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</si>
  <si>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</si>
  <si>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</si>
  <si>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</si>
  <si>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</si>
  <si>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</si>
  <si>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</si>
  <si>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</si>
  <si>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</si>
  <si>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</si>
  <si>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</si>
  <si>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</si>
  <si>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V0413 Gem</t>
  </si>
  <si>
    <t>EW</t>
  </si>
  <si>
    <t>VSX</t>
  </si>
  <si>
    <t>JBAV, 76</t>
  </si>
  <si>
    <t>I</t>
  </si>
  <si>
    <t>BAV 91 Feb 2024</t>
  </si>
  <si>
    <t>Next ToM-P</t>
  </si>
  <si>
    <t>Next ToM-S</t>
  </si>
  <si>
    <t>14.54 (0.45)</t>
  </si>
  <si>
    <t xml:space="preserve">R 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</si>
</sst>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V0413 Gem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  <c:pt idx="7">
                  <c:v>10959.5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  <c:pt idx="7">
                  <c:v>10959.5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  <c:pt idx="7">
                  <c:v>10959.5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  <c:pt idx="7">
                  <c:v>10959.5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5.2179999998770654E-2</c:v>
                </c:pt>
                <c:pt idx="2">
                  <c:v>0.11960000000544824</c:v>
                </c:pt>
                <c:pt idx="3">
                  <c:v>-4.8080000000481959E-2</c:v>
                </c:pt>
                <c:pt idx="4">
                  <c:v>-4.6259999995527323E-2</c:v>
                </c:pt>
                <c:pt idx="5">
                  <c:v>-4.7659999996540137E-2</c:v>
                </c:pt>
                <c:pt idx="6">
                  <c:v>-1.0599999950500205E-3</c:v>
                </c:pt>
                <c:pt idx="7">
                  <c:v>6.3200000076903962E-3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  <c:pt idx="7">
                  <c:v>10959.5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  <c:pt idx="7">
                  <c:v>10959.5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  <c:pt idx="7">
                  <c:v>10959.5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  <c:pt idx="7">
                  <c:v>10959.5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2.498450133973595E-2</c:v>
                </c:pt>
                <c:pt idx="1">
                  <c:v>5.9365895218124465E-3</c:v>
                </c:pt>
                <c:pt idx="2">
                  <c:v>3.9038318569148134E-3</c:v>
                </c:pt>
                <c:pt idx="3">
                  <c:v>7.0289081983271676E-4</c:v>
                </c:pt>
                <c:pt idx="4">
                  <c:v>6.6256773896543678E-4</c:v>
                </c:pt>
                <c:pt idx="5">
                  <c:v>6.0919895546462238E-4</c:v>
                </c:pt>
                <c:pt idx="6">
                  <c:v>-7.4874009138939726E-4</c:v>
                </c:pt>
                <c:pt idx="7">
                  <c:v>-1.0108401170267241E-3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8030.5</c:v>
                </c:pt>
                <c:pt idx="2">
                  <c:v>8887.5</c:v>
                </c:pt>
                <c:pt idx="3">
                  <c:v>10237</c:v>
                </c:pt>
                <c:pt idx="4">
                  <c:v>10254</c:v>
                </c:pt>
                <c:pt idx="5">
                  <c:v>10276.5</c:v>
                </c:pt>
                <c:pt idx="6">
                  <c:v>10849</c:v>
                </c:pt>
                <c:pt idx="7">
                  <c:v>10959.5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6.85546875" customWidth="1"/>
    <col min="2" max="2" width="4.85546875" customWidth="1"/>
    <col min="3" max="3" width="14.140625" customWidth="1"/>
    <col min="4" max="4" width="9.42578125" customWidth="1"/>
    <col min="5" max="5" width="12.140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44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45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39">
        <v>54155.682999999997</v>
      </c>
      <c r="D7" s="35" t="s">
        <v>46</v>
      </c>
    </row>
    <row r="8" spans="1:15" x14ac:dyDescent="0.2">
      <c r="A8" t="s">
        <v>3</v>
      </c>
      <c r="C8" s="39">
        <v>0.53283999999999998</v>
      </c>
      <c r="D8" s="35" t="s">
        <v>46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2.498450133973595E-2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-2.3719459333694671E-6</v>
      </c>
      <c r="D12" s="2"/>
      <c r="E12" s="45" t="s">
        <v>53</v>
      </c>
      <c r="F12" s="46" t="s">
        <v>52</v>
      </c>
    </row>
    <row r="13" spans="1:15" x14ac:dyDescent="0.2">
      <c r="A13" s="7" t="s">
        <v>18</v>
      </c>
      <c r="B13" s="7"/>
      <c r="C13" s="2" t="s">
        <v>13</v>
      </c>
      <c r="E13" s="43" t="s">
        <v>33</v>
      </c>
      <c r="F13" s="47">
        <v>1</v>
      </c>
    </row>
    <row r="14" spans="1:15" x14ac:dyDescent="0.2">
      <c r="A14" s="7"/>
      <c r="B14" s="7"/>
      <c r="C14" s="7"/>
      <c r="E14" s="43" t="s">
        <v>30</v>
      </c>
      <c r="F14" s="48">
        <f ca="1">NOW()+15018.5+$C$5/24</f>
        <v>60546.752325462963</v>
      </c>
    </row>
    <row r="15" spans="1:15" x14ac:dyDescent="0.2">
      <c r="A15" s="8" t="s">
        <v>17</v>
      </c>
      <c r="B15" s="7"/>
      <c r="C15" s="9">
        <f ca="1">(C7+C11)+(C8+C12)*INT(MAX(F21:F3533))</f>
        <v>59995.075550345849</v>
      </c>
      <c r="E15" s="43" t="s">
        <v>34</v>
      </c>
      <c r="F15" s="48">
        <f ca="1">ROUND(2*($F$14-$C$7)/$C$8,0)/2+$F$13</f>
        <v>11995.5</v>
      </c>
    </row>
    <row r="16" spans="1:15" x14ac:dyDescent="0.2">
      <c r="A16" s="11" t="s">
        <v>4</v>
      </c>
      <c r="B16" s="7"/>
      <c r="C16" s="12">
        <f ca="1">+C8+C12</f>
        <v>0.53283762805406665</v>
      </c>
      <c r="E16" s="43" t="s">
        <v>35</v>
      </c>
      <c r="F16" s="48">
        <f ca="1">ROUND(2*($F$14-$C$15)/$C$16,0)/2+$F$13</f>
        <v>1036.5</v>
      </c>
    </row>
    <row r="17" spans="1:21" ht="13.5" thickBot="1" x14ac:dyDescent="0.25">
      <c r="A17" s="10" t="s">
        <v>27</v>
      </c>
      <c r="B17" s="7"/>
      <c r="C17" s="7">
        <f>COUNT(C21:C2191)</f>
        <v>8</v>
      </c>
      <c r="E17" s="43" t="s">
        <v>50</v>
      </c>
      <c r="F17" s="50">
        <f ca="1">+$C$15+$C$16*$F$16-15018.5-$C$5/24</f>
        <v>45529.257585157226</v>
      </c>
    </row>
    <row r="18" spans="1:21" ht="14.25" thickTop="1" thickBot="1" x14ac:dyDescent="0.25">
      <c r="A18" s="11" t="s">
        <v>5</v>
      </c>
      <c r="B18" s="7"/>
      <c r="C18" s="13">
        <f ca="1">+C15</f>
        <v>59995.075550345849</v>
      </c>
      <c r="D18" s="14">
        <f ca="1">+C16</f>
        <v>0.53283762805406665</v>
      </c>
      <c r="E18" s="44" t="s">
        <v>51</v>
      </c>
      <c r="F18" s="49">
        <f ca="1">+($C$15+$C$16*$F$16)-($C$16/2)-15018.5-$C$5/24</f>
        <v>45528.991166343199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t="str">
        <f>D7</f>
        <v>VSX</v>
      </c>
      <c r="C21" s="6">
        <f>C$7</f>
        <v>54155.682999999997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2.498450133973595E-2</v>
      </c>
      <c r="Q21" s="1">
        <f>+C21-15018.5</f>
        <v>39137.182999999997</v>
      </c>
    </row>
    <row r="22" spans="1:21" x14ac:dyDescent="0.2">
      <c r="A22" s="37" t="s">
        <v>47</v>
      </c>
      <c r="B22" s="38" t="s">
        <v>48</v>
      </c>
      <c r="C22" s="40">
        <v>58434.7068</v>
      </c>
      <c r="D22" s="41">
        <v>3.5000000000000001E-3</v>
      </c>
      <c r="E22">
        <f t="shared" ref="E22:E27" si="0">+(C22-C$7)/C$8</f>
        <v>8030.5979280834827</v>
      </c>
      <c r="F22">
        <f t="shared" ref="F22:F27" si="1">ROUND(2*E22,0)/2</f>
        <v>8030.5</v>
      </c>
      <c r="G22">
        <f t="shared" ref="G22:G27" si="2">+C22-(C$7+F22*C$8)</f>
        <v>5.2179999998770654E-2</v>
      </c>
      <c r="K22">
        <f t="shared" ref="K22:K27" si="3">+G22</f>
        <v>5.2179999998770654E-2</v>
      </c>
      <c r="O22">
        <f t="shared" ref="O22:O27" ca="1" si="4">+C$11+C$12*$F22</f>
        <v>5.9365895218124465E-3</v>
      </c>
      <c r="Q22" s="1">
        <f t="shared" ref="Q22:Q27" si="5">+C22-15018.5</f>
        <v>43416.2068</v>
      </c>
    </row>
    <row r="23" spans="1:21" x14ac:dyDescent="0.2">
      <c r="A23" s="37" t="s">
        <v>47</v>
      </c>
      <c r="B23" s="38" t="s">
        <v>48</v>
      </c>
      <c r="C23" s="40">
        <v>58891.418100000003</v>
      </c>
      <c r="D23" s="41">
        <v>3.5000000000000001E-3</v>
      </c>
      <c r="E23">
        <f t="shared" si="0"/>
        <v>8887.7244576233115</v>
      </c>
      <c r="F23">
        <f t="shared" si="1"/>
        <v>8887.5</v>
      </c>
      <c r="G23">
        <f t="shared" si="2"/>
        <v>0.11960000000544824</v>
      </c>
      <c r="K23">
        <f t="shared" si="3"/>
        <v>0.11960000000544824</v>
      </c>
      <c r="O23">
        <f t="shared" ca="1" si="4"/>
        <v>3.9038318569148134E-3</v>
      </c>
      <c r="Q23" s="1">
        <f t="shared" si="5"/>
        <v>43872.918100000003</v>
      </c>
    </row>
    <row r="24" spans="1:21" x14ac:dyDescent="0.2">
      <c r="A24" s="37" t="s">
        <v>47</v>
      </c>
      <c r="B24" s="38" t="s">
        <v>48</v>
      </c>
      <c r="C24" s="40">
        <v>59610.317999999999</v>
      </c>
      <c r="D24" s="41">
        <v>3.5000000000000001E-3</v>
      </c>
      <c r="E24">
        <f t="shared" si="0"/>
        <v>10236.909766534049</v>
      </c>
      <c r="F24">
        <f t="shared" si="1"/>
        <v>10237</v>
      </c>
      <c r="G24">
        <f t="shared" si="2"/>
        <v>-4.8080000000481959E-2</v>
      </c>
      <c r="K24">
        <f t="shared" si="3"/>
        <v>-4.8080000000481959E-2</v>
      </c>
      <c r="O24">
        <f t="shared" ca="1" si="4"/>
        <v>7.0289081983271676E-4</v>
      </c>
      <c r="Q24" s="1">
        <f t="shared" si="5"/>
        <v>44591.817999999999</v>
      </c>
    </row>
    <row r="25" spans="1:21" x14ac:dyDescent="0.2">
      <c r="A25" s="37" t="s">
        <v>47</v>
      </c>
      <c r="B25" s="38" t="s">
        <v>48</v>
      </c>
      <c r="C25" s="40">
        <v>59619.378100000002</v>
      </c>
      <c r="D25" s="41">
        <v>3.5000000000000001E-3</v>
      </c>
      <c r="E25">
        <f t="shared" si="0"/>
        <v>10253.913182193537</v>
      </c>
      <c r="F25">
        <f t="shared" si="1"/>
        <v>10254</v>
      </c>
      <c r="G25">
        <f t="shared" si="2"/>
        <v>-4.6259999995527323E-2</v>
      </c>
      <c r="K25">
        <f t="shared" si="3"/>
        <v>-4.6259999995527323E-2</v>
      </c>
      <c r="O25">
        <f t="shared" ca="1" si="4"/>
        <v>6.6256773896543678E-4</v>
      </c>
      <c r="Q25" s="1">
        <f t="shared" si="5"/>
        <v>44600.878100000002</v>
      </c>
    </row>
    <row r="26" spans="1:21" x14ac:dyDescent="0.2">
      <c r="A26" s="37" t="s">
        <v>47</v>
      </c>
      <c r="B26" s="38" t="s">
        <v>48</v>
      </c>
      <c r="C26" s="40">
        <v>59631.365599999997</v>
      </c>
      <c r="D26" s="41">
        <v>3.5000000000000001E-3</v>
      </c>
      <c r="E26">
        <f t="shared" si="0"/>
        <v>10276.410554763157</v>
      </c>
      <c r="F26">
        <f t="shared" si="1"/>
        <v>10276.5</v>
      </c>
      <c r="G26">
        <f t="shared" si="2"/>
        <v>-4.7659999996540137E-2</v>
      </c>
      <c r="K26">
        <f t="shared" si="3"/>
        <v>-4.7659999996540137E-2</v>
      </c>
      <c r="O26">
        <f t="shared" ca="1" si="4"/>
        <v>6.0919895546462238E-4</v>
      </c>
      <c r="Q26" s="1">
        <f t="shared" si="5"/>
        <v>44612.865599999997</v>
      </c>
    </row>
    <row r="27" spans="1:21" x14ac:dyDescent="0.2">
      <c r="A27" s="37" t="s">
        <v>47</v>
      </c>
      <c r="B27" s="38" t="s">
        <v>48</v>
      </c>
      <c r="C27" s="40">
        <v>59936.463100000001</v>
      </c>
      <c r="D27" s="41">
        <v>3.5000000000000001E-3</v>
      </c>
      <c r="E27">
        <f t="shared" si="0"/>
        <v>10848.998010659867</v>
      </c>
      <c r="F27">
        <f t="shared" si="1"/>
        <v>10849</v>
      </c>
      <c r="G27">
        <f t="shared" si="2"/>
        <v>-1.0599999950500205E-3</v>
      </c>
      <c r="K27">
        <f t="shared" si="3"/>
        <v>-1.0599999950500205E-3</v>
      </c>
      <c r="O27">
        <f t="shared" ca="1" si="4"/>
        <v>-7.4874009138939726E-4</v>
      </c>
      <c r="Q27" s="1">
        <f t="shared" si="5"/>
        <v>44917.963100000001</v>
      </c>
    </row>
    <row r="28" spans="1:21" x14ac:dyDescent="0.2">
      <c r="A28" s="41" t="s">
        <v>49</v>
      </c>
      <c r="B28" s="42" t="s">
        <v>48</v>
      </c>
      <c r="C28" s="41">
        <v>59995.349300000002</v>
      </c>
      <c r="D28" s="41">
        <v>3.5000000000000001E-3</v>
      </c>
      <c r="E28">
        <f t="shared" ref="E28" si="6">+(C28-C$7)/C$8</f>
        <v>10959.511860971406</v>
      </c>
      <c r="F28">
        <f t="shared" ref="F28" si="7">ROUND(2*E28,0)/2</f>
        <v>10959.5</v>
      </c>
      <c r="G28">
        <f t="shared" ref="G28" si="8">+C28-(C$7+F28*C$8)</f>
        <v>6.3200000076903962E-3</v>
      </c>
      <c r="K28">
        <f t="shared" ref="K28" si="9">+G28</f>
        <v>6.3200000076903962E-3</v>
      </c>
      <c r="O28">
        <f t="shared" ref="O28" ca="1" si="10">+C$11+C$12*$F28</f>
        <v>-1.0108401170267241E-3</v>
      </c>
      <c r="Q28" s="1">
        <f t="shared" ref="Q28" si="11">+C28-15018.5</f>
        <v>44976.849300000002</v>
      </c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2024-08-24T06:03:20Z</dcterms:modified>
</cp:coreProperties>
</file>