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6D1943A-5BF8-42CD-9395-FF90B31E3D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23" i="2" l="1"/>
  <c r="F24" i="2"/>
  <c r="F25" i="2"/>
  <c r="F26" i="2"/>
  <c r="F27" i="2"/>
  <c r="F28" i="2"/>
  <c r="F29" i="2"/>
  <c r="F30" i="2"/>
  <c r="F31" i="2"/>
  <c r="F22" i="2"/>
  <c r="G27" i="2"/>
  <c r="K27" i="2" s="1"/>
  <c r="E29" i="2"/>
  <c r="Q29" i="2"/>
  <c r="E30" i="2"/>
  <c r="Q30" i="2"/>
  <c r="E31" i="2"/>
  <c r="G31" i="2" s="1"/>
  <c r="K31" i="2" s="1"/>
  <c r="Q31" i="2"/>
  <c r="E29" i="1"/>
  <c r="F29" i="1" s="1"/>
  <c r="G29" i="1" s="1"/>
  <c r="J29" i="1" s="1"/>
  <c r="Q29" i="1"/>
  <c r="E30" i="1"/>
  <c r="F30" i="1"/>
  <c r="G30" i="1" s="1"/>
  <c r="J30" i="1" s="1"/>
  <c r="Q30" i="1"/>
  <c r="E31" i="1"/>
  <c r="F31" i="1" s="1"/>
  <c r="G31" i="1" s="1"/>
  <c r="J31" i="1" s="1"/>
  <c r="Q31" i="1"/>
  <c r="E25" i="1"/>
  <c r="F25" i="1" s="1"/>
  <c r="G25" i="1" s="1"/>
  <c r="I25" i="1" s="1"/>
  <c r="Q25" i="1"/>
  <c r="E24" i="1"/>
  <c r="F24" i="1" s="1"/>
  <c r="G24" i="1" s="1"/>
  <c r="I24" i="1" s="1"/>
  <c r="Q24" i="1"/>
  <c r="E28" i="1"/>
  <c r="F28" i="1"/>
  <c r="G28" i="1"/>
  <c r="I28" i="1"/>
  <c r="Q28" i="1"/>
  <c r="E26" i="1"/>
  <c r="F26" i="1"/>
  <c r="G26" i="1" s="1"/>
  <c r="I26" i="1" s="1"/>
  <c r="Q26" i="1"/>
  <c r="E27" i="1"/>
  <c r="F27" i="1"/>
  <c r="G27" i="1" s="1"/>
  <c r="I27" i="1" s="1"/>
  <c r="Q27" i="1"/>
  <c r="E27" i="2"/>
  <c r="Q27" i="2"/>
  <c r="E28" i="2"/>
  <c r="E26" i="2"/>
  <c r="G26" i="2" s="1"/>
  <c r="K26" i="2" s="1"/>
  <c r="D9" i="2"/>
  <c r="C9" i="2"/>
  <c r="Q28" i="2"/>
  <c r="Q26" i="2"/>
  <c r="E25" i="2"/>
  <c r="G25" i="2" s="1"/>
  <c r="J25" i="2" s="1"/>
  <c r="E24" i="2"/>
  <c r="G24" i="2" s="1"/>
  <c r="K24" i="2" s="1"/>
  <c r="Q25" i="2"/>
  <c r="Q24" i="2"/>
  <c r="E21" i="2"/>
  <c r="F21" i="2"/>
  <c r="G21" i="2"/>
  <c r="I21" i="2"/>
  <c r="F16" i="2"/>
  <c r="F17" i="2" s="1"/>
  <c r="C17" i="2"/>
  <c r="Q21" i="2"/>
  <c r="E22" i="2"/>
  <c r="Q22" i="2"/>
  <c r="E23" i="2"/>
  <c r="G23" i="2" s="1"/>
  <c r="K23" i="2" s="1"/>
  <c r="Q23" i="2"/>
  <c r="E23" i="1"/>
  <c r="F23" i="1"/>
  <c r="G23" i="1" s="1"/>
  <c r="I23" i="1" s="1"/>
  <c r="F11" i="1"/>
  <c r="Q23" i="1"/>
  <c r="E22" i="1"/>
  <c r="F22" i="1" s="1"/>
  <c r="G22" i="1" s="1"/>
  <c r="I22" i="1" s="1"/>
  <c r="Q22" i="1"/>
  <c r="G11" i="1"/>
  <c r="E21" i="1"/>
  <c r="F21" i="1"/>
  <c r="G21" i="1" s="1"/>
  <c r="H21" i="1" s="1"/>
  <c r="E15" i="1"/>
  <c r="C17" i="1"/>
  <c r="R22" i="1"/>
  <c r="Q21" i="1"/>
  <c r="C11" i="1"/>
  <c r="G28" i="2" l="1"/>
  <c r="K28" i="2" s="1"/>
  <c r="G22" i="2"/>
  <c r="K22" i="2" s="1"/>
  <c r="G30" i="2"/>
  <c r="K30" i="2" s="1"/>
  <c r="G29" i="2"/>
  <c r="C11" i="2"/>
  <c r="C12" i="2"/>
  <c r="C12" i="1"/>
  <c r="C16" i="2" l="1"/>
  <c r="D18" i="2" s="1"/>
  <c r="O27" i="2"/>
  <c r="O22" i="2"/>
  <c r="C15" i="2"/>
  <c r="O23" i="2"/>
  <c r="O31" i="2"/>
  <c r="O29" i="2"/>
  <c r="O25" i="2"/>
  <c r="O21" i="2"/>
  <c r="O26" i="2"/>
  <c r="O24" i="2"/>
  <c r="O30" i="2"/>
  <c r="O28" i="2"/>
  <c r="K29" i="2"/>
  <c r="O31" i="1"/>
  <c r="O29" i="1"/>
  <c r="O30" i="1"/>
  <c r="C16" i="1"/>
  <c r="D18" i="1" s="1"/>
  <c r="O25" i="1"/>
  <c r="O28" i="1"/>
  <c r="O27" i="1"/>
  <c r="O21" i="1"/>
  <c r="C15" i="1"/>
  <c r="O24" i="1"/>
  <c r="O26" i="1"/>
  <c r="O23" i="1"/>
  <c r="O22" i="1"/>
  <c r="F18" i="2" l="1"/>
  <c r="F19" i="2" s="1"/>
  <c r="C18" i="2"/>
  <c r="C18" i="1"/>
  <c r="E16" i="1"/>
  <c r="E17" i="1" s="1"/>
</calcChain>
</file>

<file path=xl/sharedStrings.xml><?xml version="1.0" encoding="utf-8"?>
<sst xmlns="http://schemas.openxmlformats.org/spreadsheetml/2006/main" count="129" uniqueCount="61">
  <si>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</si>
  <si>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</si>
  <si>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</si>
  <si>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</si>
  <si>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</si>
  <si>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</si>
  <si>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</si>
  <si>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</si>
  <si>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</si>
  <si>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</si>
  <si>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</si>
  <si>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</si>
  <si>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</si>
  <si>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</si>
  <si>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</si>
  <si>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</si>
  <si>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</si>
  <si>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</si>
  <si>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</si>
  <si>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</si>
  <si>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</si>
  <si>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</si>
  <si>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</si>
  <si>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</si>
  <si>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</si>
  <si>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</si>
  <si>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</si>
  <si>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</si>
  <si>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</si>
  <si>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</si>
  <si>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</si>
  <si>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</si>
  <si>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</si>
  <si>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</si>
  <si>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</si>
  <si>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</si>
  <si>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</si>
  <si>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</si>
  <si>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</si>
  <si>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</si>
  <si>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</si>
  <si>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Gem</t>
  </si>
  <si>
    <t>IBVS 5570</t>
  </si>
  <si>
    <t>not avail.</t>
  </si>
  <si>
    <t>EB/KW</t>
  </si>
  <si>
    <t>Nelson</t>
  </si>
  <si>
    <t>RHN 2011</t>
  </si>
  <si>
    <t>IBVS 5966</t>
  </si>
  <si>
    <t>IBVS 6018</t>
  </si>
  <si>
    <t>Add cycle</t>
  </si>
  <si>
    <t>Old Cycle</t>
  </si>
  <si>
    <t>IBVS 6152</t>
  </si>
  <si>
    <t>OEJV 0168</t>
  </si>
  <si>
    <t>I</t>
  </si>
  <si>
    <t>vis</t>
  </si>
  <si>
    <t>OEJV 0179</t>
  </si>
  <si>
    <t>OEJV 0211</t>
  </si>
  <si>
    <t>JBAV, 55</t>
  </si>
  <si>
    <t>JBAV, 60</t>
  </si>
  <si>
    <t>JAAVSO, 50, 255</t>
  </si>
  <si>
    <t>V0428 Gem / GSC 1913-1513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</si>
</sst>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5" fillId="0" borderId="0"/>
    <xf numFmtId="0" fontId="14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5" xfId="0" applyFont="1" applyBorder="1" applyAlignment="1">
      <alignment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1" fillId="0" borderId="0" xfId="42" applyFont="1" applyAlignment="1">
      <alignment wrapText="1"/>
    </xf>
    <xf numFmtId="0" fontId="31" fillId="0" borderId="0" xfId="42" applyFont="1" applyAlignment="1">
      <alignment horizontal="center" wrapText="1"/>
    </xf>
    <xf numFmtId="0" fontId="31" fillId="0" borderId="0" xfId="42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/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 (2)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V0428 Gem - O-C Diagr.</a:t>
            </a:r>
          </a:p>
        </c:rich>
      </c:tx>
      <c:layout>
        <c:manualLayout>
          <c:xMode val="edge"/>
          <c:yMode val="edge"/>
          <c:x val="0.34733338091046778"/>
          <c:y val="4.142147920659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9565144991318"/>
          <c:y val="0.16103355115801143"/>
          <c:w val="0.82111298776474695"/>
          <c:h val="0.61140108219610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10508</c:v>
                </c:pt>
                <c:pt idx="4">
                  <c:v>11275</c:v>
                </c:pt>
                <c:pt idx="5">
                  <c:v>11401</c:v>
                </c:pt>
                <c:pt idx="6">
                  <c:v>11989</c:v>
                </c:pt>
                <c:pt idx="7">
                  <c:v>12001.5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79-4580-B912-DF4937EE94E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10508</c:v>
                </c:pt>
                <c:pt idx="4">
                  <c:v>11275</c:v>
                </c:pt>
                <c:pt idx="5">
                  <c:v>11401</c:v>
                </c:pt>
                <c:pt idx="6">
                  <c:v>11989</c:v>
                </c:pt>
                <c:pt idx="7">
                  <c:v>12001.5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-9.5540076290490106E-3</c:v>
                </c:pt>
                <c:pt idx="2">
                  <c:v>-8.2509999992907979E-3</c:v>
                </c:pt>
                <c:pt idx="3">
                  <c:v>-1.3136000001395587E-2</c:v>
                </c:pt>
                <c:pt idx="4">
                  <c:v>-7.525000000896398E-3</c:v>
                </c:pt>
                <c:pt idx="5">
                  <c:v>-9.4169999938458204E-3</c:v>
                </c:pt>
                <c:pt idx="6">
                  <c:v>-1.1292999901343137E-2</c:v>
                </c:pt>
                <c:pt idx="7">
                  <c:v>-3.8860499997099396E-2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79-4580-B912-DF4937EE94E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10508</c:v>
                </c:pt>
                <c:pt idx="4">
                  <c:v>11275</c:v>
                </c:pt>
                <c:pt idx="5">
                  <c:v>11401</c:v>
                </c:pt>
                <c:pt idx="6">
                  <c:v>11989</c:v>
                </c:pt>
                <c:pt idx="7">
                  <c:v>12001.5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8">
                  <c:v>-2.0931000057316851E-2</c:v>
                </c:pt>
                <c:pt idx="9">
                  <c:v>-1.1571000002732035E-2</c:v>
                </c:pt>
                <c:pt idx="10">
                  <c:v>-1.1873999996169005E-2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79-4580-B912-DF4937EE94E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10508</c:v>
                </c:pt>
                <c:pt idx="4">
                  <c:v>11275</c:v>
                </c:pt>
                <c:pt idx="5">
                  <c:v>11401</c:v>
                </c:pt>
                <c:pt idx="6">
                  <c:v>11989</c:v>
                </c:pt>
                <c:pt idx="7">
                  <c:v>12001.5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79-4580-B912-DF4937EE94E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10508</c:v>
                </c:pt>
                <c:pt idx="4">
                  <c:v>11275</c:v>
                </c:pt>
                <c:pt idx="5">
                  <c:v>11401</c:v>
                </c:pt>
                <c:pt idx="6">
                  <c:v>11989</c:v>
                </c:pt>
                <c:pt idx="7">
                  <c:v>12001.5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79-4580-B912-DF4937EE94E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10508</c:v>
                </c:pt>
                <c:pt idx="4">
                  <c:v>11275</c:v>
                </c:pt>
                <c:pt idx="5">
                  <c:v>11401</c:v>
                </c:pt>
                <c:pt idx="6">
                  <c:v>11989</c:v>
                </c:pt>
                <c:pt idx="7">
                  <c:v>12001.5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79-4580-B912-DF4937EE94E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10508</c:v>
                </c:pt>
                <c:pt idx="4">
                  <c:v>11275</c:v>
                </c:pt>
                <c:pt idx="5">
                  <c:v>11401</c:v>
                </c:pt>
                <c:pt idx="6">
                  <c:v>11989</c:v>
                </c:pt>
                <c:pt idx="7">
                  <c:v>12001.5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79-4580-B912-DF4937EE94E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8230</c:v>
                </c:pt>
                <c:pt idx="2">
                  <c:v>8293</c:v>
                </c:pt>
                <c:pt idx="3">
                  <c:v>10508</c:v>
                </c:pt>
                <c:pt idx="4">
                  <c:v>11275</c:v>
                </c:pt>
                <c:pt idx="5">
                  <c:v>11401</c:v>
                </c:pt>
                <c:pt idx="6">
                  <c:v>11989</c:v>
                </c:pt>
                <c:pt idx="7">
                  <c:v>12001.5</c:v>
                </c:pt>
                <c:pt idx="8">
                  <c:v>15633</c:v>
                </c:pt>
                <c:pt idx="9">
                  <c:v>15753</c:v>
                </c:pt>
                <c:pt idx="10">
                  <c:v>16482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-2.0057731928278654E-3</c:v>
                </c:pt>
                <c:pt idx="1">
                  <c:v>-1.0153416152628133E-2</c:v>
                </c:pt>
                <c:pt idx="2">
                  <c:v>-1.021578571598991E-2</c:v>
                </c:pt>
                <c:pt idx="3">
                  <c:v>-1.2408620364344416E-2</c:v>
                </c:pt>
                <c:pt idx="4">
                  <c:v>-1.3167945048447309E-2</c:v>
                </c:pt>
                <c:pt idx="5">
                  <c:v>-1.3292684175170861E-2</c:v>
                </c:pt>
                <c:pt idx="6">
                  <c:v>-1.3874800099880772E-2</c:v>
                </c:pt>
                <c:pt idx="7">
                  <c:v>-1.3887175013246203E-2</c:v>
                </c:pt>
                <c:pt idx="8">
                  <c:v>-1.7482334844171436E-2</c:v>
                </c:pt>
                <c:pt idx="9">
                  <c:v>-1.7601134012479581E-2</c:v>
                </c:pt>
                <c:pt idx="10">
                  <c:v>-1.8322838959951564E-2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79-4580-B912-DF4937EE9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30736"/>
        <c:axId val="1"/>
      </c:scatterChart>
      <c:valAx>
        <c:axId val="86663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977503944937389"/>
              <c:y val="0.84555476020042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589766158384284E-2"/>
              <c:y val="0.3569439890394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30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V0428 Gem - O-C Diagr.</a:t>
            </a:r>
          </a:p>
        </c:rich>
      </c:tx>
      <c:layout>
        <c:manualLayout>
          <c:xMode val="edge"/>
          <c:yMode val="edge"/>
          <c:x val="0.37501217610956522"/>
          <c:y val="4.14213135638746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9494207960847"/>
          <c:y val="0.12213841690841276"/>
          <c:w val="0.85090868904544814"/>
          <c:h val="0.65394299396785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10507.5</c:v>
                </c:pt>
                <c:pt idx="4">
                  <c:v>11274.5</c:v>
                </c:pt>
                <c:pt idx="5">
                  <c:v>11400.5</c:v>
                </c:pt>
                <c:pt idx="6">
                  <c:v>11988.5</c:v>
                </c:pt>
                <c:pt idx="7">
                  <c:v>12001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01-4DBF-BE0A-0C1D5CF9A6D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10507.5</c:v>
                </c:pt>
                <c:pt idx="4">
                  <c:v>11274.5</c:v>
                </c:pt>
                <c:pt idx="5">
                  <c:v>11400.5</c:v>
                </c:pt>
                <c:pt idx="6">
                  <c:v>11988.5</c:v>
                </c:pt>
                <c:pt idx="7">
                  <c:v>12001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01-4DBF-BE0A-0C1D5CF9A6D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10507.5</c:v>
                </c:pt>
                <c:pt idx="4">
                  <c:v>11274.5</c:v>
                </c:pt>
                <c:pt idx="5">
                  <c:v>11400.5</c:v>
                </c:pt>
                <c:pt idx="6">
                  <c:v>11988.5</c:v>
                </c:pt>
                <c:pt idx="7">
                  <c:v>12001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4">
                  <c:v>0.23822849999851314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01-4DBF-BE0A-0C1D5CF9A6D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10507.5</c:v>
                </c:pt>
                <c:pt idx="4">
                  <c:v>11274.5</c:v>
                </c:pt>
                <c:pt idx="5">
                  <c:v>11400.5</c:v>
                </c:pt>
                <c:pt idx="6">
                  <c:v>11988.5</c:v>
                </c:pt>
                <c:pt idx="7">
                  <c:v>12001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1">
                  <c:v>0.23619949237036053</c:v>
                </c:pt>
                <c:pt idx="2">
                  <c:v>0.23750250000011874</c:v>
                </c:pt>
                <c:pt idx="3">
                  <c:v>0.23261749999801395</c:v>
                </c:pt>
                <c:pt idx="5">
                  <c:v>0.23633650000556372</c:v>
                </c:pt>
                <c:pt idx="6">
                  <c:v>0.2344605000980664</c:v>
                </c:pt>
                <c:pt idx="7">
                  <c:v>0.20689300000231015</c:v>
                </c:pt>
                <c:pt idx="8">
                  <c:v>0.22482249994209269</c:v>
                </c:pt>
                <c:pt idx="9">
                  <c:v>0.23418249999667751</c:v>
                </c:pt>
                <c:pt idx="10">
                  <c:v>0.23387950000324054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01-4DBF-BE0A-0C1D5CF9A6D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10507.5</c:v>
                </c:pt>
                <c:pt idx="4">
                  <c:v>11274.5</c:v>
                </c:pt>
                <c:pt idx="5">
                  <c:v>11400.5</c:v>
                </c:pt>
                <c:pt idx="6">
                  <c:v>11988.5</c:v>
                </c:pt>
                <c:pt idx="7">
                  <c:v>12001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01-4DBF-BE0A-0C1D5CF9A6D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10507.5</c:v>
                </c:pt>
                <c:pt idx="4">
                  <c:v>11274.5</c:v>
                </c:pt>
                <c:pt idx="5">
                  <c:v>11400.5</c:v>
                </c:pt>
                <c:pt idx="6">
                  <c:v>11988.5</c:v>
                </c:pt>
                <c:pt idx="7">
                  <c:v>12001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01-4DBF-BE0A-0C1D5CF9A6D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8.9999999999999998E-4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4.4999999999999997E-3</c:v>
                  </c:pt>
                  <c:pt idx="8">
                    <c:v>1E-3</c:v>
                  </c:pt>
                  <c:pt idx="9">
                    <c:v>2.0999999999999999E-3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10507.5</c:v>
                </c:pt>
                <c:pt idx="4">
                  <c:v>11274.5</c:v>
                </c:pt>
                <c:pt idx="5">
                  <c:v>11400.5</c:v>
                </c:pt>
                <c:pt idx="6">
                  <c:v>11988.5</c:v>
                </c:pt>
                <c:pt idx="7">
                  <c:v>12001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01-4DBF-BE0A-0C1D5CF9A6D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8229.5</c:v>
                </c:pt>
                <c:pt idx="2">
                  <c:v>8292.5</c:v>
                </c:pt>
                <c:pt idx="3">
                  <c:v>10507.5</c:v>
                </c:pt>
                <c:pt idx="4">
                  <c:v>11274.5</c:v>
                </c:pt>
                <c:pt idx="5">
                  <c:v>11400.5</c:v>
                </c:pt>
                <c:pt idx="6">
                  <c:v>11988.5</c:v>
                </c:pt>
                <c:pt idx="7">
                  <c:v>12001</c:v>
                </c:pt>
                <c:pt idx="8">
                  <c:v>15632.5</c:v>
                </c:pt>
                <c:pt idx="9">
                  <c:v>15752.5</c:v>
                </c:pt>
                <c:pt idx="10">
                  <c:v>16481.5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0.2397559439392952</c:v>
                </c:pt>
                <c:pt idx="1">
                  <c:v>0.23417506153789502</c:v>
                </c:pt>
                <c:pt idx="2">
                  <c:v>0.23413233772827252</c:v>
                </c:pt>
                <c:pt idx="3">
                  <c:v>0.23263022283440274</c:v>
                </c:pt>
                <c:pt idx="4">
                  <c:v>0.23211007740614173</c:v>
                </c:pt>
                <c:pt idx="5">
                  <c:v>0.23202462978689678</c:v>
                </c:pt>
                <c:pt idx="6">
                  <c:v>0.23162587423042028</c:v>
                </c:pt>
                <c:pt idx="7">
                  <c:v>0.23161739728406661</c:v>
                </c:pt>
                <c:pt idx="8">
                  <c:v>0.2291546748293993</c:v>
                </c:pt>
                <c:pt idx="9">
                  <c:v>0.22907329614440408</c:v>
                </c:pt>
                <c:pt idx="10">
                  <c:v>0.22857892063305824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01-4DBF-BE0A-0C1D5CF9A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08104"/>
        <c:axId val="1"/>
      </c:scatterChart>
      <c:valAx>
        <c:axId val="86660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81344305646005"/>
              <c:y val="0.85314607603874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284214473190848E-2"/>
              <c:y val="0.349124034934229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08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1052631578947368E-2"/>
          <c:y val="0.89181532133044772"/>
          <c:w val="0.97293233082706765"/>
          <c:h val="7.602369879203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9525</xdr:rowOff>
    </xdr:from>
    <xdr:to>
      <xdr:col>16</xdr:col>
      <xdr:colOff>285750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4C71B17-D3A0-FF54-CD72-E93A371B8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9525</xdr:rowOff>
    </xdr:from>
    <xdr:to>
      <xdr:col>17</xdr:col>
      <xdr:colOff>428625</xdr:colOff>
      <xdr:row>19</xdr:row>
      <xdr:rowOff>9525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03454E76-7965-8D62-9BA2-E559619EA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/>
  <cols>
    <col min="1" max="1" width="16.8554687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45" t="s">
        <v>60</v>
      </c>
    </row>
    <row r="2" spans="1:7">
      <c r="A2" t="s">
        <v>27</v>
      </c>
      <c r="B2" s="29" t="s">
        <v>44</v>
      </c>
      <c r="C2" s="3"/>
      <c r="D2" s="3" t="s">
        <v>41</v>
      </c>
    </row>
    <row r="3" spans="1:7" ht="13.5" thickBot="1"/>
    <row r="4" spans="1:7" ht="14.25" thickTop="1" thickBot="1">
      <c r="A4" s="5" t="s">
        <v>4</v>
      </c>
      <c r="C4" s="8" t="s">
        <v>43</v>
      </c>
      <c r="D4" s="9" t="s">
        <v>43</v>
      </c>
    </row>
    <row r="6" spans="1:7">
      <c r="A6" s="5" t="s">
        <v>5</v>
      </c>
    </row>
    <row r="7" spans="1:7">
      <c r="A7" t="s">
        <v>6</v>
      </c>
      <c r="C7">
        <v>51515.678</v>
      </c>
    </row>
    <row r="8" spans="1:7">
      <c r="A8" t="s">
        <v>7</v>
      </c>
      <c r="C8">
        <v>0.49150700000000003</v>
      </c>
      <c r="D8" t="s">
        <v>42</v>
      </c>
    </row>
    <row r="9" spans="1:7">
      <c r="A9" s="11" t="s">
        <v>34</v>
      </c>
      <c r="B9" s="12"/>
      <c r="C9" s="13">
        <v>-9.5</v>
      </c>
      <c r="D9" s="12" t="s">
        <v>35</v>
      </c>
      <c r="E9" s="12"/>
    </row>
    <row r="10" spans="1:7" ht="13.5" thickBot="1">
      <c r="A10" s="12"/>
      <c r="B10" s="12"/>
      <c r="C10" s="4" t="s">
        <v>23</v>
      </c>
      <c r="D10" s="4" t="s">
        <v>24</v>
      </c>
      <c r="E10" s="12"/>
    </row>
    <row r="11" spans="1:7">
      <c r="A11" s="12" t="s">
        <v>19</v>
      </c>
      <c r="B11" s="12"/>
      <c r="C11" s="24">
        <f ca="1">INTERCEPT(INDIRECT($G$11):G992,INDIRECT($F$11):F992)</f>
        <v>-2.0057731928278654E-3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20</v>
      </c>
      <c r="B12" s="12"/>
      <c r="C12" s="24">
        <f ca="1">SLOPE(INDIRECT($G$11):G992,INDIRECT($F$11):F992)</f>
        <v>-9.8999306923454046E-7</v>
      </c>
      <c r="D12" s="3"/>
      <c r="E12" s="12"/>
    </row>
    <row r="13" spans="1:7">
      <c r="A13" s="12" t="s">
        <v>22</v>
      </c>
      <c r="B13" s="12"/>
      <c r="C13" s="3" t="s">
        <v>17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21</v>
      </c>
      <c r="B15" s="12"/>
      <c r="C15" s="15">
        <f ca="1">(C7+C11)+(C8+C12)*INT(MAX(F21:F3533))</f>
        <v>59616.678051161034</v>
      </c>
      <c r="D15" s="16" t="s">
        <v>36</v>
      </c>
      <c r="E15" s="17">
        <f ca="1">TODAY()+15018.5-B9/24</f>
        <v>60352.5</v>
      </c>
    </row>
    <row r="16" spans="1:7">
      <c r="A16" s="18" t="s">
        <v>8</v>
      </c>
      <c r="B16" s="12"/>
      <c r="C16" s="19">
        <f ca="1">+C8+C12</f>
        <v>0.49150601000693078</v>
      </c>
      <c r="D16" s="16" t="s">
        <v>37</v>
      </c>
      <c r="E16" s="17">
        <f ca="1">ROUND(2*(E15-C15)/C16,0)/2+1</f>
        <v>1498</v>
      </c>
    </row>
    <row r="17" spans="1:18" ht="13.5" thickBot="1">
      <c r="A17" s="16" t="s">
        <v>33</v>
      </c>
      <c r="B17" s="12"/>
      <c r="C17" s="12">
        <f>COUNT(C21:C2191)</f>
        <v>11</v>
      </c>
      <c r="D17" s="16" t="s">
        <v>38</v>
      </c>
      <c r="E17" s="20">
        <f ca="1">+C15+C16*E16-15018.5-C9/24</f>
        <v>45334.84988748475</v>
      </c>
    </row>
    <row r="18" spans="1:18" ht="14.25" thickTop="1" thickBot="1">
      <c r="A18" s="18" t="s">
        <v>9</v>
      </c>
      <c r="B18" s="12"/>
      <c r="C18" s="21">
        <f ca="1">+C15</f>
        <v>59616.678051161034</v>
      </c>
      <c r="D18" s="22">
        <f ca="1">+C16</f>
        <v>0.49150601000693078</v>
      </c>
      <c r="E18" s="23" t="s">
        <v>39</v>
      </c>
    </row>
    <row r="19" spans="1:18" ht="13.5" thickTop="1">
      <c r="A19" s="27" t="s">
        <v>40</v>
      </c>
      <c r="E19" s="28">
        <v>21</v>
      </c>
    </row>
    <row r="20" spans="1:18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32</v>
      </c>
      <c r="I20" s="7" t="s">
        <v>45</v>
      </c>
      <c r="J20" s="7" t="s">
        <v>2</v>
      </c>
      <c r="K20" s="7" t="s">
        <v>28</v>
      </c>
      <c r="L20" s="7" t="s">
        <v>29</v>
      </c>
      <c r="M20" s="7" t="s">
        <v>30</v>
      </c>
      <c r="N20" s="7" t="s">
        <v>31</v>
      </c>
      <c r="O20" s="7" t="s">
        <v>26</v>
      </c>
      <c r="P20" s="6" t="s">
        <v>25</v>
      </c>
      <c r="Q20" s="4" t="s">
        <v>18</v>
      </c>
    </row>
    <row r="21" spans="1:18">
      <c r="A21" t="s">
        <v>42</v>
      </c>
      <c r="C21" s="10">
        <v>51515.678</v>
      </c>
      <c r="D21" s="10" t="s">
        <v>17</v>
      </c>
      <c r="E21">
        <f t="shared" ref="E21:E31" si="0">+(C21-C$7)/C$8</f>
        <v>0</v>
      </c>
      <c r="F21">
        <f t="shared" ref="F21:F31" si="1">ROUND(2*E21,0)/2</f>
        <v>0</v>
      </c>
      <c r="G21">
        <f t="shared" ref="G21:G31" si="2">+C21-(C$7+F21*C$8)</f>
        <v>0</v>
      </c>
      <c r="H21">
        <f>+G21</f>
        <v>0</v>
      </c>
      <c r="O21">
        <f t="shared" ref="O21:O31" ca="1" si="3">+C$11+C$12*$F21</f>
        <v>-2.0057731928278654E-3</v>
      </c>
      <c r="Q21" s="2">
        <f t="shared" ref="Q21:Q31" si="4">+C21-15018.5</f>
        <v>36497.178</v>
      </c>
    </row>
    <row r="22" spans="1:18">
      <c r="A22" s="5" t="s">
        <v>47</v>
      </c>
      <c r="C22" s="10">
        <v>55560.771055992373</v>
      </c>
      <c r="D22" s="10">
        <v>1E-4</v>
      </c>
      <c r="E22">
        <f t="shared" si="0"/>
        <v>8229.9805618076098</v>
      </c>
      <c r="F22">
        <f t="shared" si="1"/>
        <v>8230</v>
      </c>
      <c r="G22">
        <f t="shared" si="2"/>
        <v>-9.5540076290490106E-3</v>
      </c>
      <c r="I22">
        <f t="shared" ref="I22:I28" si="5">+G22</f>
        <v>-9.5540076290490106E-3</v>
      </c>
      <c r="O22">
        <f t="shared" ca="1" si="3"/>
        <v>-1.0153416152628133E-2</v>
      </c>
      <c r="Q22" s="2">
        <f t="shared" si="4"/>
        <v>40542.271055992373</v>
      </c>
      <c r="R22" t="str">
        <f>IF(ABS(C22-C21)&lt;0.00001,1,"")</f>
        <v/>
      </c>
    </row>
    <row r="23" spans="1:18">
      <c r="A23" s="5" t="s">
        <v>46</v>
      </c>
      <c r="C23" s="10">
        <v>55591.737300000001</v>
      </c>
      <c r="D23" s="10">
        <v>2.0000000000000001E-4</v>
      </c>
      <c r="E23">
        <f t="shared" si="0"/>
        <v>8292.9832128535309</v>
      </c>
      <c r="F23">
        <f t="shared" si="1"/>
        <v>8293</v>
      </c>
      <c r="G23">
        <f t="shared" si="2"/>
        <v>-8.2509999992907979E-3</v>
      </c>
      <c r="I23">
        <f t="shared" si="5"/>
        <v>-8.2509999992907979E-3</v>
      </c>
      <c r="O23">
        <f t="shared" ca="1" si="3"/>
        <v>-1.021578571598991E-2</v>
      </c>
      <c r="Q23" s="2">
        <f t="shared" si="4"/>
        <v>40573.237300000001</v>
      </c>
    </row>
    <row r="24" spans="1:18">
      <c r="A24" s="32" t="s">
        <v>52</v>
      </c>
      <c r="B24" s="31" t="s">
        <v>53</v>
      </c>
      <c r="C24" s="33">
        <v>56680.420420000002</v>
      </c>
      <c r="D24" s="32">
        <v>1E-4</v>
      </c>
      <c r="E24">
        <f t="shared" si="0"/>
        <v>10507.973274032724</v>
      </c>
      <c r="F24">
        <f t="shared" si="1"/>
        <v>10508</v>
      </c>
      <c r="G24">
        <f t="shared" si="2"/>
        <v>-1.3136000001395587E-2</v>
      </c>
      <c r="I24">
        <f t="shared" si="5"/>
        <v>-1.3136000001395587E-2</v>
      </c>
      <c r="O24">
        <f t="shared" ca="1" si="3"/>
        <v>-1.2408620364344416E-2</v>
      </c>
      <c r="Q24" s="2">
        <f t="shared" si="4"/>
        <v>41661.920420000002</v>
      </c>
    </row>
    <row r="25" spans="1:18">
      <c r="A25" s="30" t="s">
        <v>51</v>
      </c>
      <c r="B25" s="31"/>
      <c r="C25" s="30">
        <v>57057.411899999999</v>
      </c>
      <c r="D25" s="30">
        <v>8.9999999999999998E-4</v>
      </c>
      <c r="E25">
        <f t="shared" si="0"/>
        <v>11274.984689943376</v>
      </c>
      <c r="F25">
        <f t="shared" si="1"/>
        <v>11275</v>
      </c>
      <c r="G25">
        <f t="shared" si="2"/>
        <v>-7.525000000896398E-3</v>
      </c>
      <c r="I25">
        <f t="shared" si="5"/>
        <v>-7.525000000896398E-3</v>
      </c>
      <c r="O25">
        <f t="shared" ca="1" si="3"/>
        <v>-1.3167945048447309E-2</v>
      </c>
      <c r="Q25" s="2">
        <f t="shared" si="4"/>
        <v>42038.911899999999</v>
      </c>
    </row>
    <row r="26" spans="1:18">
      <c r="A26" s="37" t="s">
        <v>55</v>
      </c>
      <c r="B26" s="38" t="s">
        <v>53</v>
      </c>
      <c r="C26" s="39">
        <v>57119.339890000003</v>
      </c>
      <c r="D26" s="39">
        <v>2.0000000000000001E-4</v>
      </c>
      <c r="E26">
        <f t="shared" si="0"/>
        <v>11400.980840557719</v>
      </c>
      <c r="F26">
        <f t="shared" si="1"/>
        <v>11401</v>
      </c>
      <c r="G26">
        <f t="shared" si="2"/>
        <v>-9.4169999938458204E-3</v>
      </c>
      <c r="I26">
        <f t="shared" si="5"/>
        <v>-9.4169999938458204E-3</v>
      </c>
      <c r="O26">
        <f t="shared" ca="1" si="3"/>
        <v>-1.3292684175170861E-2</v>
      </c>
      <c r="Q26" s="2">
        <f t="shared" si="4"/>
        <v>42100.839890000003</v>
      </c>
    </row>
    <row r="27" spans="1:18" ht="12" customHeight="1">
      <c r="A27" s="40" t="s">
        <v>56</v>
      </c>
      <c r="B27" s="41" t="s">
        <v>53</v>
      </c>
      <c r="C27" s="42">
        <v>57408.3441300001</v>
      </c>
      <c r="D27" s="42">
        <v>2.0000000000000001E-4</v>
      </c>
      <c r="E27">
        <f t="shared" si="0"/>
        <v>11988.977023725194</v>
      </c>
      <c r="F27">
        <f t="shared" si="1"/>
        <v>11989</v>
      </c>
      <c r="G27">
        <f t="shared" si="2"/>
        <v>-1.1292999901343137E-2</v>
      </c>
      <c r="I27">
        <f t="shared" si="5"/>
        <v>-1.1292999901343137E-2</v>
      </c>
      <c r="O27">
        <f t="shared" ca="1" si="3"/>
        <v>-1.3874800099880772E-2</v>
      </c>
      <c r="Q27" s="2">
        <f t="shared" si="4"/>
        <v>42389.8441300001</v>
      </c>
    </row>
    <row r="28" spans="1:18" ht="12" customHeight="1">
      <c r="A28" s="34" t="s">
        <v>1</v>
      </c>
      <c r="B28" s="35" t="s">
        <v>53</v>
      </c>
      <c r="C28" s="36">
        <v>57414.460400000004</v>
      </c>
      <c r="D28" s="36">
        <v>4.4999999999999997E-3</v>
      </c>
      <c r="E28">
        <f t="shared" si="0"/>
        <v>12001.420936019229</v>
      </c>
      <c r="F28">
        <f t="shared" si="1"/>
        <v>12001.5</v>
      </c>
      <c r="G28">
        <f t="shared" si="2"/>
        <v>-3.8860499997099396E-2</v>
      </c>
      <c r="I28">
        <f t="shared" si="5"/>
        <v>-3.8860499997099396E-2</v>
      </c>
      <c r="O28">
        <f t="shared" ca="1" si="3"/>
        <v>-1.3887175013246203E-2</v>
      </c>
      <c r="Q28" s="2">
        <f t="shared" si="4"/>
        <v>42395.960400000004</v>
      </c>
    </row>
    <row r="29" spans="1:18" ht="12" customHeight="1">
      <c r="A29" s="43" t="s">
        <v>57</v>
      </c>
      <c r="B29" s="44" t="s">
        <v>53</v>
      </c>
      <c r="C29" s="46">
        <v>59199.38599999994</v>
      </c>
      <c r="D29" s="47">
        <v>1E-3</v>
      </c>
      <c r="E29">
        <f t="shared" si="0"/>
        <v>15632.957414645041</v>
      </c>
      <c r="F29">
        <f t="shared" si="1"/>
        <v>15633</v>
      </c>
      <c r="G29">
        <f t="shared" si="2"/>
        <v>-2.0931000057316851E-2</v>
      </c>
      <c r="J29">
        <f>+G29</f>
        <v>-2.0931000057316851E-2</v>
      </c>
      <c r="O29">
        <f t="shared" ca="1" si="3"/>
        <v>-1.7482334844171436E-2</v>
      </c>
      <c r="Q29" s="2">
        <f t="shared" si="4"/>
        <v>44180.88599999994</v>
      </c>
    </row>
    <row r="30" spans="1:18" ht="12" customHeight="1">
      <c r="A30" s="43" t="s">
        <v>58</v>
      </c>
      <c r="B30" s="44" t="s">
        <v>53</v>
      </c>
      <c r="C30" s="46">
        <v>59258.376199999999</v>
      </c>
      <c r="D30" s="47">
        <v>2.0999999999999999E-3</v>
      </c>
      <c r="E30">
        <f t="shared" si="0"/>
        <v>15752.976458117582</v>
      </c>
      <c r="F30">
        <f t="shared" si="1"/>
        <v>15753</v>
      </c>
      <c r="G30">
        <f t="shared" si="2"/>
        <v>-1.1571000002732035E-2</v>
      </c>
      <c r="J30">
        <f>+G30</f>
        <v>-1.1571000002732035E-2</v>
      </c>
      <c r="O30">
        <f t="shared" ca="1" si="3"/>
        <v>-1.7601134012479581E-2</v>
      </c>
      <c r="Q30" s="2">
        <f t="shared" si="4"/>
        <v>44239.876199999999</v>
      </c>
    </row>
    <row r="31" spans="1:18" ht="12" customHeight="1">
      <c r="A31" s="43" t="s">
        <v>59</v>
      </c>
      <c r="B31" s="44" t="s">
        <v>53</v>
      </c>
      <c r="C31" s="46">
        <v>59616.684500000003</v>
      </c>
      <c r="D31" s="47">
        <v>1E-4</v>
      </c>
      <c r="E31">
        <f t="shared" si="0"/>
        <v>16481.975841646206</v>
      </c>
      <c r="F31">
        <f t="shared" si="1"/>
        <v>16482</v>
      </c>
      <c r="G31">
        <f t="shared" si="2"/>
        <v>-1.1873999996169005E-2</v>
      </c>
      <c r="J31">
        <f>+G31</f>
        <v>-1.1873999996169005E-2</v>
      </c>
      <c r="O31">
        <f t="shared" ca="1" si="3"/>
        <v>-1.8322838959951564E-2</v>
      </c>
      <c r="Q31" s="2">
        <f t="shared" si="4"/>
        <v>44598.184500000003</v>
      </c>
    </row>
    <row r="32" spans="1:18" ht="12" customHeight="1">
      <c r="C32" s="10"/>
      <c r="D32" s="10"/>
      <c r="Q32" s="2"/>
    </row>
    <row r="33" spans="3:17" ht="12" customHeight="1">
      <c r="C33" s="10"/>
      <c r="D33" s="10"/>
      <c r="Q33" s="2"/>
    </row>
    <row r="34" spans="3:17" ht="12" customHeight="1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28:D28" name="Range1"/>
  </protectedRanges>
  <sortState xmlns:xlrd2="http://schemas.microsoft.com/office/spreadsheetml/2017/richdata2" ref="A21:Q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40"/>
  <sheetViews>
    <sheetView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8.1406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60</v>
      </c>
    </row>
    <row r="2" spans="1:6">
      <c r="A2" t="s">
        <v>27</v>
      </c>
      <c r="B2" s="29" t="s">
        <v>44</v>
      </c>
      <c r="C2" s="3"/>
      <c r="D2" s="3" t="s">
        <v>41</v>
      </c>
    </row>
    <row r="3" spans="1:6" ht="13.5" thickBot="1"/>
    <row r="4" spans="1:6" ht="14.25" thickTop="1" thickBot="1">
      <c r="A4" s="5" t="s">
        <v>4</v>
      </c>
      <c r="C4" s="8" t="s">
        <v>43</v>
      </c>
      <c r="D4" s="9" t="s">
        <v>43</v>
      </c>
    </row>
    <row r="5" spans="1:6" ht="13.5" thickTop="1">
      <c r="A5" s="11" t="s">
        <v>34</v>
      </c>
      <c r="B5" s="12"/>
      <c r="C5" s="13">
        <v>-9.5</v>
      </c>
      <c r="D5" s="12" t="s">
        <v>35</v>
      </c>
    </row>
    <row r="6" spans="1:6">
      <c r="A6" s="5" t="s">
        <v>5</v>
      </c>
    </row>
    <row r="7" spans="1:6">
      <c r="A7" t="s">
        <v>6</v>
      </c>
      <c r="C7">
        <v>51515.678</v>
      </c>
    </row>
    <row r="8" spans="1:6">
      <c r="A8" t="s">
        <v>7</v>
      </c>
      <c r="C8">
        <v>0.49150700000000003</v>
      </c>
      <c r="D8" t="s">
        <v>42</v>
      </c>
    </row>
    <row r="9" spans="1:6">
      <c r="A9" s="27" t="s">
        <v>40</v>
      </c>
      <c r="B9" s="28">
        <v>22</v>
      </c>
      <c r="C9" s="25" t="str">
        <f>"F"&amp;B9</f>
        <v>F22</v>
      </c>
      <c r="D9" s="26" t="str">
        <f>"G"&amp;B9</f>
        <v>G22</v>
      </c>
    </row>
    <row r="10" spans="1:6" ht="13.5" thickBot="1">
      <c r="A10" s="12"/>
      <c r="B10" s="12"/>
      <c r="C10" s="4" t="s">
        <v>23</v>
      </c>
      <c r="D10" s="4" t="s">
        <v>24</v>
      </c>
      <c r="E10" s="12"/>
    </row>
    <row r="11" spans="1:6">
      <c r="A11" s="12" t="s">
        <v>19</v>
      </c>
      <c r="B11" s="12"/>
      <c r="C11" s="24">
        <f ca="1">INTERCEPT(INDIRECT($D$9):G992,INDIRECT($C$9):F992)</f>
        <v>0.2397559439392952</v>
      </c>
      <c r="D11" s="3"/>
      <c r="E11" s="12"/>
    </row>
    <row r="12" spans="1:6">
      <c r="A12" s="12" t="s">
        <v>20</v>
      </c>
      <c r="B12" s="12"/>
      <c r="C12" s="24">
        <f ca="1">SLOPE(INDIRECT($D$9):G992,INDIRECT($C$9):F992)</f>
        <v>-6.7815570829335702E-7</v>
      </c>
      <c r="D12" s="3"/>
      <c r="E12" s="12"/>
    </row>
    <row r="13" spans="1:6">
      <c r="A13" s="12" t="s">
        <v>22</v>
      </c>
      <c r="B13" s="12"/>
      <c r="C13" s="3" t="s">
        <v>17</v>
      </c>
    </row>
    <row r="14" spans="1:6">
      <c r="A14" s="12"/>
      <c r="B14" s="12"/>
      <c r="C14" s="12"/>
    </row>
    <row r="15" spans="1:6">
      <c r="A15" s="14" t="s">
        <v>21</v>
      </c>
      <c r="B15" s="12"/>
      <c r="C15" s="15">
        <f ca="1">(C7+C11)+(C8+C12)*INT(MAX(F21:F3533))</f>
        <v>59616.433446259711</v>
      </c>
      <c r="E15" s="16" t="s">
        <v>49</v>
      </c>
      <c r="F15" s="13">
        <v>1</v>
      </c>
    </row>
    <row r="16" spans="1:6">
      <c r="A16" s="18" t="s">
        <v>8</v>
      </c>
      <c r="B16" s="12"/>
      <c r="C16" s="19">
        <f ca="1">+C8+C12</f>
        <v>0.49150632184429172</v>
      </c>
      <c r="E16" s="16" t="s">
        <v>36</v>
      </c>
      <c r="F16" s="17">
        <f ca="1">NOW()+15018.5+$C$5/24</f>
        <v>60352.700850347217</v>
      </c>
    </row>
    <row r="17" spans="1:17" ht="13.5" thickBot="1">
      <c r="A17" s="16" t="s">
        <v>33</v>
      </c>
      <c r="B17" s="12"/>
      <c r="C17" s="12">
        <f>COUNT(C21:C2191)</f>
        <v>11</v>
      </c>
      <c r="E17" s="16" t="s">
        <v>50</v>
      </c>
      <c r="F17" s="17">
        <f ca="1">ROUND(2*(F16-$C$7)/$C$8,0)/2+F15</f>
        <v>17980.5</v>
      </c>
    </row>
    <row r="18" spans="1:17" ht="14.25" thickTop="1" thickBot="1">
      <c r="A18" s="18" t="s">
        <v>9</v>
      </c>
      <c r="B18" s="12"/>
      <c r="C18" s="21">
        <f ca="1">+C15</f>
        <v>59616.433446259711</v>
      </c>
      <c r="D18" s="22">
        <f ca="1">+C16</f>
        <v>0.49150632184429172</v>
      </c>
      <c r="E18" s="16" t="s">
        <v>37</v>
      </c>
      <c r="F18" s="26">
        <f ca="1">ROUND(2*(F16-$C$15)/$C$16,0)/2+F15</f>
        <v>1499</v>
      </c>
    </row>
    <row r="19" spans="1:17" ht="13.5" thickTop="1">
      <c r="E19" s="16" t="s">
        <v>38</v>
      </c>
      <c r="F19" s="20">
        <f ca="1">+$C$15+$C$16*F18-15018.5-$C$5/24</f>
        <v>45335.097256037639</v>
      </c>
    </row>
    <row r="20" spans="1:17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54</v>
      </c>
      <c r="J20" s="7" t="s">
        <v>0</v>
      </c>
      <c r="K20" s="7" t="s">
        <v>2</v>
      </c>
      <c r="L20" s="7" t="s">
        <v>29</v>
      </c>
      <c r="M20" s="7" t="s">
        <v>30</v>
      </c>
      <c r="N20" s="7" t="s">
        <v>31</v>
      </c>
      <c r="O20" s="7" t="s">
        <v>26</v>
      </c>
      <c r="P20" s="6" t="s">
        <v>25</v>
      </c>
      <c r="Q20" s="4" t="s">
        <v>18</v>
      </c>
    </row>
    <row r="21" spans="1:17">
      <c r="A21" t="s">
        <v>42</v>
      </c>
      <c r="C21" s="10">
        <v>51515.678</v>
      </c>
      <c r="D21" s="10" t="s">
        <v>17</v>
      </c>
      <c r="E21">
        <f t="shared" ref="E21:E31" si="0">+(C21-C$7)/C$8</f>
        <v>0</v>
      </c>
      <c r="F21">
        <f>ROUND(2*E21,0)/2</f>
        <v>0</v>
      </c>
      <c r="G21">
        <f t="shared" ref="G21:G31" si="1">+C21-(C$7+F21*C$8)</f>
        <v>0</v>
      </c>
      <c r="I21">
        <f>+G21</f>
        <v>0</v>
      </c>
      <c r="O21">
        <f t="shared" ref="O21:O31" ca="1" si="2">+C$11+C$12*$F21</f>
        <v>0.2397559439392952</v>
      </c>
      <c r="Q21" s="2">
        <f t="shared" ref="Q21:Q31" si="3">+C21-15018.5</f>
        <v>36497.178</v>
      </c>
    </row>
    <row r="22" spans="1:17">
      <c r="A22" s="5" t="s">
        <v>47</v>
      </c>
      <c r="C22" s="10">
        <v>55560.771055992373</v>
      </c>
      <c r="D22" s="10">
        <v>1E-4</v>
      </c>
      <c r="E22">
        <f t="shared" si="0"/>
        <v>8229.9805618076098</v>
      </c>
      <c r="F22">
        <f>ROUND(2*E22,0)/2-0.5</f>
        <v>8229.5</v>
      </c>
      <c r="G22">
        <f t="shared" si="1"/>
        <v>0.23619949237036053</v>
      </c>
      <c r="K22">
        <f>+G22</f>
        <v>0.23619949237036053</v>
      </c>
      <c r="O22">
        <f t="shared" ca="1" si="2"/>
        <v>0.23417506153789502</v>
      </c>
      <c r="Q22" s="2">
        <f t="shared" si="3"/>
        <v>40542.271055992373</v>
      </c>
    </row>
    <row r="23" spans="1:17">
      <c r="A23" s="5" t="s">
        <v>48</v>
      </c>
      <c r="C23" s="10">
        <v>55591.737300000001</v>
      </c>
      <c r="D23" s="10">
        <v>2.0000000000000001E-4</v>
      </c>
      <c r="E23">
        <f t="shared" si="0"/>
        <v>8292.9832128535309</v>
      </c>
      <c r="F23">
        <f t="shared" ref="F23:F31" si="4">ROUND(2*E23,0)/2-0.5</f>
        <v>8292.5</v>
      </c>
      <c r="G23">
        <f t="shared" si="1"/>
        <v>0.23750250000011874</v>
      </c>
      <c r="K23">
        <f>+G23</f>
        <v>0.23750250000011874</v>
      </c>
      <c r="O23">
        <f t="shared" ca="1" si="2"/>
        <v>0.23413233772827252</v>
      </c>
      <c r="Q23" s="2">
        <f t="shared" si="3"/>
        <v>40573.237300000001</v>
      </c>
    </row>
    <row r="24" spans="1:17">
      <c r="A24" s="32" t="s">
        <v>52</v>
      </c>
      <c r="B24" s="31" t="s">
        <v>53</v>
      </c>
      <c r="C24" s="33">
        <v>56680.420420000002</v>
      </c>
      <c r="D24" s="32">
        <v>1E-4</v>
      </c>
      <c r="E24">
        <f t="shared" si="0"/>
        <v>10507.973274032724</v>
      </c>
      <c r="F24">
        <f t="shared" si="4"/>
        <v>10507.5</v>
      </c>
      <c r="G24">
        <f t="shared" si="1"/>
        <v>0.23261749999801395</v>
      </c>
      <c r="K24">
        <f>+G24</f>
        <v>0.23261749999801395</v>
      </c>
      <c r="O24">
        <f t="shared" ca="1" si="2"/>
        <v>0.23263022283440274</v>
      </c>
      <c r="Q24" s="2">
        <f t="shared" si="3"/>
        <v>41661.920420000002</v>
      </c>
    </row>
    <row r="25" spans="1:17">
      <c r="A25" s="30" t="s">
        <v>51</v>
      </c>
      <c r="B25" s="31"/>
      <c r="C25" s="30">
        <v>57057.411899999999</v>
      </c>
      <c r="D25" s="30">
        <v>8.9999999999999998E-4</v>
      </c>
      <c r="E25">
        <f t="shared" si="0"/>
        <v>11274.984689943376</v>
      </c>
      <c r="F25">
        <f t="shared" si="4"/>
        <v>11274.5</v>
      </c>
      <c r="G25">
        <f t="shared" si="1"/>
        <v>0.23822849999851314</v>
      </c>
      <c r="J25">
        <f>+G25</f>
        <v>0.23822849999851314</v>
      </c>
      <c r="O25">
        <f t="shared" ca="1" si="2"/>
        <v>0.23211007740614173</v>
      </c>
      <c r="Q25" s="2">
        <f t="shared" si="3"/>
        <v>42038.911899999999</v>
      </c>
    </row>
    <row r="26" spans="1:17" ht="12" customHeight="1">
      <c r="A26" s="37" t="s">
        <v>55</v>
      </c>
      <c r="B26" s="38" t="s">
        <v>53</v>
      </c>
      <c r="C26" s="39">
        <v>57119.339890000003</v>
      </c>
      <c r="D26" s="39">
        <v>2.0000000000000001E-4</v>
      </c>
      <c r="E26">
        <f t="shared" si="0"/>
        <v>11400.980840557719</v>
      </c>
      <c r="F26">
        <f t="shared" si="4"/>
        <v>11400.5</v>
      </c>
      <c r="G26">
        <f t="shared" si="1"/>
        <v>0.23633650000556372</v>
      </c>
      <c r="K26">
        <f t="shared" ref="K26:K31" si="5">+G26</f>
        <v>0.23633650000556372</v>
      </c>
      <c r="O26">
        <f t="shared" ca="1" si="2"/>
        <v>0.23202462978689678</v>
      </c>
      <c r="Q26" s="2">
        <f t="shared" si="3"/>
        <v>42100.839890000003</v>
      </c>
    </row>
    <row r="27" spans="1:17" ht="12" customHeight="1">
      <c r="A27" s="40" t="s">
        <v>56</v>
      </c>
      <c r="B27" s="41" t="s">
        <v>53</v>
      </c>
      <c r="C27" s="42">
        <v>57408.3441300001</v>
      </c>
      <c r="D27" s="42">
        <v>2.0000000000000001E-4</v>
      </c>
      <c r="E27">
        <f t="shared" si="0"/>
        <v>11988.977023725194</v>
      </c>
      <c r="F27">
        <f t="shared" si="4"/>
        <v>11988.5</v>
      </c>
      <c r="G27">
        <f t="shared" si="1"/>
        <v>0.2344605000980664</v>
      </c>
      <c r="K27">
        <f t="shared" si="5"/>
        <v>0.2344605000980664</v>
      </c>
      <c r="O27">
        <f t="shared" ca="1" si="2"/>
        <v>0.23162587423042028</v>
      </c>
      <c r="Q27" s="2">
        <f t="shared" si="3"/>
        <v>42389.8441300001</v>
      </c>
    </row>
    <row r="28" spans="1:17" ht="12" customHeight="1">
      <c r="A28" s="34" t="s">
        <v>1</v>
      </c>
      <c r="B28" s="35" t="s">
        <v>53</v>
      </c>
      <c r="C28" s="36">
        <v>57414.460400000004</v>
      </c>
      <c r="D28" s="36">
        <v>4.4999999999999997E-3</v>
      </c>
      <c r="E28">
        <f t="shared" si="0"/>
        <v>12001.420936019229</v>
      </c>
      <c r="F28">
        <f t="shared" si="4"/>
        <v>12001</v>
      </c>
      <c r="G28">
        <f t="shared" si="1"/>
        <v>0.20689300000231015</v>
      </c>
      <c r="K28">
        <f t="shared" si="5"/>
        <v>0.20689300000231015</v>
      </c>
      <c r="O28">
        <f t="shared" ca="1" si="2"/>
        <v>0.23161739728406661</v>
      </c>
      <c r="Q28" s="2">
        <f t="shared" si="3"/>
        <v>42395.960400000004</v>
      </c>
    </row>
    <row r="29" spans="1:17" ht="12" customHeight="1">
      <c r="A29" s="43" t="s">
        <v>57</v>
      </c>
      <c r="B29" s="44" t="s">
        <v>53</v>
      </c>
      <c r="C29" s="46">
        <v>59199.38599999994</v>
      </c>
      <c r="D29" s="47">
        <v>1E-3</v>
      </c>
      <c r="E29">
        <f t="shared" si="0"/>
        <v>15632.957414645041</v>
      </c>
      <c r="F29">
        <f t="shared" si="4"/>
        <v>15632.5</v>
      </c>
      <c r="G29">
        <f t="shared" si="1"/>
        <v>0.22482249994209269</v>
      </c>
      <c r="K29">
        <f t="shared" si="5"/>
        <v>0.22482249994209269</v>
      </c>
      <c r="O29">
        <f t="shared" ca="1" si="2"/>
        <v>0.2291546748293993</v>
      </c>
      <c r="Q29" s="2">
        <f t="shared" si="3"/>
        <v>44180.88599999994</v>
      </c>
    </row>
    <row r="30" spans="1:17" ht="12" customHeight="1">
      <c r="A30" s="43" t="s">
        <v>58</v>
      </c>
      <c r="B30" s="44" t="s">
        <v>53</v>
      </c>
      <c r="C30" s="46">
        <v>59258.376199999999</v>
      </c>
      <c r="D30" s="47">
        <v>2.0999999999999999E-3</v>
      </c>
      <c r="E30">
        <f t="shared" si="0"/>
        <v>15752.976458117582</v>
      </c>
      <c r="F30">
        <f t="shared" si="4"/>
        <v>15752.5</v>
      </c>
      <c r="G30">
        <f t="shared" si="1"/>
        <v>0.23418249999667751</v>
      </c>
      <c r="K30">
        <f t="shared" si="5"/>
        <v>0.23418249999667751</v>
      </c>
      <c r="O30">
        <f t="shared" ca="1" si="2"/>
        <v>0.22907329614440408</v>
      </c>
      <c r="Q30" s="2">
        <f t="shared" si="3"/>
        <v>44239.876199999999</v>
      </c>
    </row>
    <row r="31" spans="1:17" ht="12" customHeight="1">
      <c r="A31" s="43" t="s">
        <v>59</v>
      </c>
      <c r="B31" s="44" t="s">
        <v>53</v>
      </c>
      <c r="C31" s="46">
        <v>59616.684500000003</v>
      </c>
      <c r="D31" s="47">
        <v>1E-4</v>
      </c>
      <c r="E31">
        <f t="shared" si="0"/>
        <v>16481.975841646206</v>
      </c>
      <c r="F31">
        <f t="shared" si="4"/>
        <v>16481.5</v>
      </c>
      <c r="G31">
        <f t="shared" si="1"/>
        <v>0.23387950000324054</v>
      </c>
      <c r="K31">
        <f t="shared" si="5"/>
        <v>0.23387950000324054</v>
      </c>
      <c r="O31">
        <f t="shared" ca="1" si="2"/>
        <v>0.22857892063305824</v>
      </c>
      <c r="Q31" s="2">
        <f t="shared" si="3"/>
        <v>44598.184500000003</v>
      </c>
    </row>
    <row r="32" spans="1:17" ht="12" customHeight="1">
      <c r="C32" s="10"/>
      <c r="D32" s="10"/>
      <c r="Q32" s="2"/>
    </row>
    <row r="33" spans="3:17" ht="12" customHeight="1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28:D28" name="Range1"/>
  </protectedRanges>
  <sortState xmlns:xlrd2="http://schemas.microsoft.com/office/spreadsheetml/2017/richdata2" ref="A21:Q36">
    <sortCondition ref="C21:C36"/>
  </sortState>
  <phoneticPr fontId="7" type="noConversion"/>
  <hyperlinks>
    <hyperlink ref="H262" r:id="rId1" display="http://vsolj.cetus-net.org/bulletin.html" xr:uid="{00000000-0004-0000-0100-000000000000}"/>
    <hyperlink ref="H255" r:id="rId2" display="http://vsolj.cetus-net.org/bulletin.html" xr:uid="{00000000-0004-0000-0100-000001000000}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2024-02-12T03:49:13Z</dcterms:modified>
</cp:coreProperties>
</file>