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E4D6AE1-2E85-4188-A0BB-DF9EF07F4F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C21" i="1"/>
  <c r="E21" i="1"/>
  <c r="F21" i="1"/>
  <c r="G21" i="1"/>
  <c r="H21" i="1"/>
  <c r="D9" i="1"/>
  <c r="E9" i="1"/>
  <c r="F16" i="1"/>
  <c r="C17" i="1"/>
  <c r="Q21" i="1"/>
  <c r="C12" i="1"/>
  <c r="C11" i="1"/>
  <c r="O22" i="1" l="1"/>
  <c r="O24" i="1"/>
  <c r="O25" i="1"/>
  <c r="O21" i="1"/>
  <c r="O23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<sst xmlns="http://schemas.openxmlformats.org/spreadsheetml/2006/main" count="53" uniqueCount="46">
  <si>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</si>
  <si>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</si>
  <si>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</si>
  <si>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</si>
  <si>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</si>
  <si>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</si>
  <si>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</si>
  <si>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</si>
  <si>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</si>
  <si>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</si>
  <si>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</si>
  <si>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</si>
  <si>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</si>
  <si>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</si>
  <si>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</si>
  <si>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</si>
  <si>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</si>
  <si>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</si>
  <si>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</si>
  <si>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</si>
  <si>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</si>
  <si>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</si>
  <si>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</si>
  <si>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</si>
  <si>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</si>
  <si>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</si>
  <si>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</si>
  <si>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</si>
  <si>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</si>
  <si>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</si>
  <si>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</si>
  <si>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</si>
  <si>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</si>
  <si>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</si>
  <si>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</si>
  <si>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</si>
  <si>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</si>
  <si>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</si>
  <si>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</si>
  <si>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</si>
  <si>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</si>
  <si>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</t>
  </si>
  <si>
    <t>IBVS 6114</t>
  </si>
  <si>
    <t>Gem</t>
  </si>
  <si>
    <t>V0514 Gem / GSC 1937-0979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</si>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</sst>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Fill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V0514</a:t>
            </a:r>
            <a:r>
              <a:rPr lang="en-AU" baseline="0"/>
              <a:t> Gem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1407</c:v>
                </c:pt>
                <c:pt idx="2">
                  <c:v>1421</c:v>
                </c:pt>
                <c:pt idx="3">
                  <c:v>1720</c:v>
                </c:pt>
                <c:pt idx="4">
                  <c:v>1748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78-41B4-8FFA-428C9BEE3B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1407</c:v>
                </c:pt>
                <c:pt idx="2">
                  <c:v>1421</c:v>
                </c:pt>
                <c:pt idx="3">
                  <c:v>1720</c:v>
                </c:pt>
                <c:pt idx="4">
                  <c:v>1748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-5.0309999998717103E-2</c:v>
                </c:pt>
                <c:pt idx="2">
                  <c:v>-4.6560000002500601E-2</c:v>
                </c:pt>
                <c:pt idx="3">
                  <c:v>-5.5240000001504086E-2</c:v>
                </c:pt>
                <c:pt idx="4">
                  <c:v>-6.0410000005504116E-2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78-41B4-8FFA-428C9BEE3B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1407</c:v>
                </c:pt>
                <c:pt idx="2">
                  <c:v>1421</c:v>
                </c:pt>
                <c:pt idx="3">
                  <c:v>1720</c:v>
                </c:pt>
                <c:pt idx="4">
                  <c:v>1748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78-41B4-8FFA-428C9BEE3B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1407</c:v>
                </c:pt>
                <c:pt idx="2">
                  <c:v>1421</c:v>
                </c:pt>
                <c:pt idx="3">
                  <c:v>1720</c:v>
                </c:pt>
                <c:pt idx="4">
                  <c:v>1748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78-41B4-8FFA-428C9BEE3B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1407</c:v>
                </c:pt>
                <c:pt idx="2">
                  <c:v>1421</c:v>
                </c:pt>
                <c:pt idx="3">
                  <c:v>1720</c:v>
                </c:pt>
                <c:pt idx="4">
                  <c:v>1748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78-41B4-8FFA-428C9BEE3B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1407</c:v>
                </c:pt>
                <c:pt idx="2">
                  <c:v>1421</c:v>
                </c:pt>
                <c:pt idx="3">
                  <c:v>1720</c:v>
                </c:pt>
                <c:pt idx="4">
                  <c:v>1748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78-41B4-8FFA-428C9BEE3B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1.48E-3</c:v>
                  </c:pt>
                  <c:pt idx="2">
                    <c:v>1.2999999999999999E-3</c:v>
                  </c:pt>
                  <c:pt idx="3">
                    <c:v>2.7000000000000001E-3</c:v>
                  </c:pt>
                  <c:pt idx="4">
                    <c:v>3.5E-4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1407</c:v>
                </c:pt>
                <c:pt idx="2">
                  <c:v>1421</c:v>
                </c:pt>
                <c:pt idx="3">
                  <c:v>1720</c:v>
                </c:pt>
                <c:pt idx="4">
                  <c:v>1748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78-41B4-8FFA-428C9BEE3B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1407</c:v>
                </c:pt>
                <c:pt idx="2">
                  <c:v>1421</c:v>
                </c:pt>
                <c:pt idx="3">
                  <c:v>1720</c:v>
                </c:pt>
                <c:pt idx="4">
                  <c:v>1748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-2.5493450380656424E-4</c:v>
                </c:pt>
                <c:pt idx="1">
                  <c:v>-4.7463031037684372E-2</c:v>
                </c:pt>
                <c:pt idx="2">
                  <c:v>-4.793276334150405E-2</c:v>
                </c:pt>
                <c:pt idx="3">
                  <c:v>-5.7964903258795782E-2</c:v>
                </c:pt>
                <c:pt idx="4">
                  <c:v>-5.8904367866435145E-2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78-41B4-8FFA-428C9BEE3B5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1407</c:v>
                </c:pt>
                <c:pt idx="2">
                  <c:v>1421</c:v>
                </c:pt>
                <c:pt idx="3">
                  <c:v>1720</c:v>
                </c:pt>
                <c:pt idx="4">
                  <c:v>1748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78-41B4-8FFA-428C9BEE3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383104"/>
        <c:axId val="1"/>
      </c:scatterChart>
      <c:valAx>
        <c:axId val="68338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38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FA0638-0023-FF00-254E-6ED30809D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2" t="s">
        <v>44</v>
      </c>
    </row>
    <row r="2" spans="1:6" x14ac:dyDescent="0.2">
      <c r="A2" t="s">
        <v>23</v>
      </c>
      <c r="B2" t="s">
        <v>41</v>
      </c>
      <c r="C2" s="2"/>
      <c r="D2" s="2"/>
      <c r="E2" t="s">
        <v>43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39</v>
      </c>
      <c r="D4" s="27" t="s">
        <v>39</v>
      </c>
    </row>
    <row r="5" spans="1:6" ht="13.5" thickTop="1" x14ac:dyDescent="0.2">
      <c r="A5" s="8" t="s">
        <v>30</v>
      </c>
      <c r="B5" s="9"/>
      <c r="C5" s="10">
        <v>-9.5</v>
      </c>
      <c r="D5" s="9" t="s">
        <v>31</v>
      </c>
    </row>
    <row r="6" spans="1:6" x14ac:dyDescent="0.2">
      <c r="A6" s="4" t="s">
        <v>1</v>
      </c>
    </row>
    <row r="7" spans="1:6" x14ac:dyDescent="0.2">
      <c r="A7" t="s">
        <v>2</v>
      </c>
      <c r="C7" s="33">
        <v>54267.58</v>
      </c>
      <c r="D7" s="28" t="s">
        <v>40</v>
      </c>
    </row>
    <row r="8" spans="1:6" x14ac:dyDescent="0.2">
      <c r="A8" t="s">
        <v>3</v>
      </c>
      <c r="C8" s="33">
        <v>1.425</v>
      </c>
      <c r="D8" s="28" t="s">
        <v>40</v>
      </c>
    </row>
    <row r="9" spans="1:6" x14ac:dyDescent="0.2">
      <c r="A9" s="23" t="s">
        <v>34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20">
        <f ca="1">INTERCEPT(INDIRECT($E$9):G992,INDIRECT($D$9):F992)</f>
        <v>-2.5493450380656424E-4</v>
      </c>
      <c r="D11" s="2"/>
      <c r="E11" s="9"/>
    </row>
    <row r="12" spans="1:6" x14ac:dyDescent="0.2">
      <c r="A12" s="9" t="s">
        <v>16</v>
      </c>
      <c r="B12" s="9"/>
      <c r="C12" s="20">
        <f ca="1">SLOPE(INDIRECT($E$9):G992,INDIRECT($D$9):F992)</f>
        <v>-3.3552307415691407E-5</v>
      </c>
      <c r="D12" s="2"/>
      <c r="E12" s="9"/>
    </row>
    <row r="13" spans="1:6" x14ac:dyDescent="0.2">
      <c r="A13" s="9" t="s">
        <v>18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56758.42109563214</v>
      </c>
      <c r="E15" s="13" t="s">
        <v>36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1.4249664476925843</v>
      </c>
      <c r="E16" s="13" t="s">
        <v>32</v>
      </c>
      <c r="F16" s="14">
        <f ca="1">NOW()+15018.5+$C$5/24</f>
        <v>60352.719371874999</v>
      </c>
    </row>
    <row r="17" spans="1:18" ht="13.5" thickBot="1" x14ac:dyDescent="0.25">
      <c r="A17" s="13" t="s">
        <v>29</v>
      </c>
      <c r="B17" s="9"/>
      <c r="C17" s="9">
        <f>COUNT(C21:C2191)</f>
        <v>5</v>
      </c>
      <c r="E17" s="13" t="s">
        <v>37</v>
      </c>
      <c r="F17" s="14">
        <f ca="1">ROUND(2*(F16-$C$7)/$C$8,0)/2+F15</f>
        <v>4271.5</v>
      </c>
    </row>
    <row r="18" spans="1:18" ht="14.25" thickTop="1" thickBot="1" x14ac:dyDescent="0.25">
      <c r="A18" s="15" t="s">
        <v>5</v>
      </c>
      <c r="B18" s="9"/>
      <c r="C18" s="18">
        <f ca="1">+C15</f>
        <v>56758.42109563214</v>
      </c>
      <c r="D18" s="19">
        <f ca="1">+C16</f>
        <v>1.4249664476925843</v>
      </c>
      <c r="E18" s="13" t="s">
        <v>38</v>
      </c>
      <c r="F18" s="22">
        <f ca="1">ROUND(2*(F16-$C$15)/$C$16,0)/2+F15</f>
        <v>2523.5</v>
      </c>
    </row>
    <row r="19" spans="1:18" ht="13.5" thickTop="1" x14ac:dyDescent="0.2">
      <c r="E19" s="13" t="s">
        <v>33</v>
      </c>
      <c r="F19" s="17">
        <f ca="1">+$C$15+$C$16*F18-15018.5-$C$5/24</f>
        <v>45336.219759717715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40</v>
      </c>
      <c r="I20" s="6" t="s">
        <v>28</v>
      </c>
      <c r="J20" s="6" t="s">
        <v>45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5" t="s">
        <v>35</v>
      </c>
    </row>
    <row r="21" spans="1:18" x14ac:dyDescent="0.2">
      <c r="A21" t="s">
        <v>40</v>
      </c>
      <c r="C21" s="7">
        <f>C$7</f>
        <v>54267.58</v>
      </c>
      <c r="D21" s="7"/>
      <c r="E21">
        <f>+(C21-C$7)/C$8</f>
        <v>0</v>
      </c>
      <c r="F21" s="29">
        <f>ROUND(2*E21,0)/2</f>
        <v>0</v>
      </c>
      <c r="G21">
        <f>+C21-(C$7+F21*C$8)</f>
        <v>0</v>
      </c>
      <c r="H21">
        <f>+G21</f>
        <v>0</v>
      </c>
      <c r="O21">
        <f ca="1">+C$11+C$12*$F21</f>
        <v>-2.5493450380656424E-4</v>
      </c>
      <c r="Q21" s="1">
        <f>+C21-15018.5</f>
        <v>39249.08</v>
      </c>
    </row>
    <row r="22" spans="1:18" x14ac:dyDescent="0.2">
      <c r="A22" s="30" t="s">
        <v>42</v>
      </c>
      <c r="B22" s="31"/>
      <c r="C22" s="30">
        <v>56272.504690000002</v>
      </c>
      <c r="D22" s="30">
        <v>1.48E-3</v>
      </c>
      <c r="E22">
        <f>+(C22-C$7)/C$8</f>
        <v>1406.9646947368419</v>
      </c>
      <c r="F22" s="29">
        <f>ROUND(2*E22,0)/2</f>
        <v>1407</v>
      </c>
      <c r="G22">
        <f>+C22-(C$7+F22*C$8)</f>
        <v>-5.0309999998717103E-2</v>
      </c>
      <c r="I22">
        <f>+G22</f>
        <v>-5.0309999998717103E-2</v>
      </c>
      <c r="O22">
        <f ca="1">+C$11+C$12*$F22</f>
        <v>-4.7463031037684372E-2</v>
      </c>
      <c r="Q22" s="1">
        <f>+C22-15018.5</f>
        <v>41254.004690000002</v>
      </c>
    </row>
    <row r="23" spans="1:18" x14ac:dyDescent="0.2">
      <c r="A23" s="30" t="s">
        <v>42</v>
      </c>
      <c r="B23" s="31"/>
      <c r="C23" s="30">
        <v>56292.458440000002</v>
      </c>
      <c r="D23" s="30">
        <v>1.2999999999999999E-3</v>
      </c>
      <c r="E23">
        <f>+(C23-C$7)/C$8</f>
        <v>1420.9673263157897</v>
      </c>
      <c r="F23" s="29">
        <f>ROUND(2*E23,0)/2</f>
        <v>1421</v>
      </c>
      <c r="G23">
        <f>+C23-(C$7+F23*C$8)</f>
        <v>-4.6560000002500601E-2</v>
      </c>
      <c r="I23">
        <f>+G23</f>
        <v>-4.6560000002500601E-2</v>
      </c>
      <c r="O23">
        <f ca="1">+C$11+C$12*$F23</f>
        <v>-4.793276334150405E-2</v>
      </c>
      <c r="Q23" s="1">
        <f>+C23-15018.5</f>
        <v>41273.958440000002</v>
      </c>
    </row>
    <row r="24" spans="1:18" x14ac:dyDescent="0.2">
      <c r="A24" s="30" t="s">
        <v>42</v>
      </c>
      <c r="B24" s="31"/>
      <c r="C24" s="30">
        <v>56718.52476</v>
      </c>
      <c r="D24" s="30">
        <v>2.7000000000000001E-3</v>
      </c>
      <c r="E24">
        <f>+(C24-C$7)/C$8</f>
        <v>1719.9612350877183</v>
      </c>
      <c r="F24" s="29">
        <f>ROUND(2*E24,0)/2</f>
        <v>1720</v>
      </c>
      <c r="G24">
        <f>+C24-(C$7+F24*C$8)</f>
        <v>-5.5240000001504086E-2</v>
      </c>
      <c r="I24">
        <f>+G24</f>
        <v>-5.5240000001504086E-2</v>
      </c>
      <c r="O24">
        <f ca="1">+C$11+C$12*$F24</f>
        <v>-5.7964903258795782E-2</v>
      </c>
      <c r="Q24" s="1">
        <f>+C24-15018.5</f>
        <v>41700.02476</v>
      </c>
    </row>
    <row r="25" spans="1:18" x14ac:dyDescent="0.2">
      <c r="A25" s="30" t="s">
        <v>42</v>
      </c>
      <c r="B25" s="31"/>
      <c r="C25" s="30">
        <v>56758.419589999998</v>
      </c>
      <c r="D25" s="30">
        <v>3.5E-4</v>
      </c>
      <c r="E25">
        <f>+(C25-C$7)/C$8</f>
        <v>1747.957607017541</v>
      </c>
      <c r="F25" s="29">
        <f>ROUND(2*E25,0)/2</f>
        <v>1748</v>
      </c>
      <c r="G25">
        <f>+C25-(C$7+F25*C$8)</f>
        <v>-6.0410000005504116E-2</v>
      </c>
      <c r="I25">
        <f>+G25</f>
        <v>-6.0410000005504116E-2</v>
      </c>
      <c r="O25">
        <f ca="1">+C$11+C$12*$F25</f>
        <v>-5.8904367866435145E-2</v>
      </c>
      <c r="Q25" s="1">
        <f>+C25-15018.5</f>
        <v>41739.919589999998</v>
      </c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2024-02-12T04:15:53Z</dcterms:modified>
</cp:coreProperties>
</file>