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F2350D2-BF26-4B02-9EC2-E9772C30F992}" xr6:coauthVersionLast="47" xr6:coauthVersionMax="47" xr10:uidLastSave="{00000000-0000-0000-0000-000000000000}"/>
  <bookViews>
    <workbookView xWindow="14205" yWindow="9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68" i="1"/>
  <c r="F68" i="1" s="1"/>
  <c r="G68" i="1" s="1"/>
  <c r="K68" i="1" s="1"/>
  <c r="Q68" i="1"/>
  <c r="Q67" i="1"/>
  <c r="Q66" i="1"/>
  <c r="Q65" i="1"/>
  <c r="Q64" i="1"/>
  <c r="D9" i="1"/>
  <c r="C9" i="1"/>
  <c r="Q37" i="1"/>
  <c r="C7" i="1"/>
  <c r="C8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11" i="2"/>
  <c r="C11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E40" i="2"/>
  <c r="G39" i="2"/>
  <c r="C39" i="2"/>
  <c r="G38" i="2"/>
  <c r="C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" i="2"/>
  <c r="B11" i="2"/>
  <c r="D11" i="2"/>
  <c r="A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Q63" i="1"/>
  <c r="Q61" i="1"/>
  <c r="Q62" i="1"/>
  <c r="Q60" i="1"/>
  <c r="F16" i="1"/>
  <c r="F17" i="1" s="1"/>
  <c r="C17" i="1"/>
  <c r="Q59" i="1"/>
  <c r="Q58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30" i="1"/>
  <c r="E11" i="2"/>
  <c r="E32" i="1"/>
  <c r="F32" i="1"/>
  <c r="G32" i="1"/>
  <c r="H32" i="1"/>
  <c r="E27" i="1"/>
  <c r="E23" i="1"/>
  <c r="E48" i="1"/>
  <c r="F48" i="1"/>
  <c r="E60" i="1"/>
  <c r="F60" i="1"/>
  <c r="G60" i="1"/>
  <c r="J60" i="1"/>
  <c r="E56" i="1"/>
  <c r="F56" i="1"/>
  <c r="G56" i="1"/>
  <c r="I56" i="1"/>
  <c r="E52" i="1"/>
  <c r="F52" i="1"/>
  <c r="G52" i="1"/>
  <c r="I52" i="1"/>
  <c r="E47" i="1"/>
  <c r="E43" i="1"/>
  <c r="E39" i="1"/>
  <c r="E35" i="1"/>
  <c r="E63" i="1"/>
  <c r="F63" i="1"/>
  <c r="G63" i="1"/>
  <c r="J63" i="1"/>
  <c r="E59" i="1"/>
  <c r="F59" i="1"/>
  <c r="G59" i="1"/>
  <c r="K59" i="1"/>
  <c r="E55" i="1"/>
  <c r="F55" i="1"/>
  <c r="E51" i="1"/>
  <c r="F51" i="1"/>
  <c r="G51" i="1"/>
  <c r="I51" i="1"/>
  <c r="E46" i="1"/>
  <c r="F46" i="1"/>
  <c r="E42" i="1"/>
  <c r="F42" i="1"/>
  <c r="G42" i="1"/>
  <c r="I42" i="1"/>
  <c r="E38" i="1"/>
  <c r="F38" i="1"/>
  <c r="G38" i="1"/>
  <c r="I38" i="1"/>
  <c r="E34" i="1"/>
  <c r="F34" i="1"/>
  <c r="G34" i="1"/>
  <c r="H34" i="1"/>
  <c r="E30" i="1"/>
  <c r="F30" i="1"/>
  <c r="G30" i="1"/>
  <c r="H30" i="1"/>
  <c r="E62" i="1"/>
  <c r="F62" i="1"/>
  <c r="G62" i="1"/>
  <c r="K62" i="1"/>
  <c r="E58" i="1"/>
  <c r="F58" i="1"/>
  <c r="G58" i="1"/>
  <c r="J58" i="1"/>
  <c r="E54" i="1"/>
  <c r="F54" i="1"/>
  <c r="G54" i="1"/>
  <c r="I54" i="1"/>
  <c r="E50" i="1"/>
  <c r="F50" i="1"/>
  <c r="G50" i="1"/>
  <c r="I50" i="1"/>
  <c r="E45" i="1"/>
  <c r="F45" i="1"/>
  <c r="G45" i="1"/>
  <c r="I45" i="1"/>
  <c r="E41" i="1"/>
  <c r="F41" i="1"/>
  <c r="G41" i="1"/>
  <c r="I41" i="1"/>
  <c r="E37" i="1"/>
  <c r="F37" i="1"/>
  <c r="U37" i="1"/>
  <c r="E33" i="1"/>
  <c r="F33" i="1"/>
  <c r="G33" i="1"/>
  <c r="H33" i="1"/>
  <c r="E25" i="1"/>
  <c r="E42" i="2"/>
  <c r="E21" i="1"/>
  <c r="F21" i="1"/>
  <c r="G21" i="1"/>
  <c r="H21" i="1"/>
  <c r="E28" i="1"/>
  <c r="F28" i="1"/>
  <c r="G28" i="1"/>
  <c r="H28" i="1"/>
  <c r="E61" i="1"/>
  <c r="F61" i="1"/>
  <c r="G61" i="1"/>
  <c r="K61" i="1"/>
  <c r="E57" i="1"/>
  <c r="F57" i="1"/>
  <c r="G57" i="1"/>
  <c r="I57" i="1"/>
  <c r="G55" i="1"/>
  <c r="I55" i="1"/>
  <c r="E53" i="1"/>
  <c r="F53" i="1"/>
  <c r="G53" i="1"/>
  <c r="I53" i="1"/>
  <c r="E49" i="1"/>
  <c r="F49" i="1"/>
  <c r="G49" i="1"/>
  <c r="I49" i="1"/>
  <c r="G46" i="1"/>
  <c r="I46" i="1"/>
  <c r="E44" i="1"/>
  <c r="F44" i="1"/>
  <c r="G44" i="1"/>
  <c r="I44" i="1"/>
  <c r="E40" i="1"/>
  <c r="F40" i="1"/>
  <c r="G40" i="1"/>
  <c r="I40" i="1"/>
  <c r="E36" i="1"/>
  <c r="F36" i="1"/>
  <c r="G36" i="1"/>
  <c r="H36" i="1"/>
  <c r="F23" i="1"/>
  <c r="G23" i="1"/>
  <c r="H23" i="1"/>
  <c r="F39" i="1"/>
  <c r="G39" i="1"/>
  <c r="I39" i="1"/>
  <c r="F47" i="1"/>
  <c r="G47" i="1"/>
  <c r="I47" i="1"/>
  <c r="F35" i="1"/>
  <c r="G35" i="1"/>
  <c r="H35" i="1"/>
  <c r="F43" i="1"/>
  <c r="G43" i="1"/>
  <c r="I43" i="1"/>
  <c r="F27" i="1"/>
  <c r="G27" i="1"/>
  <c r="H27" i="1"/>
  <c r="E39" i="2"/>
  <c r="E46" i="2"/>
  <c r="E47" i="2"/>
  <c r="F25" i="1"/>
  <c r="G25" i="1"/>
  <c r="H25" i="1"/>
  <c r="E66" i="1"/>
  <c r="F66" i="1"/>
  <c r="G66" i="1"/>
  <c r="K66" i="1"/>
  <c r="E29" i="1"/>
  <c r="F29" i="1"/>
  <c r="G29" i="1"/>
  <c r="H29" i="1"/>
  <c r="E22" i="1"/>
  <c r="F22" i="1"/>
  <c r="G22" i="1"/>
  <c r="H22" i="1"/>
  <c r="E38" i="2"/>
  <c r="E65" i="1"/>
  <c r="F65" i="1"/>
  <c r="G65" i="1"/>
  <c r="K65" i="1"/>
  <c r="E31" i="1"/>
  <c r="F31" i="1"/>
  <c r="G31" i="1"/>
  <c r="H31" i="1"/>
  <c r="E26" i="1"/>
  <c r="F26" i="1"/>
  <c r="G26" i="1"/>
  <c r="H26" i="1"/>
  <c r="E24" i="1"/>
  <c r="F24" i="1"/>
  <c r="G24" i="1"/>
  <c r="H24" i="1"/>
  <c r="E67" i="1"/>
  <c r="F67" i="1"/>
  <c r="G67" i="1"/>
  <c r="K67" i="1"/>
  <c r="E64" i="1"/>
  <c r="F64" i="1"/>
  <c r="G64" i="1"/>
  <c r="K64" i="1"/>
  <c r="E41" i="2"/>
  <c r="E43" i="2"/>
  <c r="C12" i="1"/>
  <c r="C11" i="1"/>
  <c r="O69" i="1" l="1"/>
  <c r="O68" i="1"/>
  <c r="O63" i="1"/>
  <c r="O53" i="1"/>
  <c r="O67" i="1"/>
  <c r="O48" i="1"/>
  <c r="O58" i="1"/>
  <c r="O50" i="1"/>
  <c r="O45" i="1"/>
  <c r="O55" i="1"/>
  <c r="O46" i="1"/>
  <c r="O59" i="1"/>
  <c r="O65" i="1"/>
  <c r="O54" i="1"/>
  <c r="O47" i="1"/>
  <c r="O52" i="1"/>
  <c r="O49" i="1"/>
  <c r="O56" i="1"/>
  <c r="O60" i="1"/>
  <c r="O62" i="1"/>
  <c r="O64" i="1"/>
  <c r="O44" i="1"/>
  <c r="O66" i="1"/>
  <c r="O57" i="1"/>
  <c r="C15" i="1"/>
  <c r="O51" i="1"/>
  <c r="O61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<sst xmlns="http://schemas.openxmlformats.org/spreadsheetml/2006/main" count="527" uniqueCount="271">
  <si>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</si>
  <si>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</si>
  <si>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</si>
  <si>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</si>
  <si>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</si>
  <si>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</si>
  <si>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</si>
  <si>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</si>
  <si>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</si>
  <si>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</si>
  <si>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</si>
  <si>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</si>
  <si>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</si>
  <si>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</si>
  <si>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</si>
  <si>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</si>
  <si>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</si>
  <si>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</si>
  <si>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</si>
  <si>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</si>
  <si>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</si>
  <si>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</si>
  <si>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</si>
  <si>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</si>
  <si>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</si>
  <si>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</si>
  <si>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</si>
  <si>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</si>
  <si>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</si>
  <si>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Bull...32</t>
  </si>
  <si>
    <t>B</t>
  </si>
  <si>
    <t>v</t>
  </si>
  <si>
    <t>BBSAG Bull.4</t>
  </si>
  <si>
    <t>BBSAG Bull.5</t>
  </si>
  <si>
    <t>BBSAG Bull.6</t>
  </si>
  <si>
    <t>BBSAG Bull.10</t>
  </si>
  <si>
    <t>Diethelm R</t>
  </si>
  <si>
    <t>BBSAG Bull.23</t>
  </si>
  <si>
    <t>BBSAG Bull.28</t>
  </si>
  <si>
    <t>BBSAG Bull.44</t>
  </si>
  <si>
    <t>BBSAG Bull.49</t>
  </si>
  <si>
    <t>BBSAG Bull.55</t>
  </si>
  <si>
    <t>Locher K</t>
  </si>
  <si>
    <t>BBSAG Bull.98</t>
  </si>
  <si>
    <t>BBSAG Bull.99</t>
  </si>
  <si>
    <t>BBSAG Bull.102</t>
  </si>
  <si>
    <t>BBSAG Bull.105</t>
  </si>
  <si>
    <t>pe</t>
  </si>
  <si>
    <t>Paschke A</t>
  </si>
  <si>
    <t>BBSAG Bull.111</t>
  </si>
  <si>
    <t>BBSAG Bull.109</t>
  </si>
  <si>
    <t>BBSAG Bull.110</t>
  </si>
  <si>
    <t>BBSAG Bull.115</t>
  </si>
  <si>
    <t>BBSAG Bull.116</t>
  </si>
  <si>
    <t>bad?</t>
  </si>
  <si>
    <t># of data points:</t>
  </si>
  <si>
    <t>EA/SD</t>
  </si>
  <si>
    <t>BC Her / gsc 1034-1293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</si>
  <si>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</si>
  <si>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</si>
  <si>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</si>
  <si>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</si>
  <si>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</si>
  <si>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</si>
  <si>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5893</t>
  </si>
  <si>
    <t>I</t>
  </si>
  <si>
    <t>Start of linear fit &gt;&gt;&gt;&gt;&gt;&gt;&gt;&gt;&gt;&gt;&gt;&gt;&gt;&gt;&gt;&gt;&gt;&gt;&gt;&gt;&gt;</t>
  </si>
  <si>
    <t>Add cycle</t>
  </si>
  <si>
    <t>Old Cycle</t>
  </si>
  <si>
    <t>IBVS 5959</t>
  </si>
  <si>
    <t>IBVS 5992</t>
  </si>
  <si>
    <t>IBVS 5997</t>
  </si>
  <si>
    <t>BAD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</si>
  <si>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</si>
  <si>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</si>
  <si>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</si>
  <si>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</si>
  <si>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</si>
  <si>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</si>
  <si>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</si>
  <si>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</si>
  <si>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</si>
  <si>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</si>
  <si>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</si>
  <si>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</si>
  <si>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</si>
  <si>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2424822.182 </t>
  </si>
  <si>
    <t> 02.11.1926 16:22 </t>
  </si>
  <si>
    <t> -0.321 </t>
  </si>
  <si>
    <t>P </t>
  </si>
  <si>
    <t> V.Albitzky </t>
  </si>
  <si>
    <t> AN 235.318 </t>
  </si>
  <si>
    <t>2424825.180 </t>
  </si>
  <si>
    <t> 05.11.1926 16:19 </t>
  </si>
  <si>
    <t> -0.410 </t>
  </si>
  <si>
    <t>2426242.372 </t>
  </si>
  <si>
    <t> 22.09.1930 20:55 </t>
  </si>
  <si>
    <t> -0.312 </t>
  </si>
  <si>
    <t>V </t>
  </si>
  <si>
    <t> L.Jacchia </t>
  </si>
  <si>
    <t> BZ 13.18 </t>
  </si>
  <si>
    <t>2429805.427 </t>
  </si>
  <si>
    <t> 24.06.1940 22:14 </t>
  </si>
  <si>
    <t> -0.059 </t>
  </si>
  <si>
    <t> Y.V.Fridel </t>
  </si>
  <si>
    <t> CLVO 39.70 </t>
  </si>
  <si>
    <t>2430546.380 </t>
  </si>
  <si>
    <t> 05.07.1942 21:07 </t>
  </si>
  <si>
    <t> -0.070 </t>
  </si>
  <si>
    <t>2431287.360 </t>
  </si>
  <si>
    <t> 15.07.1944 20:38 </t>
  </si>
  <si>
    <t> -0.054 </t>
  </si>
  <si>
    <t> W.Zessewitsch </t>
  </si>
  <si>
    <t> IODE 4.2.81 </t>
  </si>
  <si>
    <t>2433717.097 </t>
  </si>
  <si>
    <t> 11.03.1951 14:19 </t>
  </si>
  <si>
    <t> -0.061 </t>
  </si>
  <si>
    <t>2433834.422 </t>
  </si>
  <si>
    <t> 06.07.1951 22:07 </t>
  </si>
  <si>
    <t> -0.056 </t>
  </si>
  <si>
    <t>2436128.382 </t>
  </si>
  <si>
    <t> 16.10.1957 21:10 </t>
  </si>
  <si>
    <t> 0.003 </t>
  </si>
  <si>
    <t> EBC 1-32 </t>
  </si>
  <si>
    <t>2436483.424 </t>
  </si>
  <si>
    <t> 06.10.1958 22:10 </t>
  </si>
  <si>
    <t> 0.000 </t>
  </si>
  <si>
    <t>2436733.433 </t>
  </si>
  <si>
    <t> 13.06.1959 22:23 </t>
  </si>
  <si>
    <t> -0.066 </t>
  </si>
  <si>
    <t>2437020.593 </t>
  </si>
  <si>
    <t> 27.03.1960 02:13 </t>
  </si>
  <si>
    <t> -0.030 </t>
  </si>
  <si>
    <t> M.E.Kiperman </t>
  </si>
  <si>
    <t> PZ 17.674 </t>
  </si>
  <si>
    <t>2437085.407 </t>
  </si>
  <si>
    <t> 30.05.1960 21:46 </t>
  </si>
  <si>
    <t> -0.050 </t>
  </si>
  <si>
    <t>2437218.223 </t>
  </si>
  <si>
    <t> 10.10.1960 17:21 </t>
  </si>
  <si>
    <t> 0.010 </t>
  </si>
  <si>
    <t>2437471.425 </t>
  </si>
  <si>
    <t> 20.06.1961 22:12 </t>
  </si>
  <si>
    <t> 0.049 </t>
  </si>
  <si>
    <t>2437573.292 </t>
  </si>
  <si>
    <t> 30.09.1961 19:00 </t>
  </si>
  <si>
    <t> 0.033 </t>
  </si>
  <si>
    <t>2437635.312 </t>
  </si>
  <si>
    <t> 01.12.1961 19:29 </t>
  </si>
  <si>
    <t> 0.306 </t>
  </si>
  <si>
    <t>2441182.383 </t>
  </si>
  <si>
    <t> 18.08.1971 21:11 </t>
  </si>
  <si>
    <t> 0.012 </t>
  </si>
  <si>
    <t> H.Peter </t>
  </si>
  <si>
    <t> ORI 127 </t>
  </si>
  <si>
    <t>2441503.452 </t>
  </si>
  <si>
    <t> 04.07.1972 22:50 </t>
  </si>
  <si>
    <t> BBS 4 </t>
  </si>
  <si>
    <t>2441571.384 </t>
  </si>
  <si>
    <t> 10.09.1972 21:12 </t>
  </si>
  <si>
    <t> 0.007 </t>
  </si>
  <si>
    <t>2441605.327 </t>
  </si>
  <si>
    <t> 14.10.1972 19:50 </t>
  </si>
  <si>
    <t> -0.011 </t>
  </si>
  <si>
    <t> BBS 6 </t>
  </si>
  <si>
    <t>2441895.554 </t>
  </si>
  <si>
    <t> 01.08.1973 01:17 </t>
  </si>
  <si>
    <t> 0.005 </t>
  </si>
  <si>
    <t> BBS 10 </t>
  </si>
  <si>
    <t>2442633.414 </t>
  </si>
  <si>
    <t> 08.08.1975 21:56 </t>
  </si>
  <si>
    <t> R.Diethelm </t>
  </si>
  <si>
    <t> BBS 23 </t>
  </si>
  <si>
    <t>2442951.427 </t>
  </si>
  <si>
    <t> 21.06.1976 22:14 </t>
  </si>
  <si>
    <t> BBS 28 </t>
  </si>
  <si>
    <t>2444115.348 </t>
  </si>
  <si>
    <t> 29.08.1979 20:21 </t>
  </si>
  <si>
    <t> -0.005 </t>
  </si>
  <si>
    <t> BBS 44 </t>
  </si>
  <si>
    <t>2444402.438 </t>
  </si>
  <si>
    <t> 11.06.1980 22:30 </t>
  </si>
  <si>
    <t> -0.039 </t>
  </si>
  <si>
    <t> BBS 49 </t>
  </si>
  <si>
    <t>2444757.484 </t>
  </si>
  <si>
    <t> 01.06.1981 23:36 </t>
  </si>
  <si>
    <t> -0.038 </t>
  </si>
  <si>
    <t> BBS 55 </t>
  </si>
  <si>
    <t>2448465.468 </t>
  </si>
  <si>
    <t> 27.07.1991 23:13 </t>
  </si>
  <si>
    <t> 0.039 </t>
  </si>
  <si>
    <t> K.Locher </t>
  </si>
  <si>
    <t> BBS 98 </t>
  </si>
  <si>
    <t>2448505.370 </t>
  </si>
  <si>
    <t> 05.09.1991 20:52 </t>
  </si>
  <si>
    <t> -0.195 </t>
  </si>
  <si>
    <t> BBS 99 </t>
  </si>
  <si>
    <t>2448539.317 </t>
  </si>
  <si>
    <t> 09.10.1991 19:36 </t>
  </si>
  <si>
    <t> -0.209 </t>
  </si>
  <si>
    <t>2448860.393 </t>
  </si>
  <si>
    <t> 25.08.1992 21:25 </t>
  </si>
  <si>
    <t> -0.217 </t>
  </si>
  <si>
    <t> BBS 102 </t>
  </si>
  <si>
    <t>2449249.377 </t>
  </si>
  <si>
    <t> 18.09.1993 21:02 </t>
  </si>
  <si>
    <t> -0.239 </t>
  </si>
  <si>
    <t> BBS 105 </t>
  </si>
  <si>
    <t>2449888.434 </t>
  </si>
  <si>
    <t> 19.06.1995 22:24 </t>
  </si>
  <si>
    <t> -0.264 </t>
  </si>
  <si>
    <t>E </t>
  </si>
  <si>
    <t>?</t>
  </si>
  <si>
    <t> A.Paschke </t>
  </si>
  <si>
    <t> BBS 111 </t>
  </si>
  <si>
    <t>2449888.435 </t>
  </si>
  <si>
    <t> 19.06.1995 22:26 </t>
  </si>
  <si>
    <t> -0.263 </t>
  </si>
  <si>
    <t> BBS 109 </t>
  </si>
  <si>
    <t>2449990.318 </t>
  </si>
  <si>
    <t> 29.09.1995 19:37 </t>
  </si>
  <si>
    <t> -0.262 </t>
  </si>
  <si>
    <t> BBS 110 </t>
  </si>
  <si>
    <t>2450598.485 </t>
  </si>
  <si>
    <t> 29.05.1997 23:38 </t>
  </si>
  <si>
    <t> -0.303 </t>
  </si>
  <si>
    <t> BBS 115 </t>
  </si>
  <si>
    <t>2450700.369 </t>
  </si>
  <si>
    <t> 08.09.1997 20:51 </t>
  </si>
  <si>
    <t> -0.302 </t>
  </si>
  <si>
    <t> BBS 116 </t>
  </si>
  <si>
    <t>2453889.5219 </t>
  </si>
  <si>
    <t> 03.06.2006 00:31 </t>
  </si>
  <si>
    <t> -0.3814 </t>
  </si>
  <si>
    <t>C </t>
  </si>
  <si>
    <t>-I</t>
  </si>
  <si>
    <t> K.&amp; M.Rätz </t>
  </si>
  <si>
    <t>BAVM 186 </t>
  </si>
  <si>
    <t>2454275.4998 </t>
  </si>
  <si>
    <t> 23.06.2007 23:59 </t>
  </si>
  <si>
    <t>5763</t>
  </si>
  <si>
    <t> -0.3223 </t>
  </si>
  <si>
    <t> S.Dogru et al. </t>
  </si>
  <si>
    <t>IBVS 5893 </t>
  </si>
  <si>
    <t>2455374.5003 </t>
  </si>
  <si>
    <t> 27.06.2010 00:00 </t>
  </si>
  <si>
    <t>6119</t>
  </si>
  <si>
    <t> -0.4184 </t>
  </si>
  <si>
    <t> F.Agerer </t>
  </si>
  <si>
    <t>BAVM 214 </t>
  </si>
  <si>
    <t>2455726.4459 </t>
  </si>
  <si>
    <t> 13.06.2011 22:42 </t>
  </si>
  <si>
    <t>6233</t>
  </si>
  <si>
    <t> -0.4307 </t>
  </si>
  <si>
    <t> M.Banfi </t>
  </si>
  <si>
    <t>IBVS 5997 </t>
  </si>
  <si>
    <t>2455738.7946 </t>
  </si>
  <si>
    <t> 26.06.2011 07:04 </t>
  </si>
  <si>
    <t>6237</t>
  </si>
  <si>
    <t> -0.4314 </t>
  </si>
  <si>
    <t>IBVS 5992 </t>
  </si>
  <si>
    <t>2456487.4879 </t>
  </si>
  <si>
    <t> 13.07.2013 23:42 </t>
  </si>
  <si>
    <t>6479.5</t>
  </si>
  <si>
    <t> -0.4204 </t>
  </si>
  <si>
    <t>o</t>
  </si>
  <si>
    <t> U.Schmidt </t>
  </si>
  <si>
    <t>BAVM 232 </t>
  </si>
  <si>
    <t>JAVSO..44…69</t>
  </si>
  <si>
    <t>JAVSO..45..121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</si>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</sst>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1" fillId="0" borderId="4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Her - O-C Diagr.</a:t>
            </a:r>
          </a:p>
        </c:rich>
      </c:tx>
      <c:layout>
        <c:manualLayout>
          <c:xMode val="edge"/>
          <c:yMode val="edge"/>
          <c:x val="0.3910539970382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6928854573715"/>
          <c:y val="0.14723926380368099"/>
          <c:w val="0.8369420163437053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-0.32104999999864958</c:v>
                </c:pt>
                <c:pt idx="1">
                  <c:v>-0.41040000000066357</c:v>
                </c:pt>
                <c:pt idx="2">
                  <c:v>-0.31205000000045402</c:v>
                </c:pt>
                <c:pt idx="3">
                  <c:v>-5.8949999998731073E-2</c:v>
                </c:pt>
                <c:pt idx="4">
                  <c:v>-6.9949999997334089E-2</c:v>
                </c:pt>
                <c:pt idx="5">
                  <c:v>-5.3949999997712439E-2</c:v>
                </c:pt>
                <c:pt idx="6">
                  <c:v>-6.1399999998684507E-2</c:v>
                </c:pt>
                <c:pt idx="7">
                  <c:v>-5.5699999997159466E-2</c:v>
                </c:pt>
                <c:pt idx="8">
                  <c:v>3.2500000015716068E-3</c:v>
                </c:pt>
                <c:pt idx="9">
                  <c:v>0</c:v>
                </c:pt>
                <c:pt idx="10">
                  <c:v>-6.6350000000966247E-2</c:v>
                </c:pt>
                <c:pt idx="11">
                  <c:v>-2.9900000001362059E-2</c:v>
                </c:pt>
                <c:pt idx="12">
                  <c:v>-5.0250000000232831E-2</c:v>
                </c:pt>
                <c:pt idx="13">
                  <c:v>9.700000002339948E-3</c:v>
                </c:pt>
                <c:pt idx="14">
                  <c:v>4.9000000006344635E-2</c:v>
                </c:pt>
                <c:pt idx="15">
                  <c:v>3.3450000002630986E-2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3-44B5-932C-D1FFF03B9F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1.2300000002142042E-2</c:v>
                </c:pt>
                <c:pt idx="18">
                  <c:v>-3.1000000017229468E-3</c:v>
                </c:pt>
                <c:pt idx="19">
                  <c:v>7.2000000000116415E-3</c:v>
                </c:pt>
                <c:pt idx="20">
                  <c:v>-1.0650000003806781E-2</c:v>
                </c:pt>
                <c:pt idx="21">
                  <c:v>5.4499999969266355E-3</c:v>
                </c:pt>
                <c:pt idx="22">
                  <c:v>-1.1200000000826549E-2</c:v>
                </c:pt>
                <c:pt idx="23">
                  <c:v>4.7500000073341653E-3</c:v>
                </c:pt>
                <c:pt idx="24">
                  <c:v>-5.1999999996041879E-3</c:v>
                </c:pt>
                <c:pt idx="25">
                  <c:v>-3.8749999999708962E-2</c:v>
                </c:pt>
                <c:pt idx="26">
                  <c:v>-3.8000000000465661E-2</c:v>
                </c:pt>
                <c:pt idx="28">
                  <c:v>-0.19489999999495922</c:v>
                </c:pt>
                <c:pt idx="29">
                  <c:v>-0.20874999999796273</c:v>
                </c:pt>
                <c:pt idx="30">
                  <c:v>-0.21715000000403961</c:v>
                </c:pt>
                <c:pt idx="31">
                  <c:v>-0.23924999999871943</c:v>
                </c:pt>
                <c:pt idx="32">
                  <c:v>-0.2636999999958789</c:v>
                </c:pt>
                <c:pt idx="33">
                  <c:v>-0.26269999999931315</c:v>
                </c:pt>
                <c:pt idx="34">
                  <c:v>-0.26224999999976717</c:v>
                </c:pt>
                <c:pt idx="35">
                  <c:v>-0.30319999999483116</c:v>
                </c:pt>
                <c:pt idx="36">
                  <c:v>-0.30174999999871943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C3-44B5-932C-D1FFF03B9F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7">
                  <c:v>-0.38139999999839347</c:v>
                </c:pt>
                <c:pt idx="39">
                  <c:v>-0.41834999999991851</c:v>
                </c:pt>
                <c:pt idx="42">
                  <c:v>-0.42042499999661231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C3-44B5-932C-D1FFF03B9F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-0.32225000000471482</c:v>
                </c:pt>
                <c:pt idx="40">
                  <c:v>-0.43065000000206055</c:v>
                </c:pt>
                <c:pt idx="41">
                  <c:v>-0.43134999999165302</c:v>
                </c:pt>
                <c:pt idx="43">
                  <c:v>-0.45134999999572756</c:v>
                </c:pt>
                <c:pt idx="44">
                  <c:v>-0.45040000000153668</c:v>
                </c:pt>
                <c:pt idx="45">
                  <c:v>-0.45459999999729916</c:v>
                </c:pt>
                <c:pt idx="46">
                  <c:v>-0.45654999999533175</c:v>
                </c:pt>
                <c:pt idx="47">
                  <c:v>-0.47020000000338769</c:v>
                </c:pt>
                <c:pt idx="48">
                  <c:v>-0.4606500000008964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C3-44B5-932C-D1FFF03B9F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C3-44B5-932C-D1FFF03B9F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C3-44B5-932C-D1FFF03B9F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5.0000000000000001E-3</c:v>
                  </c:pt>
                  <c:pt idx="30">
                    <c:v>6.0000000000000001E-3</c:v>
                  </c:pt>
                  <c:pt idx="31">
                    <c:v>6.0000000000000001E-3</c:v>
                  </c:pt>
                  <c:pt idx="32">
                    <c:v>7.0000000000000001E-3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8.9999999999999998E-4</c:v>
                  </c:pt>
                  <c:pt idx="40">
                    <c:v>6.9999999999999999E-4</c:v>
                  </c:pt>
                  <c:pt idx="41">
                    <c:v>1E-4</c:v>
                  </c:pt>
                  <c:pt idx="42">
                    <c:v>2.3999999999999998E-3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5.9999999999999995E-4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C3-44B5-932C-D1FFF03B9F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0.51874510503191951</c:v>
                </c:pt>
                <c:pt idx="23">
                  <c:v>-2.5372902089575516E-2</c:v>
                </c:pt>
                <c:pt idx="24">
                  <c:v>-6.0306909018186472E-2</c:v>
                </c:pt>
                <c:pt idx="25">
                  <c:v>-6.8924581814899522E-2</c:v>
                </c:pt>
                <c:pt idx="26">
                  <c:v>-7.9580843875351165E-2</c:v>
                </c:pt>
                <c:pt idx="27">
                  <c:v>-0.1908692850458068</c:v>
                </c:pt>
                <c:pt idx="28">
                  <c:v>-0.19207390597437957</c:v>
                </c:pt>
                <c:pt idx="29">
                  <c:v>-0.19309320060624885</c:v>
                </c:pt>
                <c:pt idx="30">
                  <c:v>-0.20273016803483118</c:v>
                </c:pt>
                <c:pt idx="31">
                  <c:v>-0.21440572472715214</c:v>
                </c:pt>
                <c:pt idx="32">
                  <c:v>-0.23358699643596503</c:v>
                </c:pt>
                <c:pt idx="33">
                  <c:v>-0.23358699643596503</c:v>
                </c:pt>
                <c:pt idx="34">
                  <c:v>-0.23664488033157288</c:v>
                </c:pt>
                <c:pt idx="35">
                  <c:v>-0.25489952055686826</c:v>
                </c:pt>
                <c:pt idx="36">
                  <c:v>-0.25795740445247611</c:v>
                </c:pt>
                <c:pt idx="37">
                  <c:v>-0.35367843669983723</c:v>
                </c:pt>
                <c:pt idx="38">
                  <c:v>-0.36526133024380636</c:v>
                </c:pt>
                <c:pt idx="39">
                  <c:v>-0.39824941105703049</c:v>
                </c:pt>
                <c:pt idx="40">
                  <c:v>-0.40881300996913039</c:v>
                </c:pt>
                <c:pt idx="41">
                  <c:v>-0.40918366256253746</c:v>
                </c:pt>
                <c:pt idx="42">
                  <c:v>-0.43165447603783758</c:v>
                </c:pt>
                <c:pt idx="43">
                  <c:v>-0.44309837485927905</c:v>
                </c:pt>
                <c:pt idx="44">
                  <c:v>-0.44411766949114839</c:v>
                </c:pt>
                <c:pt idx="45">
                  <c:v>-0.45579322618346929</c:v>
                </c:pt>
                <c:pt idx="46">
                  <c:v>-0.46644948824392096</c:v>
                </c:pt>
                <c:pt idx="47">
                  <c:v>-0.52047210373299302</c:v>
                </c:pt>
                <c:pt idx="48">
                  <c:v>-0.52908977652970612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C3-44B5-932C-D1FFF03B9F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-3777</c:v>
                </c:pt>
                <c:pt idx="1">
                  <c:v>-3776</c:v>
                </c:pt>
                <c:pt idx="2">
                  <c:v>-3317</c:v>
                </c:pt>
                <c:pt idx="3">
                  <c:v>-2163</c:v>
                </c:pt>
                <c:pt idx="4">
                  <c:v>-1923</c:v>
                </c:pt>
                <c:pt idx="5">
                  <c:v>-1683</c:v>
                </c:pt>
                <c:pt idx="6">
                  <c:v>-896</c:v>
                </c:pt>
                <c:pt idx="7">
                  <c:v>-858</c:v>
                </c:pt>
                <c:pt idx="8">
                  <c:v>-115</c:v>
                </c:pt>
                <c:pt idx="9">
                  <c:v>0</c:v>
                </c:pt>
                <c:pt idx="10">
                  <c:v>81</c:v>
                </c:pt>
                <c:pt idx="11">
                  <c:v>174</c:v>
                </c:pt>
                <c:pt idx="12">
                  <c:v>195</c:v>
                </c:pt>
                <c:pt idx="13">
                  <c:v>238</c:v>
                </c:pt>
                <c:pt idx="14">
                  <c:v>320</c:v>
                </c:pt>
                <c:pt idx="15">
                  <c:v>353</c:v>
                </c:pt>
                <c:pt idx="16">
                  <c:v>373</c:v>
                </c:pt>
                <c:pt idx="17">
                  <c:v>1522</c:v>
                </c:pt>
                <c:pt idx="18">
                  <c:v>1626</c:v>
                </c:pt>
                <c:pt idx="19">
                  <c:v>1648</c:v>
                </c:pt>
                <c:pt idx="20">
                  <c:v>1659</c:v>
                </c:pt>
                <c:pt idx="21">
                  <c:v>1753</c:v>
                </c:pt>
                <c:pt idx="22">
                  <c:v>1992</c:v>
                </c:pt>
                <c:pt idx="23">
                  <c:v>2095</c:v>
                </c:pt>
                <c:pt idx="24">
                  <c:v>2472</c:v>
                </c:pt>
                <c:pt idx="25">
                  <c:v>2565</c:v>
                </c:pt>
                <c:pt idx="26">
                  <c:v>2680</c:v>
                </c:pt>
                <c:pt idx="27">
                  <c:v>3881</c:v>
                </c:pt>
                <c:pt idx="28">
                  <c:v>3894</c:v>
                </c:pt>
                <c:pt idx="29">
                  <c:v>3905</c:v>
                </c:pt>
                <c:pt idx="30">
                  <c:v>4009</c:v>
                </c:pt>
                <c:pt idx="31">
                  <c:v>4135</c:v>
                </c:pt>
                <c:pt idx="32">
                  <c:v>4342</c:v>
                </c:pt>
                <c:pt idx="33">
                  <c:v>4342</c:v>
                </c:pt>
                <c:pt idx="34">
                  <c:v>4375</c:v>
                </c:pt>
                <c:pt idx="35">
                  <c:v>4572</c:v>
                </c:pt>
                <c:pt idx="36">
                  <c:v>4605</c:v>
                </c:pt>
                <c:pt idx="37">
                  <c:v>5638</c:v>
                </c:pt>
                <c:pt idx="38">
                  <c:v>5763</c:v>
                </c:pt>
                <c:pt idx="39">
                  <c:v>6119</c:v>
                </c:pt>
                <c:pt idx="40">
                  <c:v>6233</c:v>
                </c:pt>
                <c:pt idx="41">
                  <c:v>6237</c:v>
                </c:pt>
                <c:pt idx="42">
                  <c:v>6479.5</c:v>
                </c:pt>
                <c:pt idx="43">
                  <c:v>6603</c:v>
                </c:pt>
                <c:pt idx="44">
                  <c:v>6614</c:v>
                </c:pt>
                <c:pt idx="45">
                  <c:v>6740</c:v>
                </c:pt>
                <c:pt idx="46">
                  <c:v>6855</c:v>
                </c:pt>
                <c:pt idx="47">
                  <c:v>7438</c:v>
                </c:pt>
                <c:pt idx="48">
                  <c:v>7531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0.30644999999640277</c:v>
                </c:pt>
                <c:pt idx="27">
                  <c:v>3.8650000002235174E-2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C3-44B5-932C-D1FFF03B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6808"/>
        <c:axId val="1"/>
      </c:scatterChart>
      <c:valAx>
        <c:axId val="26008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242784045934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46350645563244"/>
          <c:y val="0.92024539877300615"/>
          <c:w val="0.6854265944029722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38100</xdr:rowOff>
    </xdr:from>
    <xdr:to>
      <xdr:col>17</xdr:col>
      <xdr:colOff>419100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79F75BD-BE52-F0CA-81E0-03E094787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5893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43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0" width="10.28515625" customWidth="1"/>
    <col min="21" max="21" width="10.28515625" style="55" customWidth="1"/>
  </cols>
  <sheetData>
    <row r="1" spans="1:6" ht="20.25" x14ac:dyDescent="0.3">
      <c r="A1" s="1" t="s">
        <v>57</v>
      </c>
    </row>
    <row r="2" spans="1:6" x14ac:dyDescent="0.2">
      <c r="A2" t="s">
        <v>24</v>
      </c>
      <c r="B2" s="11" t="s">
        <v>56</v>
      </c>
    </row>
    <row r="3" spans="1:6" ht="13.5" thickBot="1" x14ac:dyDescent="0.25"/>
    <row r="4" spans="1:6" ht="14.25" thickTop="1" thickBot="1" x14ac:dyDescent="0.25">
      <c r="A4" s="6" t="s">
        <v>0</v>
      </c>
      <c r="C4" s="3">
        <v>36483.423999999999</v>
      </c>
      <c r="D4" s="4">
        <v>3.0873499999999998</v>
      </c>
    </row>
    <row r="5" spans="1:6" ht="13.5" thickTop="1" x14ac:dyDescent="0.2">
      <c r="A5" s="13" t="s">
        <v>58</v>
      </c>
      <c r="B5" s="14"/>
      <c r="C5" s="15">
        <v>-9.5</v>
      </c>
      <c r="D5" s="14" t="s">
        <v>59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36483.423999999999</v>
      </c>
    </row>
    <row r="8" spans="1:6" x14ac:dyDescent="0.2">
      <c r="A8" t="s">
        <v>3</v>
      </c>
      <c r="C8">
        <f>+D4</f>
        <v>3.0873499999999998</v>
      </c>
    </row>
    <row r="9" spans="1:6" x14ac:dyDescent="0.2">
      <c r="A9" s="28" t="s">
        <v>66</v>
      </c>
      <c r="B9" s="29">
        <v>44</v>
      </c>
      <c r="C9" s="27" t="str">
        <f>"F"&amp;B9</f>
        <v>F44</v>
      </c>
      <c r="D9" s="9" t="str">
        <f>"G"&amp;B9</f>
        <v>G44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26">
        <f ca="1">INTERCEPT(INDIRECT($D$9):G992,INDIRECT($C$9):F992)</f>
        <v>0.16875639370734752</v>
      </c>
      <c r="D11" s="16"/>
      <c r="E11" s="14"/>
    </row>
    <row r="12" spans="1:6" x14ac:dyDescent="0.2">
      <c r="A12" s="14" t="s">
        <v>17</v>
      </c>
      <c r="B12" s="14"/>
      <c r="C12" s="26">
        <f ca="1">SLOPE(INDIRECT($D$9):G992,INDIRECT($C$9):F992)</f>
        <v>-9.2663148351753235E-5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(C7+C11)+(C8+C12)*INT(MAX(F21:F3533))</f>
        <v>59733.727760223468</v>
      </c>
      <c r="E15" s="19" t="s">
        <v>67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3.087257336851648</v>
      </c>
      <c r="E16" s="19" t="s">
        <v>60</v>
      </c>
      <c r="F16" s="20">
        <f ca="1">NOW()+15018.5+$C$5/24</f>
        <v>59958.790829282407</v>
      </c>
    </row>
    <row r="17" spans="1:21" ht="13.5" thickBot="1" x14ac:dyDescent="0.25">
      <c r="A17" s="19" t="s">
        <v>55</v>
      </c>
      <c r="B17" s="14"/>
      <c r="C17" s="14">
        <f>COUNT(C21:C2191)</f>
        <v>49</v>
      </c>
      <c r="E17" s="19" t="s">
        <v>68</v>
      </c>
      <c r="F17" s="20">
        <f ca="1">ROUND(2*(F16-$C$7)/$C$8,0)/2+F15</f>
        <v>7604.5</v>
      </c>
    </row>
    <row r="18" spans="1:21" ht="14.25" thickTop="1" thickBot="1" x14ac:dyDescent="0.25">
      <c r="A18" s="21" t="s">
        <v>5</v>
      </c>
      <c r="B18" s="14"/>
      <c r="C18" s="24">
        <f ca="1">+C15</f>
        <v>59733.727760223468</v>
      </c>
      <c r="D18" s="25">
        <f ca="1">+C16</f>
        <v>3.087257336851648</v>
      </c>
      <c r="E18" s="19" t="s">
        <v>61</v>
      </c>
      <c r="F18" s="9">
        <f ca="1">ROUND(2*(F16-$C$15)/$C$16,0)/2+F15</f>
        <v>74</v>
      </c>
    </row>
    <row r="19" spans="1:21" ht="13.5" thickTop="1" x14ac:dyDescent="0.2">
      <c r="E19" s="19" t="s">
        <v>62</v>
      </c>
      <c r="F19" s="23">
        <f ca="1">+$C$15+$C$16*F18-15018.5-$C$5/24</f>
        <v>44944.080636483828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81</v>
      </c>
      <c r="I20" s="8" t="s">
        <v>84</v>
      </c>
      <c r="J20" s="8" t="s">
        <v>78</v>
      </c>
      <c r="K20" s="8" t="s">
        <v>76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6" t="s">
        <v>72</v>
      </c>
    </row>
    <row r="21" spans="1:21" x14ac:dyDescent="0.2">
      <c r="A21" s="52" t="s">
        <v>91</v>
      </c>
      <c r="B21" s="54" t="s">
        <v>65</v>
      </c>
      <c r="C21" s="53">
        <v>24822.182000000001</v>
      </c>
      <c r="D21" s="53" t="s">
        <v>84</v>
      </c>
      <c r="E21">
        <f t="shared" ref="E21:E49" si="0">+(C21-C$7)/C$8</f>
        <v>-3777.1039888577579</v>
      </c>
      <c r="F21">
        <f t="shared" ref="F21:F49" si="1">ROUND(2*E21,0)/2</f>
        <v>-3777</v>
      </c>
      <c r="G21">
        <f t="shared" ref="G21:G36" si="2">+C21-(C$7+F21*C$8)</f>
        <v>-0.32104999999864958</v>
      </c>
      <c r="H21">
        <f t="shared" ref="H21:H36" si="3">+G21</f>
        <v>-0.32104999999864958</v>
      </c>
      <c r="O21">
        <f ca="1">+C$11+C$12*F21</f>
        <v>0.51874510503191951</v>
      </c>
      <c r="Q21" s="2">
        <f t="shared" ref="Q21:Q49" si="4">+C21-15018.5</f>
        <v>9803.6820000000007</v>
      </c>
    </row>
    <row r="22" spans="1:21" x14ac:dyDescent="0.2">
      <c r="A22" s="52" t="s">
        <v>91</v>
      </c>
      <c r="B22" s="54" t="s">
        <v>65</v>
      </c>
      <c r="C22" s="53">
        <v>24825.18</v>
      </c>
      <c r="D22" s="53" t="s">
        <v>84</v>
      </c>
      <c r="E22">
        <f t="shared" si="0"/>
        <v>-3776.1329295350379</v>
      </c>
      <c r="F22">
        <f t="shared" si="1"/>
        <v>-3776</v>
      </c>
      <c r="G22">
        <f t="shared" si="2"/>
        <v>-0.41040000000066357</v>
      </c>
      <c r="H22">
        <f t="shared" si="3"/>
        <v>-0.41040000000066357</v>
      </c>
      <c r="Q22" s="2">
        <f t="shared" si="4"/>
        <v>9806.68</v>
      </c>
    </row>
    <row r="23" spans="1:21" x14ac:dyDescent="0.2">
      <c r="A23" s="52" t="s">
        <v>100</v>
      </c>
      <c r="B23" s="54" t="s">
        <v>65</v>
      </c>
      <c r="C23" s="53">
        <v>26242.371999999999</v>
      </c>
      <c r="D23" s="53" t="s">
        <v>84</v>
      </c>
      <c r="E23">
        <f t="shared" si="0"/>
        <v>-3317.1010737363758</v>
      </c>
      <c r="F23">
        <f t="shared" si="1"/>
        <v>-3317</v>
      </c>
      <c r="G23">
        <f t="shared" si="2"/>
        <v>-0.31205000000045402</v>
      </c>
      <c r="H23">
        <f t="shared" si="3"/>
        <v>-0.31205000000045402</v>
      </c>
      <c r="Q23" s="2">
        <f t="shared" si="4"/>
        <v>11223.871999999999</v>
      </c>
    </row>
    <row r="24" spans="1:21" x14ac:dyDescent="0.2">
      <c r="A24" s="52" t="s">
        <v>105</v>
      </c>
      <c r="B24" s="54" t="s">
        <v>65</v>
      </c>
      <c r="C24" s="53">
        <v>29805.427</v>
      </c>
      <c r="D24" s="53" t="s">
        <v>84</v>
      </c>
      <c r="E24">
        <f t="shared" si="0"/>
        <v>-2163.0190940450548</v>
      </c>
      <c r="F24">
        <f t="shared" si="1"/>
        <v>-2163</v>
      </c>
      <c r="G24">
        <f t="shared" si="2"/>
        <v>-5.8949999998731073E-2</v>
      </c>
      <c r="H24">
        <f t="shared" si="3"/>
        <v>-5.8949999998731073E-2</v>
      </c>
      <c r="Q24" s="2">
        <f t="shared" si="4"/>
        <v>14786.927</v>
      </c>
    </row>
    <row r="25" spans="1:21" x14ac:dyDescent="0.2">
      <c r="A25" s="52" t="s">
        <v>105</v>
      </c>
      <c r="B25" s="54" t="s">
        <v>65</v>
      </c>
      <c r="C25" s="53">
        <v>30546.38</v>
      </c>
      <c r="D25" s="53" t="s">
        <v>84</v>
      </c>
      <c r="E25">
        <f t="shared" si="0"/>
        <v>-1923.0226569711883</v>
      </c>
      <c r="F25">
        <f t="shared" si="1"/>
        <v>-1923</v>
      </c>
      <c r="G25">
        <f t="shared" si="2"/>
        <v>-6.9949999997334089E-2</v>
      </c>
      <c r="H25">
        <f t="shared" si="3"/>
        <v>-6.9949999997334089E-2</v>
      </c>
      <c r="Q25" s="2">
        <f t="shared" si="4"/>
        <v>15527.880000000001</v>
      </c>
    </row>
    <row r="26" spans="1:21" x14ac:dyDescent="0.2">
      <c r="A26" s="52" t="s">
        <v>113</v>
      </c>
      <c r="B26" s="54" t="s">
        <v>65</v>
      </c>
      <c r="C26" s="53">
        <v>31287.360000000001</v>
      </c>
      <c r="D26" s="53" t="s">
        <v>84</v>
      </c>
      <c r="E26">
        <f t="shared" si="0"/>
        <v>-1683.0174745331753</v>
      </c>
      <c r="F26">
        <f t="shared" si="1"/>
        <v>-1683</v>
      </c>
      <c r="G26">
        <f t="shared" si="2"/>
        <v>-5.3949999997712439E-2</v>
      </c>
      <c r="H26">
        <f t="shared" si="3"/>
        <v>-5.3949999997712439E-2</v>
      </c>
      <c r="Q26" s="2">
        <f t="shared" si="4"/>
        <v>16268.86</v>
      </c>
    </row>
    <row r="27" spans="1:21" x14ac:dyDescent="0.2">
      <c r="A27" s="52" t="s">
        <v>105</v>
      </c>
      <c r="B27" s="54" t="s">
        <v>65</v>
      </c>
      <c r="C27" s="53">
        <v>33717.097000000002</v>
      </c>
      <c r="D27" s="53" t="s">
        <v>84</v>
      </c>
      <c r="E27">
        <f t="shared" si="0"/>
        <v>-896.01988760587483</v>
      </c>
      <c r="F27">
        <f t="shared" si="1"/>
        <v>-896</v>
      </c>
      <c r="G27">
        <f t="shared" si="2"/>
        <v>-6.1399999998684507E-2</v>
      </c>
      <c r="H27">
        <f t="shared" si="3"/>
        <v>-6.1399999998684507E-2</v>
      </c>
      <c r="Q27" s="2">
        <f t="shared" si="4"/>
        <v>18698.597000000002</v>
      </c>
    </row>
    <row r="28" spans="1:21" x14ac:dyDescent="0.2">
      <c r="A28" s="52" t="s">
        <v>105</v>
      </c>
      <c r="B28" s="54" t="s">
        <v>65</v>
      </c>
      <c r="C28" s="53">
        <v>33834.421999999999</v>
      </c>
      <c r="D28" s="53" t="s">
        <v>84</v>
      </c>
      <c r="E28">
        <f t="shared" si="0"/>
        <v>-858.01804136233352</v>
      </c>
      <c r="F28">
        <f t="shared" si="1"/>
        <v>-858</v>
      </c>
      <c r="G28">
        <f t="shared" si="2"/>
        <v>-5.5699999997159466E-2</v>
      </c>
      <c r="H28">
        <f t="shared" si="3"/>
        <v>-5.5699999997159466E-2</v>
      </c>
      <c r="Q28" s="2">
        <f t="shared" si="4"/>
        <v>18815.921999999999</v>
      </c>
    </row>
    <row r="29" spans="1:21" x14ac:dyDescent="0.2">
      <c r="A29" s="52" t="s">
        <v>123</v>
      </c>
      <c r="B29" s="54" t="s">
        <v>65</v>
      </c>
      <c r="C29" s="53">
        <v>36128.381999999998</v>
      </c>
      <c r="D29" s="53" t="s">
        <v>84</v>
      </c>
      <c r="E29">
        <f t="shared" si="0"/>
        <v>-114.99894731727899</v>
      </c>
      <c r="F29">
        <f t="shared" si="1"/>
        <v>-115</v>
      </c>
      <c r="G29">
        <f t="shared" si="2"/>
        <v>3.2500000015716068E-3</v>
      </c>
      <c r="H29">
        <f t="shared" si="3"/>
        <v>3.2500000015716068E-3</v>
      </c>
      <c r="Q29" s="2">
        <f t="shared" si="4"/>
        <v>21109.881999999998</v>
      </c>
    </row>
    <row r="30" spans="1:21" x14ac:dyDescent="0.2">
      <c r="A30" t="s">
        <v>12</v>
      </c>
      <c r="C30" s="12">
        <v>36483.423999999999</v>
      </c>
      <c r="D30" s="12" t="s">
        <v>14</v>
      </c>
      <c r="E30">
        <f t="shared" si="0"/>
        <v>0</v>
      </c>
      <c r="F30">
        <f t="shared" si="1"/>
        <v>0</v>
      </c>
      <c r="G30">
        <f t="shared" si="2"/>
        <v>0</v>
      </c>
      <c r="H30">
        <f t="shared" si="3"/>
        <v>0</v>
      </c>
      <c r="Q30" s="2">
        <f t="shared" si="4"/>
        <v>21464.923999999999</v>
      </c>
    </row>
    <row r="31" spans="1:21" x14ac:dyDescent="0.2">
      <c r="A31" s="52" t="s">
        <v>105</v>
      </c>
      <c r="B31" s="54" t="s">
        <v>65</v>
      </c>
      <c r="C31" s="53">
        <v>36733.432999999997</v>
      </c>
      <c r="D31" s="53" t="s">
        <v>84</v>
      </c>
      <c r="E31">
        <f t="shared" si="0"/>
        <v>80.978509077363498</v>
      </c>
      <c r="F31">
        <f t="shared" si="1"/>
        <v>81</v>
      </c>
      <c r="G31">
        <f t="shared" si="2"/>
        <v>-6.6350000000966247E-2</v>
      </c>
      <c r="H31">
        <f t="shared" si="3"/>
        <v>-6.6350000000966247E-2</v>
      </c>
      <c r="Q31" s="2">
        <f t="shared" si="4"/>
        <v>21714.932999999997</v>
      </c>
    </row>
    <row r="32" spans="1:21" x14ac:dyDescent="0.2">
      <c r="A32" s="52" t="s">
        <v>134</v>
      </c>
      <c r="B32" s="54" t="s">
        <v>65</v>
      </c>
      <c r="C32" s="53">
        <v>37020.593000000001</v>
      </c>
      <c r="D32" s="53" t="s">
        <v>84</v>
      </c>
      <c r="E32">
        <f t="shared" si="0"/>
        <v>173.99031531896341</v>
      </c>
      <c r="F32">
        <f t="shared" si="1"/>
        <v>174</v>
      </c>
      <c r="G32">
        <f t="shared" si="2"/>
        <v>-2.9900000001362059E-2</v>
      </c>
      <c r="H32">
        <f t="shared" si="3"/>
        <v>-2.9900000001362059E-2</v>
      </c>
      <c r="Q32" s="2">
        <f t="shared" si="4"/>
        <v>22002.093000000001</v>
      </c>
    </row>
    <row r="33" spans="1:32" x14ac:dyDescent="0.2">
      <c r="A33" s="52" t="s">
        <v>105</v>
      </c>
      <c r="B33" s="54" t="s">
        <v>65</v>
      </c>
      <c r="C33" s="53">
        <v>37085.406999999999</v>
      </c>
      <c r="D33" s="53" t="s">
        <v>84</v>
      </c>
      <c r="E33">
        <f t="shared" si="0"/>
        <v>194.98372390561491</v>
      </c>
      <c r="F33">
        <f t="shared" si="1"/>
        <v>195</v>
      </c>
      <c r="G33">
        <f t="shared" si="2"/>
        <v>-5.0250000000232831E-2</v>
      </c>
      <c r="H33">
        <f t="shared" si="3"/>
        <v>-5.0250000000232831E-2</v>
      </c>
      <c r="Q33" s="2">
        <f t="shared" si="4"/>
        <v>22066.906999999999</v>
      </c>
    </row>
    <row r="34" spans="1:32" x14ac:dyDescent="0.2">
      <c r="A34" s="52" t="s">
        <v>134</v>
      </c>
      <c r="B34" s="54" t="s">
        <v>65</v>
      </c>
      <c r="C34" s="53">
        <v>37218.222999999998</v>
      </c>
      <c r="D34" s="53" t="s">
        <v>84</v>
      </c>
      <c r="E34">
        <f t="shared" si="0"/>
        <v>238.00314185304521</v>
      </c>
      <c r="F34">
        <f t="shared" si="1"/>
        <v>238</v>
      </c>
      <c r="G34">
        <f t="shared" si="2"/>
        <v>9.700000002339948E-3</v>
      </c>
      <c r="H34">
        <f t="shared" si="3"/>
        <v>9.700000002339948E-3</v>
      </c>
      <c r="Q34" s="2">
        <f t="shared" si="4"/>
        <v>22199.722999999998</v>
      </c>
    </row>
    <row r="35" spans="1:32" x14ac:dyDescent="0.2">
      <c r="A35" s="52" t="s">
        <v>105</v>
      </c>
      <c r="B35" s="54" t="s">
        <v>65</v>
      </c>
      <c r="C35" s="53">
        <v>37471.425000000003</v>
      </c>
      <c r="D35" s="53" t="s">
        <v>84</v>
      </c>
      <c r="E35">
        <f t="shared" si="0"/>
        <v>320.01587121641666</v>
      </c>
      <c r="F35">
        <f t="shared" si="1"/>
        <v>320</v>
      </c>
      <c r="G35">
        <f t="shared" si="2"/>
        <v>4.9000000006344635E-2</v>
      </c>
      <c r="H35">
        <f t="shared" si="3"/>
        <v>4.9000000006344635E-2</v>
      </c>
      <c r="Q35" s="2">
        <f t="shared" si="4"/>
        <v>22452.925000000003</v>
      </c>
    </row>
    <row r="36" spans="1:32" x14ac:dyDescent="0.2">
      <c r="A36" s="52" t="s">
        <v>105</v>
      </c>
      <c r="B36" s="54" t="s">
        <v>65</v>
      </c>
      <c r="C36" s="53">
        <v>37573.292000000001</v>
      </c>
      <c r="D36" s="53" t="s">
        <v>84</v>
      </c>
      <c r="E36">
        <f t="shared" si="0"/>
        <v>353.01083453447205</v>
      </c>
      <c r="F36">
        <f t="shared" si="1"/>
        <v>353</v>
      </c>
      <c r="G36">
        <f t="shared" si="2"/>
        <v>3.3450000002630986E-2</v>
      </c>
      <c r="H36">
        <f t="shared" si="3"/>
        <v>3.3450000002630986E-2</v>
      </c>
      <c r="Q36" s="2">
        <f t="shared" si="4"/>
        <v>22554.792000000001</v>
      </c>
    </row>
    <row r="37" spans="1:32" x14ac:dyDescent="0.2">
      <c r="A37" s="52" t="s">
        <v>134</v>
      </c>
      <c r="B37" s="54" t="s">
        <v>65</v>
      </c>
      <c r="C37" s="53">
        <v>37635.311999999998</v>
      </c>
      <c r="D37" s="53" t="s">
        <v>84</v>
      </c>
      <c r="E37">
        <f t="shared" si="0"/>
        <v>373.09925988307094</v>
      </c>
      <c r="F37">
        <f t="shared" si="1"/>
        <v>373</v>
      </c>
      <c r="Q37" s="2">
        <f t="shared" si="4"/>
        <v>22616.811999999998</v>
      </c>
      <c r="U37" s="55">
        <f>+C37-(C$7+F37*C$8)</f>
        <v>0.30644999999640277</v>
      </c>
    </row>
    <row r="38" spans="1:32" x14ac:dyDescent="0.2">
      <c r="A38" t="s">
        <v>29</v>
      </c>
      <c r="C38" s="12">
        <v>41182.383000000002</v>
      </c>
      <c r="D38" s="12"/>
      <c r="E38">
        <f t="shared" si="0"/>
        <v>1522.0039839992235</v>
      </c>
      <c r="F38">
        <f t="shared" si="1"/>
        <v>1522</v>
      </c>
      <c r="G38">
        <f t="shared" ref="G38:G47" si="5">+C38-(C$7+F38*C$8)</f>
        <v>1.2300000002142042E-2</v>
      </c>
      <c r="I38">
        <f t="shared" ref="I38:I47" si="6">+G38</f>
        <v>1.2300000002142042E-2</v>
      </c>
      <c r="Q38" s="2">
        <f t="shared" si="4"/>
        <v>26163.883000000002</v>
      </c>
      <c r="AB38">
        <v>10</v>
      </c>
      <c r="AD38" t="s">
        <v>28</v>
      </c>
      <c r="AF38" t="s">
        <v>30</v>
      </c>
    </row>
    <row r="39" spans="1:32" x14ac:dyDescent="0.2">
      <c r="A39" t="s">
        <v>32</v>
      </c>
      <c r="C39" s="12">
        <v>41503.451999999997</v>
      </c>
      <c r="D39" s="12"/>
      <c r="E39">
        <f t="shared" si="0"/>
        <v>1625.9989959026345</v>
      </c>
      <c r="F39">
        <f t="shared" si="1"/>
        <v>1626</v>
      </c>
      <c r="G39">
        <f t="shared" si="5"/>
        <v>-3.1000000017229468E-3</v>
      </c>
      <c r="I39">
        <f t="shared" si="6"/>
        <v>-3.1000000017229468E-3</v>
      </c>
      <c r="Q39" s="2">
        <f t="shared" si="4"/>
        <v>26484.951999999997</v>
      </c>
      <c r="AA39" t="s">
        <v>31</v>
      </c>
      <c r="AB39">
        <v>13</v>
      </c>
      <c r="AD39" t="s">
        <v>28</v>
      </c>
      <c r="AF39" t="s">
        <v>30</v>
      </c>
    </row>
    <row r="40" spans="1:32" x14ac:dyDescent="0.2">
      <c r="A40" t="s">
        <v>33</v>
      </c>
      <c r="C40" s="12">
        <v>41571.383999999998</v>
      </c>
      <c r="D40" s="12"/>
      <c r="E40">
        <f t="shared" si="0"/>
        <v>1648.0023320971056</v>
      </c>
      <c r="F40">
        <f t="shared" si="1"/>
        <v>1648</v>
      </c>
      <c r="G40">
        <f t="shared" si="5"/>
        <v>7.2000000000116415E-3</v>
      </c>
      <c r="I40">
        <f t="shared" si="6"/>
        <v>7.2000000000116415E-3</v>
      </c>
      <c r="Q40" s="2">
        <f t="shared" si="4"/>
        <v>26552.883999999998</v>
      </c>
      <c r="AA40" t="s">
        <v>31</v>
      </c>
      <c r="AB40">
        <v>14</v>
      </c>
      <c r="AD40" t="s">
        <v>28</v>
      </c>
      <c r="AF40" t="s">
        <v>30</v>
      </c>
    </row>
    <row r="41" spans="1:32" x14ac:dyDescent="0.2">
      <c r="A41" t="s">
        <v>34</v>
      </c>
      <c r="C41" s="12">
        <v>41605.326999999997</v>
      </c>
      <c r="D41" s="12"/>
      <c r="E41">
        <f t="shared" si="0"/>
        <v>1658.9965504396971</v>
      </c>
      <c r="F41">
        <f t="shared" si="1"/>
        <v>1659</v>
      </c>
      <c r="G41">
        <f t="shared" si="5"/>
        <v>-1.0650000003806781E-2</v>
      </c>
      <c r="I41">
        <f t="shared" si="6"/>
        <v>-1.0650000003806781E-2</v>
      </c>
      <c r="Q41" s="2">
        <f t="shared" si="4"/>
        <v>26586.826999999997</v>
      </c>
      <c r="AA41" t="s">
        <v>31</v>
      </c>
      <c r="AB41">
        <v>12</v>
      </c>
      <c r="AD41" t="s">
        <v>28</v>
      </c>
      <c r="AF41" t="s">
        <v>30</v>
      </c>
    </row>
    <row r="42" spans="1:32" x14ac:dyDescent="0.2">
      <c r="A42" t="s">
        <v>35</v>
      </c>
      <c r="C42" s="12">
        <v>41895.553999999996</v>
      </c>
      <c r="D42" s="12"/>
      <c r="E42">
        <f t="shared" si="0"/>
        <v>1753.0017652679476</v>
      </c>
      <c r="F42">
        <f t="shared" si="1"/>
        <v>1753</v>
      </c>
      <c r="G42">
        <f t="shared" si="5"/>
        <v>5.4499999969266355E-3</v>
      </c>
      <c r="I42">
        <f t="shared" si="6"/>
        <v>5.4499999969266355E-3</v>
      </c>
      <c r="Q42" s="2">
        <f t="shared" si="4"/>
        <v>26877.053999999996</v>
      </c>
      <c r="AA42" t="s">
        <v>31</v>
      </c>
      <c r="AB42">
        <v>12</v>
      </c>
      <c r="AD42" t="s">
        <v>28</v>
      </c>
      <c r="AF42" t="s">
        <v>30</v>
      </c>
    </row>
    <row r="43" spans="1:32" x14ac:dyDescent="0.2">
      <c r="A43" t="s">
        <v>37</v>
      </c>
      <c r="C43" s="12">
        <v>42633.413999999997</v>
      </c>
      <c r="D43" s="12"/>
      <c r="E43">
        <f t="shared" si="0"/>
        <v>1991.9963722933903</v>
      </c>
      <c r="F43">
        <f t="shared" si="1"/>
        <v>1992</v>
      </c>
      <c r="G43">
        <f t="shared" si="5"/>
        <v>-1.1200000000826549E-2</v>
      </c>
      <c r="I43">
        <f t="shared" si="6"/>
        <v>-1.1200000000826549E-2</v>
      </c>
      <c r="Q43" s="2">
        <f t="shared" si="4"/>
        <v>27614.913999999997</v>
      </c>
      <c r="AA43" t="s">
        <v>31</v>
      </c>
      <c r="AB43">
        <v>8</v>
      </c>
      <c r="AD43" t="s">
        <v>36</v>
      </c>
      <c r="AF43" t="s">
        <v>30</v>
      </c>
    </row>
    <row r="44" spans="1:32" x14ac:dyDescent="0.2">
      <c r="A44" t="s">
        <v>38</v>
      </c>
      <c r="C44" s="12">
        <v>42951.427000000003</v>
      </c>
      <c r="D44" s="12"/>
      <c r="E44">
        <f t="shared" si="0"/>
        <v>2095.0015385362867</v>
      </c>
      <c r="F44">
        <f t="shared" si="1"/>
        <v>2095</v>
      </c>
      <c r="G44">
        <f t="shared" si="5"/>
        <v>4.7500000073341653E-3</v>
      </c>
      <c r="I44">
        <f t="shared" si="6"/>
        <v>4.7500000073341653E-3</v>
      </c>
      <c r="O44">
        <f t="shared" ref="O44:O67" ca="1" si="7">+C$11+C$12*F44</f>
        <v>-2.5372902089575516E-2</v>
      </c>
      <c r="Q44" s="2">
        <f t="shared" si="4"/>
        <v>27932.927000000003</v>
      </c>
      <c r="AA44" t="s">
        <v>31</v>
      </c>
      <c r="AB44">
        <v>9</v>
      </c>
      <c r="AD44" t="s">
        <v>28</v>
      </c>
      <c r="AF44" t="s">
        <v>30</v>
      </c>
    </row>
    <row r="45" spans="1:32" x14ac:dyDescent="0.2">
      <c r="A45" t="s">
        <v>39</v>
      </c>
      <c r="C45" s="12">
        <v>44115.347999999998</v>
      </c>
      <c r="D45" s="12"/>
      <c r="E45">
        <f t="shared" si="0"/>
        <v>2471.9983157076454</v>
      </c>
      <c r="F45">
        <f t="shared" si="1"/>
        <v>2472</v>
      </c>
      <c r="G45">
        <f t="shared" si="5"/>
        <v>-5.1999999996041879E-3</v>
      </c>
      <c r="I45">
        <f t="shared" si="6"/>
        <v>-5.1999999996041879E-3</v>
      </c>
      <c r="O45">
        <f t="shared" ca="1" si="7"/>
        <v>-6.0306909018186472E-2</v>
      </c>
      <c r="Q45" s="2">
        <f t="shared" si="4"/>
        <v>29096.847999999998</v>
      </c>
      <c r="AA45" t="s">
        <v>31</v>
      </c>
      <c r="AB45">
        <v>8</v>
      </c>
      <c r="AD45" t="s">
        <v>28</v>
      </c>
      <c r="AF45" t="s">
        <v>30</v>
      </c>
    </row>
    <row r="46" spans="1:32" x14ac:dyDescent="0.2">
      <c r="A46" t="s">
        <v>40</v>
      </c>
      <c r="C46" s="12">
        <v>44402.438000000002</v>
      </c>
      <c r="D46" s="12"/>
      <c r="E46">
        <f t="shared" si="0"/>
        <v>2564.9874487829379</v>
      </c>
      <c r="F46">
        <f t="shared" si="1"/>
        <v>2565</v>
      </c>
      <c r="G46">
        <f t="shared" si="5"/>
        <v>-3.8749999999708962E-2</v>
      </c>
      <c r="I46">
        <f t="shared" si="6"/>
        <v>-3.8749999999708962E-2</v>
      </c>
      <c r="O46">
        <f t="shared" ca="1" si="7"/>
        <v>-6.8924581814899522E-2</v>
      </c>
      <c r="Q46" s="2">
        <f t="shared" si="4"/>
        <v>29383.938000000002</v>
      </c>
      <c r="AA46" t="s">
        <v>31</v>
      </c>
      <c r="AB46">
        <v>11</v>
      </c>
      <c r="AD46" t="s">
        <v>28</v>
      </c>
      <c r="AF46" t="s">
        <v>30</v>
      </c>
    </row>
    <row r="47" spans="1:32" x14ac:dyDescent="0.2">
      <c r="A47" t="s">
        <v>41</v>
      </c>
      <c r="C47" s="12">
        <v>44757.483999999997</v>
      </c>
      <c r="D47" s="12"/>
      <c r="E47">
        <f t="shared" si="0"/>
        <v>2679.9876917097181</v>
      </c>
      <c r="F47">
        <f t="shared" si="1"/>
        <v>2680</v>
      </c>
      <c r="G47">
        <f t="shared" si="5"/>
        <v>-3.8000000000465661E-2</v>
      </c>
      <c r="I47">
        <f t="shared" si="6"/>
        <v>-3.8000000000465661E-2</v>
      </c>
      <c r="O47">
        <f t="shared" ca="1" si="7"/>
        <v>-7.9580843875351165E-2</v>
      </c>
      <c r="Q47" s="2">
        <f t="shared" si="4"/>
        <v>29738.983999999997</v>
      </c>
      <c r="AA47" t="s">
        <v>31</v>
      </c>
      <c r="AB47">
        <v>12</v>
      </c>
      <c r="AD47" t="s">
        <v>28</v>
      </c>
      <c r="AF47" t="s">
        <v>30</v>
      </c>
    </row>
    <row r="48" spans="1:32" x14ac:dyDescent="0.2">
      <c r="A48" t="s">
        <v>43</v>
      </c>
      <c r="B48" s="9" t="s">
        <v>54</v>
      </c>
      <c r="C48" s="12">
        <v>48465.468000000001</v>
      </c>
      <c r="D48" s="12">
        <v>7.0000000000000001E-3</v>
      </c>
      <c r="E48">
        <f t="shared" si="0"/>
        <v>3881.0125188268262</v>
      </c>
      <c r="F48">
        <f t="shared" si="1"/>
        <v>3881</v>
      </c>
      <c r="O48">
        <f t="shared" ca="1" si="7"/>
        <v>-0.1908692850458068</v>
      </c>
      <c r="Q48" s="2">
        <f t="shared" si="4"/>
        <v>33446.968000000001</v>
      </c>
      <c r="U48" s="55">
        <v>3.8650000002235174E-2</v>
      </c>
      <c r="AA48" t="s">
        <v>31</v>
      </c>
      <c r="AB48">
        <v>5</v>
      </c>
      <c r="AD48" t="s">
        <v>42</v>
      </c>
      <c r="AF48" t="s">
        <v>30</v>
      </c>
    </row>
    <row r="49" spans="1:32" x14ac:dyDescent="0.2">
      <c r="A49" t="s">
        <v>44</v>
      </c>
      <c r="C49" s="12">
        <v>48505.37</v>
      </c>
      <c r="D49" s="12">
        <v>8.0000000000000002E-3</v>
      </c>
      <c r="E49">
        <f t="shared" si="0"/>
        <v>3893.9368714269531</v>
      </c>
      <c r="F49">
        <f t="shared" si="1"/>
        <v>3894</v>
      </c>
      <c r="G49">
        <f t="shared" ref="G49:G67" si="8">+C49-(C$7+F49*C$8)</f>
        <v>-0.19489999999495922</v>
      </c>
      <c r="I49">
        <f t="shared" ref="I49:I57" si="9">+G49</f>
        <v>-0.19489999999495922</v>
      </c>
      <c r="O49">
        <f t="shared" ca="1" si="7"/>
        <v>-0.19207390597437957</v>
      </c>
      <c r="Q49" s="2">
        <f t="shared" si="4"/>
        <v>33486.870000000003</v>
      </c>
      <c r="AA49" t="s">
        <v>31</v>
      </c>
      <c r="AB49">
        <v>8</v>
      </c>
      <c r="AD49" t="s">
        <v>28</v>
      </c>
      <c r="AF49" t="s">
        <v>30</v>
      </c>
    </row>
    <row r="50" spans="1:32" x14ac:dyDescent="0.2">
      <c r="A50" t="s">
        <v>44</v>
      </c>
      <c r="C50" s="12">
        <v>48539.317000000003</v>
      </c>
      <c r="D50" s="12">
        <v>5.0000000000000001E-3</v>
      </c>
      <c r="E50">
        <f t="shared" ref="E50:E67" si="10">+(C50-C$7)/C$8</f>
        <v>3904.9323853790484</v>
      </c>
      <c r="F50">
        <f t="shared" ref="F50:F67" si="11">ROUND(2*E50,0)/2</f>
        <v>3905</v>
      </c>
      <c r="G50">
        <f t="shared" si="8"/>
        <v>-0.20874999999796273</v>
      </c>
      <c r="I50">
        <f t="shared" si="9"/>
        <v>-0.20874999999796273</v>
      </c>
      <c r="O50">
        <f t="shared" ca="1" si="7"/>
        <v>-0.19309320060624885</v>
      </c>
      <c r="Q50" s="2">
        <f t="shared" ref="Q50:Q67" si="12">+C50-15018.5</f>
        <v>33520.817000000003</v>
      </c>
      <c r="AA50" t="s">
        <v>31</v>
      </c>
      <c r="AB50">
        <v>10</v>
      </c>
      <c r="AD50" t="s">
        <v>28</v>
      </c>
      <c r="AF50" t="s">
        <v>30</v>
      </c>
    </row>
    <row r="51" spans="1:32" x14ac:dyDescent="0.2">
      <c r="A51" t="s">
        <v>45</v>
      </c>
      <c r="C51" s="12">
        <v>48860.392999999996</v>
      </c>
      <c r="D51" s="12">
        <v>6.0000000000000001E-3</v>
      </c>
      <c r="E51">
        <f t="shared" si="10"/>
        <v>4008.9296645990894</v>
      </c>
      <c r="F51">
        <f t="shared" si="11"/>
        <v>4009</v>
      </c>
      <c r="G51">
        <f t="shared" si="8"/>
        <v>-0.21715000000403961</v>
      </c>
      <c r="I51">
        <f t="shared" si="9"/>
        <v>-0.21715000000403961</v>
      </c>
      <c r="O51">
        <f t="shared" ca="1" si="7"/>
        <v>-0.20273016803483118</v>
      </c>
      <c r="Q51" s="2">
        <f t="shared" si="12"/>
        <v>33841.892999999996</v>
      </c>
      <c r="AA51" t="s">
        <v>31</v>
      </c>
      <c r="AB51">
        <v>9</v>
      </c>
      <c r="AD51" t="s">
        <v>28</v>
      </c>
      <c r="AF51" t="s">
        <v>30</v>
      </c>
    </row>
    <row r="52" spans="1:32" x14ac:dyDescent="0.2">
      <c r="A52" t="s">
        <v>46</v>
      </c>
      <c r="C52" s="12">
        <v>49249.377</v>
      </c>
      <c r="D52" s="12">
        <v>6.0000000000000001E-3</v>
      </c>
      <c r="E52">
        <f t="shared" si="10"/>
        <v>4134.9225063565846</v>
      </c>
      <c r="F52">
        <f t="shared" si="11"/>
        <v>4135</v>
      </c>
      <c r="G52">
        <f t="shared" si="8"/>
        <v>-0.23924999999871943</v>
      </c>
      <c r="I52">
        <f t="shared" si="9"/>
        <v>-0.23924999999871943</v>
      </c>
      <c r="O52">
        <f t="shared" ca="1" si="7"/>
        <v>-0.21440572472715214</v>
      </c>
      <c r="Q52" s="2">
        <f t="shared" si="12"/>
        <v>34230.877</v>
      </c>
      <c r="AA52" t="s">
        <v>31</v>
      </c>
      <c r="AB52">
        <v>10</v>
      </c>
      <c r="AD52" t="s">
        <v>28</v>
      </c>
      <c r="AF52" t="s">
        <v>30</v>
      </c>
    </row>
    <row r="53" spans="1:32" x14ac:dyDescent="0.2">
      <c r="A53" t="s">
        <v>49</v>
      </c>
      <c r="C53" s="12">
        <v>49888.434000000001</v>
      </c>
      <c r="D53" s="12">
        <v>7.0000000000000001E-3</v>
      </c>
      <c r="E53">
        <f t="shared" si="10"/>
        <v>4341.914586943496</v>
      </c>
      <c r="F53">
        <f t="shared" si="11"/>
        <v>4342</v>
      </c>
      <c r="G53">
        <f t="shared" si="8"/>
        <v>-0.2636999999958789</v>
      </c>
      <c r="I53">
        <f t="shared" si="9"/>
        <v>-0.2636999999958789</v>
      </c>
      <c r="O53">
        <f t="shared" ca="1" si="7"/>
        <v>-0.23358699643596503</v>
      </c>
      <c r="Q53" s="2">
        <f t="shared" si="12"/>
        <v>34869.934000000001</v>
      </c>
      <c r="AA53" t="s">
        <v>47</v>
      </c>
      <c r="AB53">
        <v>0</v>
      </c>
      <c r="AD53" t="s">
        <v>48</v>
      </c>
      <c r="AF53" t="s">
        <v>30</v>
      </c>
    </row>
    <row r="54" spans="1:32" x14ac:dyDescent="0.2">
      <c r="A54" t="s">
        <v>50</v>
      </c>
      <c r="C54" s="12">
        <v>49888.434999999998</v>
      </c>
      <c r="D54" s="12">
        <v>5.0000000000000001E-3</v>
      </c>
      <c r="E54">
        <f t="shared" si="10"/>
        <v>4341.9149108458705</v>
      </c>
      <c r="F54">
        <f t="shared" si="11"/>
        <v>4342</v>
      </c>
      <c r="G54">
        <f t="shared" si="8"/>
        <v>-0.26269999999931315</v>
      </c>
      <c r="I54">
        <f t="shared" si="9"/>
        <v>-0.26269999999931315</v>
      </c>
      <c r="O54">
        <f t="shared" ca="1" si="7"/>
        <v>-0.23358699643596503</v>
      </c>
      <c r="Q54" s="2">
        <f t="shared" si="12"/>
        <v>34869.934999999998</v>
      </c>
      <c r="AA54" t="s">
        <v>31</v>
      </c>
      <c r="AB54">
        <v>10</v>
      </c>
      <c r="AD54" t="s">
        <v>28</v>
      </c>
      <c r="AF54" t="s">
        <v>30</v>
      </c>
    </row>
    <row r="55" spans="1:32" x14ac:dyDescent="0.2">
      <c r="A55" t="s">
        <v>51</v>
      </c>
      <c r="C55" s="12">
        <v>49990.317999999999</v>
      </c>
      <c r="D55" s="12">
        <v>5.0000000000000001E-3</v>
      </c>
      <c r="E55">
        <f t="shared" si="10"/>
        <v>4374.9150566019407</v>
      </c>
      <c r="F55">
        <f t="shared" si="11"/>
        <v>4375</v>
      </c>
      <c r="G55">
        <f t="shared" si="8"/>
        <v>-0.26224999999976717</v>
      </c>
      <c r="I55">
        <f t="shared" si="9"/>
        <v>-0.26224999999976717</v>
      </c>
      <c r="O55">
        <f t="shared" ca="1" si="7"/>
        <v>-0.23664488033157288</v>
      </c>
      <c r="Q55" s="2">
        <f t="shared" si="12"/>
        <v>34971.817999999999</v>
      </c>
      <c r="AA55" t="s">
        <v>31</v>
      </c>
      <c r="AB55">
        <v>7</v>
      </c>
      <c r="AD55" t="s">
        <v>28</v>
      </c>
      <c r="AF55" t="s">
        <v>30</v>
      </c>
    </row>
    <row r="56" spans="1:32" x14ac:dyDescent="0.2">
      <c r="A56" s="30" t="s">
        <v>52</v>
      </c>
      <c r="B56" s="30"/>
      <c r="C56" s="31">
        <v>50598.485000000001</v>
      </c>
      <c r="D56" s="31">
        <v>5.0000000000000001E-3</v>
      </c>
      <c r="E56">
        <f t="shared" si="10"/>
        <v>4571.901792799651</v>
      </c>
      <c r="F56">
        <f t="shared" si="11"/>
        <v>4572</v>
      </c>
      <c r="G56">
        <f t="shared" si="8"/>
        <v>-0.30319999999483116</v>
      </c>
      <c r="I56">
        <f t="shared" si="9"/>
        <v>-0.30319999999483116</v>
      </c>
      <c r="O56">
        <f t="shared" ca="1" si="7"/>
        <v>-0.25489952055686826</v>
      </c>
      <c r="Q56" s="2">
        <f t="shared" si="12"/>
        <v>35579.985000000001</v>
      </c>
      <c r="AA56" t="s">
        <v>31</v>
      </c>
      <c r="AB56">
        <v>14</v>
      </c>
      <c r="AD56" t="s">
        <v>28</v>
      </c>
      <c r="AF56" t="s">
        <v>30</v>
      </c>
    </row>
    <row r="57" spans="1:32" x14ac:dyDescent="0.2">
      <c r="A57" s="30" t="s">
        <v>53</v>
      </c>
      <c r="B57" s="30"/>
      <c r="C57" s="31">
        <v>50700.368999999999</v>
      </c>
      <c r="D57" s="31">
        <v>5.0000000000000001E-3</v>
      </c>
      <c r="E57">
        <f t="shared" si="10"/>
        <v>4604.9022624580957</v>
      </c>
      <c r="F57">
        <f t="shared" si="11"/>
        <v>4605</v>
      </c>
      <c r="G57">
        <f t="shared" si="8"/>
        <v>-0.30174999999871943</v>
      </c>
      <c r="I57">
        <f t="shared" si="9"/>
        <v>-0.30174999999871943</v>
      </c>
      <c r="O57">
        <f t="shared" ca="1" si="7"/>
        <v>-0.25795740445247611</v>
      </c>
      <c r="Q57" s="2">
        <f t="shared" si="12"/>
        <v>35681.868999999999</v>
      </c>
      <c r="AA57" t="s">
        <v>31</v>
      </c>
      <c r="AB57">
        <v>10</v>
      </c>
      <c r="AD57" t="s">
        <v>28</v>
      </c>
      <c r="AF57" t="s">
        <v>30</v>
      </c>
    </row>
    <row r="58" spans="1:32" x14ac:dyDescent="0.2">
      <c r="A58" s="31" t="s">
        <v>63</v>
      </c>
      <c r="B58" s="32"/>
      <c r="C58" s="31">
        <v>53889.5219</v>
      </c>
      <c r="D58" s="31">
        <v>2.0000000000000001E-4</v>
      </c>
      <c r="E58">
        <f t="shared" si="10"/>
        <v>5637.876463633861</v>
      </c>
      <c r="F58">
        <f t="shared" si="11"/>
        <v>5638</v>
      </c>
      <c r="G58">
        <f t="shared" si="8"/>
        <v>-0.38139999999839347</v>
      </c>
      <c r="J58">
        <f>+G58</f>
        <v>-0.38139999999839347</v>
      </c>
      <c r="O58">
        <f t="shared" ca="1" si="7"/>
        <v>-0.35367843669983723</v>
      </c>
      <c r="Q58" s="2">
        <f t="shared" si="12"/>
        <v>38871.0219</v>
      </c>
      <c r="R58" t="s">
        <v>78</v>
      </c>
    </row>
    <row r="59" spans="1:32" x14ac:dyDescent="0.2">
      <c r="A59" s="33" t="s">
        <v>64</v>
      </c>
      <c r="B59" s="34" t="s">
        <v>65</v>
      </c>
      <c r="C59" s="33">
        <v>54275.499799999998</v>
      </c>
      <c r="D59" s="33">
        <v>2.0000000000000001E-4</v>
      </c>
      <c r="E59">
        <f t="shared" si="10"/>
        <v>5762.8956224593903</v>
      </c>
      <c r="F59">
        <f t="shared" si="11"/>
        <v>5763</v>
      </c>
      <c r="G59">
        <f t="shared" si="8"/>
        <v>-0.32225000000471482</v>
      </c>
      <c r="K59">
        <f>+G59</f>
        <v>-0.32225000000471482</v>
      </c>
      <c r="O59">
        <f t="shared" ca="1" si="7"/>
        <v>-0.36526133024380636</v>
      </c>
      <c r="Q59" s="2">
        <f t="shared" si="12"/>
        <v>39256.999799999998</v>
      </c>
      <c r="R59" t="s">
        <v>76</v>
      </c>
    </row>
    <row r="60" spans="1:32" x14ac:dyDescent="0.2">
      <c r="A60" s="35" t="s">
        <v>69</v>
      </c>
      <c r="B60" s="36" t="s">
        <v>65</v>
      </c>
      <c r="C60" s="35">
        <v>55374.5003</v>
      </c>
      <c r="D60" s="35">
        <v>8.9999999999999998E-4</v>
      </c>
      <c r="E60">
        <f t="shared" si="10"/>
        <v>6118.8644954410747</v>
      </c>
      <c r="F60">
        <f t="shared" si="11"/>
        <v>6119</v>
      </c>
      <c r="G60">
        <f t="shared" si="8"/>
        <v>-0.41834999999991851</v>
      </c>
      <c r="J60">
        <f>+G60</f>
        <v>-0.41834999999991851</v>
      </c>
      <c r="O60">
        <f t="shared" ca="1" si="7"/>
        <v>-0.39824941105703049</v>
      </c>
      <c r="Q60" s="2">
        <f t="shared" si="12"/>
        <v>40356.0003</v>
      </c>
      <c r="R60" t="s">
        <v>78</v>
      </c>
    </row>
    <row r="61" spans="1:32" x14ac:dyDescent="0.2">
      <c r="A61" s="35" t="s">
        <v>71</v>
      </c>
      <c r="B61" s="36" t="s">
        <v>65</v>
      </c>
      <c r="C61" s="35">
        <v>55726.445899999999</v>
      </c>
      <c r="D61" s="35">
        <v>6.9999999999999999E-4</v>
      </c>
      <c r="E61">
        <f t="shared" si="10"/>
        <v>6232.8605114418515</v>
      </c>
      <c r="F61">
        <f t="shared" si="11"/>
        <v>6233</v>
      </c>
      <c r="G61">
        <f t="shared" si="8"/>
        <v>-0.43065000000206055</v>
      </c>
      <c r="K61">
        <f>+G61</f>
        <v>-0.43065000000206055</v>
      </c>
      <c r="O61">
        <f t="shared" ca="1" si="7"/>
        <v>-0.40881300996913039</v>
      </c>
      <c r="Q61" s="2">
        <f t="shared" si="12"/>
        <v>40707.945899999999</v>
      </c>
      <c r="R61" t="s">
        <v>76</v>
      </c>
    </row>
    <row r="62" spans="1:32" x14ac:dyDescent="0.2">
      <c r="A62" s="35" t="s">
        <v>70</v>
      </c>
      <c r="B62" s="36" t="s">
        <v>65</v>
      </c>
      <c r="C62" s="35">
        <v>55738.794600000001</v>
      </c>
      <c r="D62" s="35">
        <v>1E-4</v>
      </c>
      <c r="E62">
        <f t="shared" si="10"/>
        <v>6236.8602847101893</v>
      </c>
      <c r="F62">
        <f t="shared" si="11"/>
        <v>6237</v>
      </c>
      <c r="G62">
        <f t="shared" si="8"/>
        <v>-0.43134999999165302</v>
      </c>
      <c r="K62">
        <f>+G62</f>
        <v>-0.43134999999165302</v>
      </c>
      <c r="O62">
        <f t="shared" ca="1" si="7"/>
        <v>-0.40918366256253746</v>
      </c>
      <c r="Q62" s="2">
        <f t="shared" si="12"/>
        <v>40720.294600000001</v>
      </c>
      <c r="R62" t="s">
        <v>76</v>
      </c>
    </row>
    <row r="63" spans="1:32" x14ac:dyDescent="0.2">
      <c r="A63" s="37" t="s">
        <v>73</v>
      </c>
      <c r="B63" s="38" t="s">
        <v>65</v>
      </c>
      <c r="C63" s="37">
        <v>56487.4879</v>
      </c>
      <c r="D63" s="37">
        <v>2.3999999999999998E-3</v>
      </c>
      <c r="E63">
        <f t="shared" si="10"/>
        <v>6479.363823343645</v>
      </c>
      <c r="F63">
        <f t="shared" si="11"/>
        <v>6479.5</v>
      </c>
      <c r="G63">
        <f t="shared" si="8"/>
        <v>-0.42042499999661231</v>
      </c>
      <c r="J63">
        <f>+G63</f>
        <v>-0.42042499999661231</v>
      </c>
      <c r="O63">
        <f t="shared" ca="1" si="7"/>
        <v>-0.43165447603783758</v>
      </c>
      <c r="Q63" s="2">
        <f t="shared" si="12"/>
        <v>41468.9879</v>
      </c>
      <c r="R63" t="s">
        <v>78</v>
      </c>
    </row>
    <row r="64" spans="1:32" x14ac:dyDescent="0.2">
      <c r="A64" s="57" t="s">
        <v>268</v>
      </c>
      <c r="B64" s="58" t="s">
        <v>65</v>
      </c>
      <c r="C64" s="59">
        <v>56868.744700000003</v>
      </c>
      <c r="D64" s="59">
        <v>1E-4</v>
      </c>
      <c r="E64">
        <f t="shared" si="10"/>
        <v>6602.8538066626734</v>
      </c>
      <c r="F64">
        <f t="shared" si="11"/>
        <v>6603</v>
      </c>
      <c r="G64">
        <f t="shared" si="8"/>
        <v>-0.45134999999572756</v>
      </c>
      <c r="K64">
        <f>+G64</f>
        <v>-0.45134999999572756</v>
      </c>
      <c r="O64">
        <f t="shared" ca="1" si="7"/>
        <v>-0.44309837485927905</v>
      </c>
      <c r="Q64" s="2">
        <f t="shared" si="12"/>
        <v>41850.244700000003</v>
      </c>
    </row>
    <row r="65" spans="1:17" x14ac:dyDescent="0.2">
      <c r="A65" s="57" t="s">
        <v>268</v>
      </c>
      <c r="B65" s="58" t="s">
        <v>65</v>
      </c>
      <c r="C65" s="59">
        <v>56902.7065</v>
      </c>
      <c r="D65" s="59">
        <v>1E-4</v>
      </c>
      <c r="E65">
        <f t="shared" si="10"/>
        <v>6613.8541143699294</v>
      </c>
      <c r="F65">
        <f t="shared" si="11"/>
        <v>6614</v>
      </c>
      <c r="G65">
        <f t="shared" si="8"/>
        <v>-0.45040000000153668</v>
      </c>
      <c r="K65">
        <f>+G65</f>
        <v>-0.45040000000153668</v>
      </c>
      <c r="O65">
        <f t="shared" ca="1" si="7"/>
        <v>-0.44411766949114839</v>
      </c>
      <c r="Q65" s="2">
        <f t="shared" si="12"/>
        <v>41884.2065</v>
      </c>
    </row>
    <row r="66" spans="1:17" ht="12" customHeight="1" x14ac:dyDescent="0.2">
      <c r="A66" s="57" t="s">
        <v>268</v>
      </c>
      <c r="B66" s="58" t="s">
        <v>65</v>
      </c>
      <c r="C66" s="59">
        <v>57291.708400000003</v>
      </c>
      <c r="D66" s="59">
        <v>2.0000000000000001E-4</v>
      </c>
      <c r="E66">
        <f t="shared" si="10"/>
        <v>6739.8527539799525</v>
      </c>
      <c r="F66">
        <f t="shared" si="11"/>
        <v>6740</v>
      </c>
      <c r="G66">
        <f t="shared" si="8"/>
        <v>-0.45459999999729916</v>
      </c>
      <c r="K66">
        <f>+G66</f>
        <v>-0.45459999999729916</v>
      </c>
      <c r="O66">
        <f t="shared" ca="1" si="7"/>
        <v>-0.45579322618346929</v>
      </c>
      <c r="Q66" s="2">
        <f t="shared" si="12"/>
        <v>42273.208400000003</v>
      </c>
    </row>
    <row r="67" spans="1:17" ht="12" customHeight="1" x14ac:dyDescent="0.2">
      <c r="A67" s="57" t="s">
        <v>269</v>
      </c>
      <c r="B67" s="58" t="s">
        <v>65</v>
      </c>
      <c r="C67" s="59">
        <v>57646.751700000001</v>
      </c>
      <c r="D67" s="59">
        <v>2.0000000000000001E-4</v>
      </c>
      <c r="E67">
        <f t="shared" si="10"/>
        <v>6854.8521223703183</v>
      </c>
      <c r="F67">
        <f t="shared" si="11"/>
        <v>6855</v>
      </c>
      <c r="G67">
        <f t="shared" si="8"/>
        <v>-0.45654999999533175</v>
      </c>
      <c r="K67">
        <f>+G67</f>
        <v>-0.45654999999533175</v>
      </c>
      <c r="O67">
        <f t="shared" ca="1" si="7"/>
        <v>-0.46644948824392096</v>
      </c>
      <c r="Q67" s="2">
        <f t="shared" si="12"/>
        <v>42628.251700000001</v>
      </c>
    </row>
    <row r="68" spans="1:17" ht="12" customHeight="1" x14ac:dyDescent="0.2">
      <c r="A68" s="60" t="s">
        <v>270</v>
      </c>
      <c r="B68" s="61" t="s">
        <v>65</v>
      </c>
      <c r="C68" s="62">
        <v>59446.663099999998</v>
      </c>
      <c r="D68" s="60">
        <v>5.9999999999999995E-4</v>
      </c>
      <c r="E68">
        <f t="shared" ref="E68" si="13">+(C68-C$7)/C$8</f>
        <v>7437.8477011028881</v>
      </c>
      <c r="F68">
        <f t="shared" ref="F68" si="14">ROUND(2*E68,0)/2</f>
        <v>7438</v>
      </c>
      <c r="G68">
        <f t="shared" ref="G68" si="15">+C68-(C$7+F68*C$8)</f>
        <v>-0.47020000000338769</v>
      </c>
      <c r="K68">
        <f>+G68</f>
        <v>-0.47020000000338769</v>
      </c>
      <c r="O68">
        <f t="shared" ref="O68" ca="1" si="16">+C$11+C$12*F68</f>
        <v>-0.52047210373299302</v>
      </c>
      <c r="Q68" s="2">
        <f t="shared" ref="Q68" si="17">+C68-15018.5</f>
        <v>44428.163099999998</v>
      </c>
    </row>
    <row r="69" spans="1:17" ht="12" customHeight="1" x14ac:dyDescent="0.2">
      <c r="A69" s="60" t="s">
        <v>270</v>
      </c>
      <c r="B69" s="61" t="s">
        <v>65</v>
      </c>
      <c r="C69" s="62">
        <v>59733.796199999997</v>
      </c>
      <c r="D69" s="60">
        <v>2.9999999999999997E-4</v>
      </c>
      <c r="E69">
        <f t="shared" ref="E69" si="18">+(C69-C$7)/C$8</f>
        <v>7530.8507943705763</v>
      </c>
      <c r="F69">
        <f t="shared" ref="F69" si="19">ROUND(2*E69,0)/2</f>
        <v>7531</v>
      </c>
      <c r="G69">
        <f t="shared" ref="G69" si="20">+C69-(C$7+F69*C$8)</f>
        <v>-0.4606500000008964</v>
      </c>
      <c r="K69">
        <f>+G69</f>
        <v>-0.4606500000008964</v>
      </c>
      <c r="O69">
        <f t="shared" ref="O69" ca="1" si="21">+C$11+C$12*F69</f>
        <v>-0.52908977652970612</v>
      </c>
      <c r="Q69" s="2">
        <f t="shared" ref="Q69" si="22">+C69-15018.5</f>
        <v>44715.296199999997</v>
      </c>
    </row>
    <row r="70" spans="1:17" ht="12" customHeight="1" x14ac:dyDescent="0.2">
      <c r="B70" s="16"/>
      <c r="C70" s="10"/>
      <c r="D70" s="10"/>
    </row>
    <row r="71" spans="1:17" ht="12" customHeight="1" x14ac:dyDescent="0.2">
      <c r="B71" s="16"/>
      <c r="C71" s="10"/>
      <c r="D71" s="10"/>
    </row>
    <row r="72" spans="1:17" ht="12" customHeight="1" x14ac:dyDescent="0.2">
      <c r="B72" s="16"/>
      <c r="C72" s="10"/>
      <c r="D72" s="10"/>
    </row>
    <row r="73" spans="1:17" ht="12" customHeight="1" x14ac:dyDescent="0.2">
      <c r="B73" s="16"/>
      <c r="C73" s="10"/>
      <c r="D73" s="10"/>
    </row>
    <row r="74" spans="1:17" x14ac:dyDescent="0.2">
      <c r="B74" s="16"/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topLeftCell="A16" workbookViewId="0">
      <selection activeCell="A38" sqref="A38:D53"/>
    </sheetView>
  </sheetViews>
  <sheetFormatPr defaultRowHeight="12.75" x14ac:dyDescent="0.2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74</v>
      </c>
      <c r="I1" s="40" t="s">
        <v>75</v>
      </c>
      <c r="J1" s="41" t="s">
        <v>76</v>
      </c>
    </row>
    <row r="2" spans="1:16" x14ac:dyDescent="0.2">
      <c r="I2" s="42" t="s">
        <v>77</v>
      </c>
      <c r="J2" s="43" t="s">
        <v>78</v>
      </c>
    </row>
    <row r="3" spans="1:16" x14ac:dyDescent="0.2">
      <c r="A3" s="44" t="s">
        <v>79</v>
      </c>
      <c r="I3" s="42" t="s">
        <v>80</v>
      </c>
      <c r="J3" s="43" t="s">
        <v>81</v>
      </c>
    </row>
    <row r="4" spans="1:16" x14ac:dyDescent="0.2">
      <c r="I4" s="42" t="s">
        <v>82</v>
      </c>
      <c r="J4" s="43" t="s">
        <v>81</v>
      </c>
    </row>
    <row r="5" spans="1:16" ht="13.5" thickBot="1" x14ac:dyDescent="0.25">
      <c r="I5" s="45" t="s">
        <v>83</v>
      </c>
      <c r="J5" s="46" t="s">
        <v>84</v>
      </c>
    </row>
    <row r="10" spans="1:16" ht="13.5" thickBot="1" x14ac:dyDescent="0.25"/>
    <row r="11" spans="1:16" ht="12.75" customHeight="1" thickBot="1" x14ac:dyDescent="0.25">
      <c r="A11" s="10" t="str">
        <f t="shared" ref="A11:A53" si="0">P11</f>
        <v> EBC 1-32 </v>
      </c>
      <c r="B11" s="16" t="str">
        <f t="shared" ref="B11:B53" si="1">IF(H11=INT(H11),"I","II")</f>
        <v>I</v>
      </c>
      <c r="C11" s="10">
        <f t="shared" ref="C11:C53" si="2">1*G11</f>
        <v>36483.423999999999</v>
      </c>
      <c r="D11" s="14" t="str">
        <f t="shared" ref="D11:D53" si="3">VLOOKUP(F11,I$1:J$5,2,FALSE)</f>
        <v>vis</v>
      </c>
      <c r="E11" s="47">
        <f>VLOOKUP(C11,Active!C$21:E$973,3,FALSE)</f>
        <v>0</v>
      </c>
      <c r="F11" s="16" t="s">
        <v>83</v>
      </c>
      <c r="G11" s="14" t="str">
        <f t="shared" ref="G11:G53" si="4">MID(I11,3,LEN(I11)-3)</f>
        <v>36483.424</v>
      </c>
      <c r="H11" s="10">
        <f t="shared" ref="H11:H53" si="5">1*K11</f>
        <v>0</v>
      </c>
      <c r="I11" s="48" t="s">
        <v>124</v>
      </c>
      <c r="J11" s="49" t="s">
        <v>125</v>
      </c>
      <c r="K11" s="48">
        <v>0</v>
      </c>
      <c r="L11" s="48" t="s">
        <v>126</v>
      </c>
      <c r="M11" s="49" t="s">
        <v>98</v>
      </c>
      <c r="N11" s="49"/>
      <c r="O11" s="50" t="s">
        <v>112</v>
      </c>
      <c r="P11" s="50" t="s">
        <v>123</v>
      </c>
    </row>
    <row r="12" spans="1:16" ht="12.75" customHeight="1" thickBot="1" x14ac:dyDescent="0.25">
      <c r="A12" s="10" t="str">
        <f t="shared" si="0"/>
        <v> ORI 127 </v>
      </c>
      <c r="B12" s="16" t="str">
        <f t="shared" si="1"/>
        <v>I</v>
      </c>
      <c r="C12" s="10">
        <f t="shared" si="2"/>
        <v>41182.383000000002</v>
      </c>
      <c r="D12" s="14" t="str">
        <f t="shared" si="3"/>
        <v>vis</v>
      </c>
      <c r="E12" s="47">
        <f>VLOOKUP(C12,Active!C$21:E$973,3,FALSE)</f>
        <v>1522.0039839992235</v>
      </c>
      <c r="F12" s="16" t="s">
        <v>83</v>
      </c>
      <c r="G12" s="14" t="str">
        <f t="shared" si="4"/>
        <v>41182.383</v>
      </c>
      <c r="H12" s="10">
        <f t="shared" si="5"/>
        <v>1522</v>
      </c>
      <c r="I12" s="48" t="s">
        <v>150</v>
      </c>
      <c r="J12" s="49" t="s">
        <v>151</v>
      </c>
      <c r="K12" s="48">
        <v>1522</v>
      </c>
      <c r="L12" s="48" t="s">
        <v>152</v>
      </c>
      <c r="M12" s="49" t="s">
        <v>98</v>
      </c>
      <c r="N12" s="49"/>
      <c r="O12" s="50" t="s">
        <v>153</v>
      </c>
      <c r="P12" s="50" t="s">
        <v>154</v>
      </c>
    </row>
    <row r="13" spans="1:16" ht="12.75" customHeight="1" thickBot="1" x14ac:dyDescent="0.25">
      <c r="A13" s="10" t="str">
        <f t="shared" si="0"/>
        <v> BBS 4 </v>
      </c>
      <c r="B13" s="16" t="str">
        <f t="shared" si="1"/>
        <v>I</v>
      </c>
      <c r="C13" s="10">
        <f t="shared" si="2"/>
        <v>41503.451999999997</v>
      </c>
      <c r="D13" s="14" t="str">
        <f t="shared" si="3"/>
        <v>vis</v>
      </c>
      <c r="E13" s="47">
        <f>VLOOKUP(C13,Active!C$21:E$973,3,FALSE)</f>
        <v>1625.9989959026345</v>
      </c>
      <c r="F13" s="16" t="s">
        <v>83</v>
      </c>
      <c r="G13" s="14" t="str">
        <f t="shared" si="4"/>
        <v>41503.452</v>
      </c>
      <c r="H13" s="10">
        <f t="shared" si="5"/>
        <v>1626</v>
      </c>
      <c r="I13" s="48" t="s">
        <v>155</v>
      </c>
      <c r="J13" s="49" t="s">
        <v>156</v>
      </c>
      <c r="K13" s="48">
        <v>1626</v>
      </c>
      <c r="L13" s="48" t="s">
        <v>85</v>
      </c>
      <c r="M13" s="49" t="s">
        <v>98</v>
      </c>
      <c r="N13" s="49"/>
      <c r="O13" s="50" t="s">
        <v>153</v>
      </c>
      <c r="P13" s="50" t="s">
        <v>157</v>
      </c>
    </row>
    <row r="14" spans="1:16" ht="12.75" customHeight="1" thickBot="1" x14ac:dyDescent="0.25">
      <c r="A14" s="10" t="str">
        <f t="shared" si="0"/>
        <v> BBS 4 </v>
      </c>
      <c r="B14" s="16" t="str">
        <f t="shared" si="1"/>
        <v>I</v>
      </c>
      <c r="C14" s="10">
        <f t="shared" si="2"/>
        <v>41571.383999999998</v>
      </c>
      <c r="D14" s="14" t="str">
        <f t="shared" si="3"/>
        <v>vis</v>
      </c>
      <c r="E14" s="47">
        <f>VLOOKUP(C14,Active!C$21:E$973,3,FALSE)</f>
        <v>1648.0023320971056</v>
      </c>
      <c r="F14" s="16" t="s">
        <v>83</v>
      </c>
      <c r="G14" s="14" t="str">
        <f t="shared" si="4"/>
        <v>41571.384</v>
      </c>
      <c r="H14" s="10">
        <f t="shared" si="5"/>
        <v>1648</v>
      </c>
      <c r="I14" s="48" t="s">
        <v>158</v>
      </c>
      <c r="J14" s="49" t="s">
        <v>159</v>
      </c>
      <c r="K14" s="48">
        <v>1648</v>
      </c>
      <c r="L14" s="48" t="s">
        <v>160</v>
      </c>
      <c r="M14" s="49" t="s">
        <v>98</v>
      </c>
      <c r="N14" s="49"/>
      <c r="O14" s="50" t="s">
        <v>153</v>
      </c>
      <c r="P14" s="50" t="s">
        <v>157</v>
      </c>
    </row>
    <row r="15" spans="1:16" ht="12.75" customHeight="1" thickBot="1" x14ac:dyDescent="0.25">
      <c r="A15" s="10" t="str">
        <f t="shared" si="0"/>
        <v> BBS 6 </v>
      </c>
      <c r="B15" s="16" t="str">
        <f t="shared" si="1"/>
        <v>I</v>
      </c>
      <c r="C15" s="10">
        <f t="shared" si="2"/>
        <v>41605.326999999997</v>
      </c>
      <c r="D15" s="14" t="str">
        <f t="shared" si="3"/>
        <v>vis</v>
      </c>
      <c r="E15" s="47">
        <f>VLOOKUP(C15,Active!C$21:E$973,3,FALSE)</f>
        <v>1658.9965504396971</v>
      </c>
      <c r="F15" s="16" t="s">
        <v>83</v>
      </c>
      <c r="G15" s="14" t="str">
        <f t="shared" si="4"/>
        <v>41605.327</v>
      </c>
      <c r="H15" s="10">
        <f t="shared" si="5"/>
        <v>1659</v>
      </c>
      <c r="I15" s="48" t="s">
        <v>161</v>
      </c>
      <c r="J15" s="49" t="s">
        <v>162</v>
      </c>
      <c r="K15" s="48">
        <v>1659</v>
      </c>
      <c r="L15" s="48" t="s">
        <v>163</v>
      </c>
      <c r="M15" s="49" t="s">
        <v>98</v>
      </c>
      <c r="N15" s="49"/>
      <c r="O15" s="50" t="s">
        <v>153</v>
      </c>
      <c r="P15" s="50" t="s">
        <v>164</v>
      </c>
    </row>
    <row r="16" spans="1:16" ht="12.75" customHeight="1" thickBot="1" x14ac:dyDescent="0.25">
      <c r="A16" s="10" t="str">
        <f t="shared" si="0"/>
        <v> BBS 10 </v>
      </c>
      <c r="B16" s="16" t="str">
        <f t="shared" si="1"/>
        <v>I</v>
      </c>
      <c r="C16" s="10">
        <f t="shared" si="2"/>
        <v>41895.553999999996</v>
      </c>
      <c r="D16" s="14" t="str">
        <f t="shared" si="3"/>
        <v>vis</v>
      </c>
      <c r="E16" s="47">
        <f>VLOOKUP(C16,Active!C$21:E$973,3,FALSE)</f>
        <v>1753.0017652679476</v>
      </c>
      <c r="F16" s="16" t="s">
        <v>83</v>
      </c>
      <c r="G16" s="14" t="str">
        <f t="shared" si="4"/>
        <v>41895.554</v>
      </c>
      <c r="H16" s="10">
        <f t="shared" si="5"/>
        <v>1753</v>
      </c>
      <c r="I16" s="48" t="s">
        <v>165</v>
      </c>
      <c r="J16" s="49" t="s">
        <v>166</v>
      </c>
      <c r="K16" s="48">
        <v>1753</v>
      </c>
      <c r="L16" s="48" t="s">
        <v>167</v>
      </c>
      <c r="M16" s="49" t="s">
        <v>98</v>
      </c>
      <c r="N16" s="49"/>
      <c r="O16" s="50" t="s">
        <v>153</v>
      </c>
      <c r="P16" s="50" t="s">
        <v>168</v>
      </c>
    </row>
    <row r="17" spans="1:16" ht="12.75" customHeight="1" thickBot="1" x14ac:dyDescent="0.25">
      <c r="A17" s="10" t="str">
        <f t="shared" si="0"/>
        <v> BBS 23 </v>
      </c>
      <c r="B17" s="16" t="str">
        <f t="shared" si="1"/>
        <v>I</v>
      </c>
      <c r="C17" s="10">
        <f t="shared" si="2"/>
        <v>42633.413999999997</v>
      </c>
      <c r="D17" s="14" t="str">
        <f t="shared" si="3"/>
        <v>vis</v>
      </c>
      <c r="E17" s="47">
        <f>VLOOKUP(C17,Active!C$21:E$973,3,FALSE)</f>
        <v>1991.9963722933903</v>
      </c>
      <c r="F17" s="16" t="s">
        <v>83</v>
      </c>
      <c r="G17" s="14" t="str">
        <f t="shared" si="4"/>
        <v>42633.414</v>
      </c>
      <c r="H17" s="10">
        <f t="shared" si="5"/>
        <v>1992</v>
      </c>
      <c r="I17" s="48" t="s">
        <v>169</v>
      </c>
      <c r="J17" s="49" t="s">
        <v>170</v>
      </c>
      <c r="K17" s="48">
        <v>1992</v>
      </c>
      <c r="L17" s="48" t="s">
        <v>163</v>
      </c>
      <c r="M17" s="49" t="s">
        <v>98</v>
      </c>
      <c r="N17" s="49"/>
      <c r="O17" s="50" t="s">
        <v>171</v>
      </c>
      <c r="P17" s="50" t="s">
        <v>172</v>
      </c>
    </row>
    <row r="18" spans="1:16" ht="12.75" customHeight="1" thickBot="1" x14ac:dyDescent="0.25">
      <c r="A18" s="10" t="str">
        <f t="shared" si="0"/>
        <v> BBS 28 </v>
      </c>
      <c r="B18" s="16" t="str">
        <f t="shared" si="1"/>
        <v>I</v>
      </c>
      <c r="C18" s="10">
        <f t="shared" si="2"/>
        <v>42951.427000000003</v>
      </c>
      <c r="D18" s="14" t="str">
        <f t="shared" si="3"/>
        <v>vis</v>
      </c>
      <c r="E18" s="47">
        <f>VLOOKUP(C18,Active!C$21:E$973,3,FALSE)</f>
        <v>2095.0015385362867</v>
      </c>
      <c r="F18" s="16" t="s">
        <v>83</v>
      </c>
      <c r="G18" s="14" t="str">
        <f t="shared" si="4"/>
        <v>42951.427</v>
      </c>
      <c r="H18" s="10">
        <f t="shared" si="5"/>
        <v>2095</v>
      </c>
      <c r="I18" s="48" t="s">
        <v>173</v>
      </c>
      <c r="J18" s="49" t="s">
        <v>174</v>
      </c>
      <c r="K18" s="48">
        <v>2095</v>
      </c>
      <c r="L18" s="48" t="s">
        <v>167</v>
      </c>
      <c r="M18" s="49" t="s">
        <v>98</v>
      </c>
      <c r="N18" s="49"/>
      <c r="O18" s="50" t="s">
        <v>153</v>
      </c>
      <c r="P18" s="50" t="s">
        <v>175</v>
      </c>
    </row>
    <row r="19" spans="1:16" ht="12.75" customHeight="1" thickBot="1" x14ac:dyDescent="0.25">
      <c r="A19" s="10" t="str">
        <f t="shared" si="0"/>
        <v> BBS 44 </v>
      </c>
      <c r="B19" s="16" t="str">
        <f t="shared" si="1"/>
        <v>I</v>
      </c>
      <c r="C19" s="10">
        <f t="shared" si="2"/>
        <v>44115.347999999998</v>
      </c>
      <c r="D19" s="14" t="str">
        <f t="shared" si="3"/>
        <v>vis</v>
      </c>
      <c r="E19" s="47">
        <f>VLOOKUP(C19,Active!C$21:E$973,3,FALSE)</f>
        <v>2471.9983157076454</v>
      </c>
      <c r="F19" s="16" t="s">
        <v>83</v>
      </c>
      <c r="G19" s="14" t="str">
        <f t="shared" si="4"/>
        <v>44115.348</v>
      </c>
      <c r="H19" s="10">
        <f t="shared" si="5"/>
        <v>2472</v>
      </c>
      <c r="I19" s="48" t="s">
        <v>176</v>
      </c>
      <c r="J19" s="49" t="s">
        <v>177</v>
      </c>
      <c r="K19" s="48">
        <v>2472</v>
      </c>
      <c r="L19" s="48" t="s">
        <v>178</v>
      </c>
      <c r="M19" s="49" t="s">
        <v>98</v>
      </c>
      <c r="N19" s="49"/>
      <c r="O19" s="50" t="s">
        <v>153</v>
      </c>
      <c r="P19" s="50" t="s">
        <v>179</v>
      </c>
    </row>
    <row r="20" spans="1:16" ht="12.75" customHeight="1" thickBot="1" x14ac:dyDescent="0.25">
      <c r="A20" s="10" t="str">
        <f t="shared" si="0"/>
        <v> BBS 49 </v>
      </c>
      <c r="B20" s="16" t="str">
        <f t="shared" si="1"/>
        <v>I</v>
      </c>
      <c r="C20" s="10">
        <f t="shared" si="2"/>
        <v>44402.438000000002</v>
      </c>
      <c r="D20" s="14" t="str">
        <f t="shared" si="3"/>
        <v>vis</v>
      </c>
      <c r="E20" s="47">
        <f>VLOOKUP(C20,Active!C$21:E$973,3,FALSE)</f>
        <v>2564.9874487829379</v>
      </c>
      <c r="F20" s="16" t="s">
        <v>83</v>
      </c>
      <c r="G20" s="14" t="str">
        <f t="shared" si="4"/>
        <v>44402.438</v>
      </c>
      <c r="H20" s="10">
        <f t="shared" si="5"/>
        <v>2565</v>
      </c>
      <c r="I20" s="48" t="s">
        <v>180</v>
      </c>
      <c r="J20" s="49" t="s">
        <v>181</v>
      </c>
      <c r="K20" s="48">
        <v>2565</v>
      </c>
      <c r="L20" s="48" t="s">
        <v>182</v>
      </c>
      <c r="M20" s="49" t="s">
        <v>98</v>
      </c>
      <c r="N20" s="49"/>
      <c r="O20" s="50" t="s">
        <v>153</v>
      </c>
      <c r="P20" s="50" t="s">
        <v>183</v>
      </c>
    </row>
    <row r="21" spans="1:16" ht="12.75" customHeight="1" thickBot="1" x14ac:dyDescent="0.25">
      <c r="A21" s="10" t="str">
        <f t="shared" si="0"/>
        <v> BBS 55 </v>
      </c>
      <c r="B21" s="16" t="str">
        <f t="shared" si="1"/>
        <v>I</v>
      </c>
      <c r="C21" s="10">
        <f t="shared" si="2"/>
        <v>44757.483999999997</v>
      </c>
      <c r="D21" s="14" t="str">
        <f t="shared" si="3"/>
        <v>vis</v>
      </c>
      <c r="E21" s="47">
        <f>VLOOKUP(C21,Active!C$21:E$973,3,FALSE)</f>
        <v>2679.9876917097181</v>
      </c>
      <c r="F21" s="16" t="s">
        <v>83</v>
      </c>
      <c r="G21" s="14" t="str">
        <f t="shared" si="4"/>
        <v>44757.484</v>
      </c>
      <c r="H21" s="10">
        <f t="shared" si="5"/>
        <v>2680</v>
      </c>
      <c r="I21" s="48" t="s">
        <v>184</v>
      </c>
      <c r="J21" s="49" t="s">
        <v>185</v>
      </c>
      <c r="K21" s="48">
        <v>2680</v>
      </c>
      <c r="L21" s="48" t="s">
        <v>186</v>
      </c>
      <c r="M21" s="49" t="s">
        <v>98</v>
      </c>
      <c r="N21" s="49"/>
      <c r="O21" s="50" t="s">
        <v>153</v>
      </c>
      <c r="P21" s="50" t="s">
        <v>187</v>
      </c>
    </row>
    <row r="22" spans="1:16" ht="12.75" customHeight="1" thickBot="1" x14ac:dyDescent="0.25">
      <c r="A22" s="10" t="str">
        <f t="shared" si="0"/>
        <v> BBS 98 </v>
      </c>
      <c r="B22" s="16" t="str">
        <f t="shared" si="1"/>
        <v>I</v>
      </c>
      <c r="C22" s="10">
        <f t="shared" si="2"/>
        <v>48465.468000000001</v>
      </c>
      <c r="D22" s="14" t="str">
        <f t="shared" si="3"/>
        <v>vis</v>
      </c>
      <c r="E22" s="47">
        <f>VLOOKUP(C22,Active!C$21:E$973,3,FALSE)</f>
        <v>3881.0125188268262</v>
      </c>
      <c r="F22" s="16" t="s">
        <v>83</v>
      </c>
      <c r="G22" s="14" t="str">
        <f t="shared" si="4"/>
        <v>48465.468</v>
      </c>
      <c r="H22" s="10">
        <f t="shared" si="5"/>
        <v>3881</v>
      </c>
      <c r="I22" s="48" t="s">
        <v>188</v>
      </c>
      <c r="J22" s="49" t="s">
        <v>189</v>
      </c>
      <c r="K22" s="48">
        <v>3881</v>
      </c>
      <c r="L22" s="48" t="s">
        <v>190</v>
      </c>
      <c r="M22" s="49" t="s">
        <v>98</v>
      </c>
      <c r="N22" s="49"/>
      <c r="O22" s="50" t="s">
        <v>191</v>
      </c>
      <c r="P22" s="50" t="s">
        <v>192</v>
      </c>
    </row>
    <row r="23" spans="1:16" ht="12.75" customHeight="1" thickBot="1" x14ac:dyDescent="0.25">
      <c r="A23" s="10" t="str">
        <f t="shared" si="0"/>
        <v> BBS 99 </v>
      </c>
      <c r="B23" s="16" t="str">
        <f t="shared" si="1"/>
        <v>I</v>
      </c>
      <c r="C23" s="10">
        <f t="shared" si="2"/>
        <v>48505.37</v>
      </c>
      <c r="D23" s="14" t="str">
        <f t="shared" si="3"/>
        <v>vis</v>
      </c>
      <c r="E23" s="47">
        <f>VLOOKUP(C23,Active!C$21:E$973,3,FALSE)</f>
        <v>3893.9368714269531</v>
      </c>
      <c r="F23" s="16" t="s">
        <v>83</v>
      </c>
      <c r="G23" s="14" t="str">
        <f t="shared" si="4"/>
        <v>48505.370</v>
      </c>
      <c r="H23" s="10">
        <f t="shared" si="5"/>
        <v>3894</v>
      </c>
      <c r="I23" s="48" t="s">
        <v>193</v>
      </c>
      <c r="J23" s="49" t="s">
        <v>194</v>
      </c>
      <c r="K23" s="48">
        <v>3894</v>
      </c>
      <c r="L23" s="48" t="s">
        <v>195</v>
      </c>
      <c r="M23" s="49" t="s">
        <v>98</v>
      </c>
      <c r="N23" s="49"/>
      <c r="O23" s="50" t="s">
        <v>153</v>
      </c>
      <c r="P23" s="50" t="s">
        <v>196</v>
      </c>
    </row>
    <row r="24" spans="1:16" ht="12.75" customHeight="1" thickBot="1" x14ac:dyDescent="0.25">
      <c r="A24" s="10" t="str">
        <f t="shared" si="0"/>
        <v> BBS 99 </v>
      </c>
      <c r="B24" s="16" t="str">
        <f t="shared" si="1"/>
        <v>I</v>
      </c>
      <c r="C24" s="10">
        <f t="shared" si="2"/>
        <v>48539.317000000003</v>
      </c>
      <c r="D24" s="14" t="str">
        <f t="shared" si="3"/>
        <v>vis</v>
      </c>
      <c r="E24" s="47">
        <f>VLOOKUP(C24,Active!C$21:E$973,3,FALSE)</f>
        <v>3904.9323853790484</v>
      </c>
      <c r="F24" s="16" t="s">
        <v>83</v>
      </c>
      <c r="G24" s="14" t="str">
        <f t="shared" si="4"/>
        <v>48539.317</v>
      </c>
      <c r="H24" s="10">
        <f t="shared" si="5"/>
        <v>3905</v>
      </c>
      <c r="I24" s="48" t="s">
        <v>197</v>
      </c>
      <c r="J24" s="49" t="s">
        <v>198</v>
      </c>
      <c r="K24" s="48">
        <v>3905</v>
      </c>
      <c r="L24" s="48" t="s">
        <v>199</v>
      </c>
      <c r="M24" s="49" t="s">
        <v>98</v>
      </c>
      <c r="N24" s="49"/>
      <c r="O24" s="50" t="s">
        <v>153</v>
      </c>
      <c r="P24" s="50" t="s">
        <v>196</v>
      </c>
    </row>
    <row r="25" spans="1:16" ht="12.75" customHeight="1" thickBot="1" x14ac:dyDescent="0.25">
      <c r="A25" s="10" t="str">
        <f t="shared" si="0"/>
        <v> BBS 102 </v>
      </c>
      <c r="B25" s="16" t="str">
        <f t="shared" si="1"/>
        <v>I</v>
      </c>
      <c r="C25" s="10">
        <f t="shared" si="2"/>
        <v>48860.392999999996</v>
      </c>
      <c r="D25" s="14" t="str">
        <f t="shared" si="3"/>
        <v>vis</v>
      </c>
      <c r="E25" s="47">
        <f>VLOOKUP(C25,Active!C$21:E$973,3,FALSE)</f>
        <v>4008.9296645990894</v>
      </c>
      <c r="F25" s="16" t="s">
        <v>83</v>
      </c>
      <c r="G25" s="14" t="str">
        <f t="shared" si="4"/>
        <v>48860.393</v>
      </c>
      <c r="H25" s="10">
        <f t="shared" si="5"/>
        <v>4009</v>
      </c>
      <c r="I25" s="48" t="s">
        <v>200</v>
      </c>
      <c r="J25" s="49" t="s">
        <v>201</v>
      </c>
      <c r="K25" s="48">
        <v>4009</v>
      </c>
      <c r="L25" s="48" t="s">
        <v>202</v>
      </c>
      <c r="M25" s="49" t="s">
        <v>98</v>
      </c>
      <c r="N25" s="49"/>
      <c r="O25" s="50" t="s">
        <v>153</v>
      </c>
      <c r="P25" s="50" t="s">
        <v>203</v>
      </c>
    </row>
    <row r="26" spans="1:16" ht="12.75" customHeight="1" thickBot="1" x14ac:dyDescent="0.25">
      <c r="A26" s="10" t="str">
        <f t="shared" si="0"/>
        <v> BBS 105 </v>
      </c>
      <c r="B26" s="16" t="str">
        <f t="shared" si="1"/>
        <v>I</v>
      </c>
      <c r="C26" s="10">
        <f t="shared" si="2"/>
        <v>49249.377</v>
      </c>
      <c r="D26" s="14" t="str">
        <f t="shared" si="3"/>
        <v>vis</v>
      </c>
      <c r="E26" s="47">
        <f>VLOOKUP(C26,Active!C$21:E$973,3,FALSE)</f>
        <v>4134.9225063565846</v>
      </c>
      <c r="F26" s="16" t="s">
        <v>83</v>
      </c>
      <c r="G26" s="14" t="str">
        <f t="shared" si="4"/>
        <v>49249.377</v>
      </c>
      <c r="H26" s="10">
        <f t="shared" si="5"/>
        <v>4135</v>
      </c>
      <c r="I26" s="48" t="s">
        <v>204</v>
      </c>
      <c r="J26" s="49" t="s">
        <v>205</v>
      </c>
      <c r="K26" s="48">
        <v>4135</v>
      </c>
      <c r="L26" s="48" t="s">
        <v>206</v>
      </c>
      <c r="M26" s="49" t="s">
        <v>98</v>
      </c>
      <c r="N26" s="49"/>
      <c r="O26" s="50" t="s">
        <v>153</v>
      </c>
      <c r="P26" s="50" t="s">
        <v>207</v>
      </c>
    </row>
    <row r="27" spans="1:16" ht="12.75" customHeight="1" thickBot="1" x14ac:dyDescent="0.25">
      <c r="A27" s="10" t="str">
        <f t="shared" si="0"/>
        <v> BBS 111 </v>
      </c>
      <c r="B27" s="16" t="str">
        <f t="shared" si="1"/>
        <v>I</v>
      </c>
      <c r="C27" s="10">
        <f t="shared" si="2"/>
        <v>49888.434000000001</v>
      </c>
      <c r="D27" s="14" t="str">
        <f t="shared" si="3"/>
        <v>vis</v>
      </c>
      <c r="E27" s="47">
        <f>VLOOKUP(C27,Active!C$21:E$973,3,FALSE)</f>
        <v>4341.914586943496</v>
      </c>
      <c r="F27" s="16" t="s">
        <v>83</v>
      </c>
      <c r="G27" s="14" t="str">
        <f t="shared" si="4"/>
        <v>49888.434</v>
      </c>
      <c r="H27" s="10">
        <f t="shared" si="5"/>
        <v>4342</v>
      </c>
      <c r="I27" s="48" t="s">
        <v>208</v>
      </c>
      <c r="J27" s="49" t="s">
        <v>209</v>
      </c>
      <c r="K27" s="48">
        <v>4342</v>
      </c>
      <c r="L27" s="48" t="s">
        <v>210</v>
      </c>
      <c r="M27" s="49" t="s">
        <v>211</v>
      </c>
      <c r="N27" s="49" t="s">
        <v>212</v>
      </c>
      <c r="O27" s="50" t="s">
        <v>213</v>
      </c>
      <c r="P27" s="50" t="s">
        <v>214</v>
      </c>
    </row>
    <row r="28" spans="1:16" ht="12.75" customHeight="1" thickBot="1" x14ac:dyDescent="0.25">
      <c r="A28" s="10" t="str">
        <f t="shared" si="0"/>
        <v> BBS 109 </v>
      </c>
      <c r="B28" s="16" t="str">
        <f t="shared" si="1"/>
        <v>I</v>
      </c>
      <c r="C28" s="10">
        <f t="shared" si="2"/>
        <v>49888.434999999998</v>
      </c>
      <c r="D28" s="14" t="str">
        <f t="shared" si="3"/>
        <v>vis</v>
      </c>
      <c r="E28" s="47">
        <f>VLOOKUP(C28,Active!C$21:E$973,3,FALSE)</f>
        <v>4341.9149108458705</v>
      </c>
      <c r="F28" s="16" t="s">
        <v>83</v>
      </c>
      <c r="G28" s="14" t="str">
        <f t="shared" si="4"/>
        <v>49888.435</v>
      </c>
      <c r="H28" s="10">
        <f t="shared" si="5"/>
        <v>4342</v>
      </c>
      <c r="I28" s="48" t="s">
        <v>215</v>
      </c>
      <c r="J28" s="49" t="s">
        <v>216</v>
      </c>
      <c r="K28" s="48">
        <v>4342</v>
      </c>
      <c r="L28" s="48" t="s">
        <v>217</v>
      </c>
      <c r="M28" s="49" t="s">
        <v>98</v>
      </c>
      <c r="N28" s="49"/>
      <c r="O28" s="50" t="s">
        <v>153</v>
      </c>
      <c r="P28" s="50" t="s">
        <v>218</v>
      </c>
    </row>
    <row r="29" spans="1:16" ht="12.75" customHeight="1" thickBot="1" x14ac:dyDescent="0.25">
      <c r="A29" s="10" t="str">
        <f t="shared" si="0"/>
        <v> BBS 110 </v>
      </c>
      <c r="B29" s="16" t="str">
        <f t="shared" si="1"/>
        <v>I</v>
      </c>
      <c r="C29" s="10">
        <f t="shared" si="2"/>
        <v>49990.317999999999</v>
      </c>
      <c r="D29" s="14" t="str">
        <f t="shared" si="3"/>
        <v>vis</v>
      </c>
      <c r="E29" s="47">
        <f>VLOOKUP(C29,Active!C$21:E$973,3,FALSE)</f>
        <v>4374.9150566019407</v>
      </c>
      <c r="F29" s="16" t="s">
        <v>83</v>
      </c>
      <c r="G29" s="14" t="str">
        <f t="shared" si="4"/>
        <v>49990.318</v>
      </c>
      <c r="H29" s="10">
        <f t="shared" si="5"/>
        <v>4375</v>
      </c>
      <c r="I29" s="48" t="s">
        <v>219</v>
      </c>
      <c r="J29" s="49" t="s">
        <v>220</v>
      </c>
      <c r="K29" s="48">
        <v>4375</v>
      </c>
      <c r="L29" s="48" t="s">
        <v>221</v>
      </c>
      <c r="M29" s="49" t="s">
        <v>98</v>
      </c>
      <c r="N29" s="49"/>
      <c r="O29" s="50" t="s">
        <v>153</v>
      </c>
      <c r="P29" s="50" t="s">
        <v>222</v>
      </c>
    </row>
    <row r="30" spans="1:16" ht="12.75" customHeight="1" thickBot="1" x14ac:dyDescent="0.25">
      <c r="A30" s="10" t="str">
        <f t="shared" si="0"/>
        <v> BBS 115 </v>
      </c>
      <c r="B30" s="16" t="str">
        <f t="shared" si="1"/>
        <v>I</v>
      </c>
      <c r="C30" s="10">
        <f t="shared" si="2"/>
        <v>50598.485000000001</v>
      </c>
      <c r="D30" s="14" t="str">
        <f t="shared" si="3"/>
        <v>vis</v>
      </c>
      <c r="E30" s="47">
        <f>VLOOKUP(C30,Active!C$21:E$973,3,FALSE)</f>
        <v>4571.901792799651</v>
      </c>
      <c r="F30" s="16" t="s">
        <v>83</v>
      </c>
      <c r="G30" s="14" t="str">
        <f t="shared" si="4"/>
        <v>50598.485</v>
      </c>
      <c r="H30" s="10">
        <f t="shared" si="5"/>
        <v>4572</v>
      </c>
      <c r="I30" s="48" t="s">
        <v>223</v>
      </c>
      <c r="J30" s="49" t="s">
        <v>224</v>
      </c>
      <c r="K30" s="48">
        <v>4572</v>
      </c>
      <c r="L30" s="48" t="s">
        <v>225</v>
      </c>
      <c r="M30" s="49" t="s">
        <v>98</v>
      </c>
      <c r="N30" s="49"/>
      <c r="O30" s="50" t="s">
        <v>153</v>
      </c>
      <c r="P30" s="50" t="s">
        <v>226</v>
      </c>
    </row>
    <row r="31" spans="1:16" ht="12.75" customHeight="1" thickBot="1" x14ac:dyDescent="0.25">
      <c r="A31" s="10" t="str">
        <f t="shared" si="0"/>
        <v> BBS 116 </v>
      </c>
      <c r="B31" s="16" t="str">
        <f t="shared" si="1"/>
        <v>I</v>
      </c>
      <c r="C31" s="10">
        <f t="shared" si="2"/>
        <v>50700.368999999999</v>
      </c>
      <c r="D31" s="14" t="str">
        <f t="shared" si="3"/>
        <v>vis</v>
      </c>
      <c r="E31" s="47">
        <f>VLOOKUP(C31,Active!C$21:E$973,3,FALSE)</f>
        <v>4604.9022624580957</v>
      </c>
      <c r="F31" s="16" t="s">
        <v>83</v>
      </c>
      <c r="G31" s="14" t="str">
        <f t="shared" si="4"/>
        <v>50700.369</v>
      </c>
      <c r="H31" s="10">
        <f t="shared" si="5"/>
        <v>4605</v>
      </c>
      <c r="I31" s="48" t="s">
        <v>227</v>
      </c>
      <c r="J31" s="49" t="s">
        <v>228</v>
      </c>
      <c r="K31" s="48">
        <v>4605</v>
      </c>
      <c r="L31" s="48" t="s">
        <v>229</v>
      </c>
      <c r="M31" s="49" t="s">
        <v>98</v>
      </c>
      <c r="N31" s="49"/>
      <c r="O31" s="50" t="s">
        <v>153</v>
      </c>
      <c r="P31" s="50" t="s">
        <v>230</v>
      </c>
    </row>
    <row r="32" spans="1:16" ht="12.75" customHeight="1" thickBot="1" x14ac:dyDescent="0.25">
      <c r="A32" s="10" t="str">
        <f t="shared" si="0"/>
        <v>BAVM 186 </v>
      </c>
      <c r="B32" s="16" t="str">
        <f t="shared" si="1"/>
        <v>I</v>
      </c>
      <c r="C32" s="10">
        <f t="shared" si="2"/>
        <v>53889.5219</v>
      </c>
      <c r="D32" s="14" t="str">
        <f t="shared" si="3"/>
        <v>vis</v>
      </c>
      <c r="E32" s="47">
        <f>VLOOKUP(C32,Active!C$21:E$973,3,FALSE)</f>
        <v>5637.876463633861</v>
      </c>
      <c r="F32" s="16" t="s">
        <v>83</v>
      </c>
      <c r="G32" s="14" t="str">
        <f t="shared" si="4"/>
        <v>53889.5219</v>
      </c>
      <c r="H32" s="10">
        <f t="shared" si="5"/>
        <v>5638</v>
      </c>
      <c r="I32" s="48" t="s">
        <v>231</v>
      </c>
      <c r="J32" s="49" t="s">
        <v>232</v>
      </c>
      <c r="K32" s="48">
        <v>5638</v>
      </c>
      <c r="L32" s="48" t="s">
        <v>233</v>
      </c>
      <c r="M32" s="49" t="s">
        <v>234</v>
      </c>
      <c r="N32" s="49" t="s">
        <v>235</v>
      </c>
      <c r="O32" s="50" t="s">
        <v>236</v>
      </c>
      <c r="P32" s="51" t="s">
        <v>237</v>
      </c>
    </row>
    <row r="33" spans="1:16" ht="12.75" customHeight="1" thickBot="1" x14ac:dyDescent="0.25">
      <c r="A33" s="10" t="str">
        <f t="shared" si="0"/>
        <v>IBVS 5893 </v>
      </c>
      <c r="B33" s="16" t="str">
        <f t="shared" si="1"/>
        <v>I</v>
      </c>
      <c r="C33" s="10">
        <f t="shared" si="2"/>
        <v>54275.499799999998</v>
      </c>
      <c r="D33" s="14" t="str">
        <f t="shared" si="3"/>
        <v>vis</v>
      </c>
      <c r="E33" s="47">
        <f>VLOOKUP(C33,Active!C$21:E$973,3,FALSE)</f>
        <v>5762.8956224593903</v>
      </c>
      <c r="F33" s="16" t="s">
        <v>83</v>
      </c>
      <c r="G33" s="14" t="str">
        <f t="shared" si="4"/>
        <v>54275.4998</v>
      </c>
      <c r="H33" s="10">
        <f t="shared" si="5"/>
        <v>5763</v>
      </c>
      <c r="I33" s="48" t="s">
        <v>238</v>
      </c>
      <c r="J33" s="49" t="s">
        <v>239</v>
      </c>
      <c r="K33" s="48" t="s">
        <v>240</v>
      </c>
      <c r="L33" s="48" t="s">
        <v>241</v>
      </c>
      <c r="M33" s="49" t="s">
        <v>234</v>
      </c>
      <c r="N33" s="49" t="s">
        <v>83</v>
      </c>
      <c r="O33" s="50" t="s">
        <v>242</v>
      </c>
      <c r="P33" s="51" t="s">
        <v>243</v>
      </c>
    </row>
    <row r="34" spans="1:16" ht="12.75" customHeight="1" thickBot="1" x14ac:dyDescent="0.25">
      <c r="A34" s="10" t="str">
        <f t="shared" si="0"/>
        <v>BAVM 214 </v>
      </c>
      <c r="B34" s="16" t="str">
        <f t="shared" si="1"/>
        <v>I</v>
      </c>
      <c r="C34" s="10">
        <f t="shared" si="2"/>
        <v>55374.5003</v>
      </c>
      <c r="D34" s="14" t="str">
        <f t="shared" si="3"/>
        <v>vis</v>
      </c>
      <c r="E34" s="47">
        <f>VLOOKUP(C34,Active!C$21:E$973,3,FALSE)</f>
        <v>6118.8644954410747</v>
      </c>
      <c r="F34" s="16" t="s">
        <v>83</v>
      </c>
      <c r="G34" s="14" t="str">
        <f t="shared" si="4"/>
        <v>55374.5003</v>
      </c>
      <c r="H34" s="10">
        <f t="shared" si="5"/>
        <v>6119</v>
      </c>
      <c r="I34" s="48" t="s">
        <v>244</v>
      </c>
      <c r="J34" s="49" t="s">
        <v>245</v>
      </c>
      <c r="K34" s="48" t="s">
        <v>246</v>
      </c>
      <c r="L34" s="48" t="s">
        <v>247</v>
      </c>
      <c r="M34" s="49" t="s">
        <v>234</v>
      </c>
      <c r="N34" s="49" t="s">
        <v>235</v>
      </c>
      <c r="O34" s="50" t="s">
        <v>248</v>
      </c>
      <c r="P34" s="51" t="s">
        <v>249</v>
      </c>
    </row>
    <row r="35" spans="1:16" ht="12.75" customHeight="1" thickBot="1" x14ac:dyDescent="0.25">
      <c r="A35" s="10" t="str">
        <f t="shared" si="0"/>
        <v>IBVS 5997 </v>
      </c>
      <c r="B35" s="16" t="str">
        <f t="shared" si="1"/>
        <v>I</v>
      </c>
      <c r="C35" s="10">
        <f t="shared" si="2"/>
        <v>55726.445899999999</v>
      </c>
      <c r="D35" s="14" t="str">
        <f t="shared" si="3"/>
        <v>vis</v>
      </c>
      <c r="E35" s="47">
        <f>VLOOKUP(C35,Active!C$21:E$973,3,FALSE)</f>
        <v>6232.8605114418515</v>
      </c>
      <c r="F35" s="16" t="s">
        <v>83</v>
      </c>
      <c r="G35" s="14" t="str">
        <f t="shared" si="4"/>
        <v>55726.4459</v>
      </c>
      <c r="H35" s="10">
        <f t="shared" si="5"/>
        <v>6233</v>
      </c>
      <c r="I35" s="48" t="s">
        <v>250</v>
      </c>
      <c r="J35" s="49" t="s">
        <v>251</v>
      </c>
      <c r="K35" s="48" t="s">
        <v>252</v>
      </c>
      <c r="L35" s="48" t="s">
        <v>253</v>
      </c>
      <c r="M35" s="49" t="s">
        <v>234</v>
      </c>
      <c r="N35" s="49" t="s">
        <v>83</v>
      </c>
      <c r="O35" s="50" t="s">
        <v>254</v>
      </c>
      <c r="P35" s="51" t="s">
        <v>255</v>
      </c>
    </row>
    <row r="36" spans="1:16" ht="12.75" customHeight="1" thickBot="1" x14ac:dyDescent="0.25">
      <c r="A36" s="10" t="str">
        <f t="shared" si="0"/>
        <v>IBVS 5992 </v>
      </c>
      <c r="B36" s="16" t="str">
        <f t="shared" si="1"/>
        <v>I</v>
      </c>
      <c r="C36" s="10">
        <f t="shared" si="2"/>
        <v>55738.794600000001</v>
      </c>
      <c r="D36" s="14" t="str">
        <f t="shared" si="3"/>
        <v>vis</v>
      </c>
      <c r="E36" s="47">
        <f>VLOOKUP(C36,Active!C$21:E$973,3,FALSE)</f>
        <v>6236.8602847101893</v>
      </c>
      <c r="F36" s="16" t="s">
        <v>83</v>
      </c>
      <c r="G36" s="14" t="str">
        <f t="shared" si="4"/>
        <v>55738.7946</v>
      </c>
      <c r="H36" s="10">
        <f t="shared" si="5"/>
        <v>6237</v>
      </c>
      <c r="I36" s="48" t="s">
        <v>256</v>
      </c>
      <c r="J36" s="49" t="s">
        <v>257</v>
      </c>
      <c r="K36" s="48" t="s">
        <v>258</v>
      </c>
      <c r="L36" s="48" t="s">
        <v>259</v>
      </c>
      <c r="M36" s="49" t="s">
        <v>234</v>
      </c>
      <c r="N36" s="49" t="s">
        <v>83</v>
      </c>
      <c r="O36" s="50" t="s">
        <v>171</v>
      </c>
      <c r="P36" s="51" t="s">
        <v>260</v>
      </c>
    </row>
    <row r="37" spans="1:16" ht="12.75" customHeight="1" thickBot="1" x14ac:dyDescent="0.25">
      <c r="A37" s="10" t="str">
        <f t="shared" si="0"/>
        <v>BAVM 232 </v>
      </c>
      <c r="B37" s="16" t="str">
        <f t="shared" si="1"/>
        <v>II</v>
      </c>
      <c r="C37" s="10">
        <f t="shared" si="2"/>
        <v>56487.4879</v>
      </c>
      <c r="D37" s="14" t="str">
        <f t="shared" si="3"/>
        <v>vis</v>
      </c>
      <c r="E37" s="47">
        <f>VLOOKUP(C37,Active!C$21:E$973,3,FALSE)</f>
        <v>6479.363823343645</v>
      </c>
      <c r="F37" s="16" t="s">
        <v>83</v>
      </c>
      <c r="G37" s="14" t="str">
        <f t="shared" si="4"/>
        <v>56487.4879</v>
      </c>
      <c r="H37" s="10">
        <f t="shared" si="5"/>
        <v>6479.5</v>
      </c>
      <c r="I37" s="48" t="s">
        <v>261</v>
      </c>
      <c r="J37" s="49" t="s">
        <v>262</v>
      </c>
      <c r="K37" s="48" t="s">
        <v>263</v>
      </c>
      <c r="L37" s="48" t="s">
        <v>264</v>
      </c>
      <c r="M37" s="49" t="s">
        <v>234</v>
      </c>
      <c r="N37" s="49" t="s">
        <v>265</v>
      </c>
      <c r="O37" s="50" t="s">
        <v>266</v>
      </c>
      <c r="P37" s="51" t="s">
        <v>267</v>
      </c>
    </row>
    <row r="38" spans="1:16" ht="12.75" customHeight="1" thickBot="1" x14ac:dyDescent="0.25">
      <c r="A38" s="10" t="str">
        <f t="shared" si="0"/>
        <v> AN 235.318 </v>
      </c>
      <c r="B38" s="16" t="str">
        <f t="shared" si="1"/>
        <v>I</v>
      </c>
      <c r="C38" s="10">
        <f t="shared" si="2"/>
        <v>24822.182000000001</v>
      </c>
      <c r="D38" s="14" t="str">
        <f t="shared" si="3"/>
        <v>vis</v>
      </c>
      <c r="E38" s="47">
        <f>VLOOKUP(C38,Active!C$21:E$973,3,FALSE)</f>
        <v>-3777.1039888577579</v>
      </c>
      <c r="F38" s="16" t="s">
        <v>83</v>
      </c>
      <c r="G38" s="14" t="str">
        <f t="shared" si="4"/>
        <v>24822.182</v>
      </c>
      <c r="H38" s="10">
        <f t="shared" si="5"/>
        <v>-3777</v>
      </c>
      <c r="I38" s="48" t="s">
        <v>86</v>
      </c>
      <c r="J38" s="49" t="s">
        <v>87</v>
      </c>
      <c r="K38" s="48">
        <v>-3777</v>
      </c>
      <c r="L38" s="48" t="s">
        <v>88</v>
      </c>
      <c r="M38" s="49" t="s">
        <v>89</v>
      </c>
      <c r="N38" s="49"/>
      <c r="O38" s="50" t="s">
        <v>90</v>
      </c>
      <c r="P38" s="50" t="s">
        <v>91</v>
      </c>
    </row>
    <row r="39" spans="1:16" ht="12.75" customHeight="1" thickBot="1" x14ac:dyDescent="0.25">
      <c r="A39" s="10" t="str">
        <f t="shared" si="0"/>
        <v> AN 235.318 </v>
      </c>
      <c r="B39" s="16" t="str">
        <f t="shared" si="1"/>
        <v>I</v>
      </c>
      <c r="C39" s="10">
        <f t="shared" si="2"/>
        <v>24825.18</v>
      </c>
      <c r="D39" s="14" t="str">
        <f t="shared" si="3"/>
        <v>vis</v>
      </c>
      <c r="E39" s="47">
        <f>VLOOKUP(C39,Active!C$21:E$973,3,FALSE)</f>
        <v>-3776.1329295350379</v>
      </c>
      <c r="F39" s="16" t="s">
        <v>83</v>
      </c>
      <c r="G39" s="14" t="str">
        <f t="shared" si="4"/>
        <v>24825.180</v>
      </c>
      <c r="H39" s="10">
        <f t="shared" si="5"/>
        <v>-3776</v>
      </c>
      <c r="I39" s="48" t="s">
        <v>92</v>
      </c>
      <c r="J39" s="49" t="s">
        <v>93</v>
      </c>
      <c r="K39" s="48">
        <v>-3776</v>
      </c>
      <c r="L39" s="48" t="s">
        <v>94</v>
      </c>
      <c r="M39" s="49" t="s">
        <v>89</v>
      </c>
      <c r="N39" s="49"/>
      <c r="O39" s="50" t="s">
        <v>90</v>
      </c>
      <c r="P39" s="50" t="s">
        <v>91</v>
      </c>
    </row>
    <row r="40" spans="1:16" ht="12.75" customHeight="1" thickBot="1" x14ac:dyDescent="0.25">
      <c r="A40" s="10" t="str">
        <f t="shared" si="0"/>
        <v> BZ 13.18 </v>
      </c>
      <c r="B40" s="16" t="str">
        <f t="shared" si="1"/>
        <v>I</v>
      </c>
      <c r="C40" s="10">
        <f t="shared" si="2"/>
        <v>26242.371999999999</v>
      </c>
      <c r="D40" s="14" t="str">
        <f t="shared" si="3"/>
        <v>vis</v>
      </c>
      <c r="E40" s="47">
        <f>VLOOKUP(C40,Active!C$21:E$973,3,FALSE)</f>
        <v>-3317.1010737363758</v>
      </c>
      <c r="F40" s="16" t="s">
        <v>83</v>
      </c>
      <c r="G40" s="14" t="str">
        <f t="shared" si="4"/>
        <v>26242.372</v>
      </c>
      <c r="H40" s="10">
        <f t="shared" si="5"/>
        <v>-3317</v>
      </c>
      <c r="I40" s="48" t="s">
        <v>95</v>
      </c>
      <c r="J40" s="49" t="s">
        <v>96</v>
      </c>
      <c r="K40" s="48">
        <v>-3317</v>
      </c>
      <c r="L40" s="48" t="s">
        <v>97</v>
      </c>
      <c r="M40" s="49" t="s">
        <v>98</v>
      </c>
      <c r="N40" s="49"/>
      <c r="O40" s="50" t="s">
        <v>99</v>
      </c>
      <c r="P40" s="50" t="s">
        <v>100</v>
      </c>
    </row>
    <row r="41" spans="1:16" ht="12.75" customHeight="1" thickBot="1" x14ac:dyDescent="0.25">
      <c r="A41" s="10" t="str">
        <f t="shared" si="0"/>
        <v> CLVO 39.70 </v>
      </c>
      <c r="B41" s="16" t="str">
        <f t="shared" si="1"/>
        <v>I</v>
      </c>
      <c r="C41" s="10">
        <f t="shared" si="2"/>
        <v>29805.427</v>
      </c>
      <c r="D41" s="14" t="str">
        <f t="shared" si="3"/>
        <v>vis</v>
      </c>
      <c r="E41" s="47">
        <f>VLOOKUP(C41,Active!C$21:E$973,3,FALSE)</f>
        <v>-2163.0190940450548</v>
      </c>
      <c r="F41" s="16" t="s">
        <v>83</v>
      </c>
      <c r="G41" s="14" t="str">
        <f t="shared" si="4"/>
        <v>29805.427</v>
      </c>
      <c r="H41" s="10">
        <f t="shared" si="5"/>
        <v>-2163</v>
      </c>
      <c r="I41" s="48" t="s">
        <v>101</v>
      </c>
      <c r="J41" s="49" t="s">
        <v>102</v>
      </c>
      <c r="K41" s="48">
        <v>-2163</v>
      </c>
      <c r="L41" s="48" t="s">
        <v>103</v>
      </c>
      <c r="M41" s="49" t="s">
        <v>89</v>
      </c>
      <c r="N41" s="49"/>
      <c r="O41" s="50" t="s">
        <v>104</v>
      </c>
      <c r="P41" s="50" t="s">
        <v>105</v>
      </c>
    </row>
    <row r="42" spans="1:16" ht="12.75" customHeight="1" thickBot="1" x14ac:dyDescent="0.25">
      <c r="A42" s="10" t="str">
        <f t="shared" si="0"/>
        <v> CLVO 39.70 </v>
      </c>
      <c r="B42" s="16" t="str">
        <f t="shared" si="1"/>
        <v>I</v>
      </c>
      <c r="C42" s="10">
        <f t="shared" si="2"/>
        <v>30546.38</v>
      </c>
      <c r="D42" s="14" t="str">
        <f t="shared" si="3"/>
        <v>vis</v>
      </c>
      <c r="E42" s="47">
        <f>VLOOKUP(C42,Active!C$21:E$973,3,FALSE)</f>
        <v>-1923.0226569711883</v>
      </c>
      <c r="F42" s="16" t="s">
        <v>83</v>
      </c>
      <c r="G42" s="14" t="str">
        <f t="shared" si="4"/>
        <v>30546.380</v>
      </c>
      <c r="H42" s="10">
        <f t="shared" si="5"/>
        <v>-1923</v>
      </c>
      <c r="I42" s="48" t="s">
        <v>106</v>
      </c>
      <c r="J42" s="49" t="s">
        <v>107</v>
      </c>
      <c r="K42" s="48">
        <v>-1923</v>
      </c>
      <c r="L42" s="48" t="s">
        <v>108</v>
      </c>
      <c r="M42" s="49" t="s">
        <v>89</v>
      </c>
      <c r="N42" s="49"/>
      <c r="O42" s="50" t="s">
        <v>104</v>
      </c>
      <c r="P42" s="50" t="s">
        <v>105</v>
      </c>
    </row>
    <row r="43" spans="1:16" ht="12.75" customHeight="1" thickBot="1" x14ac:dyDescent="0.25">
      <c r="A43" s="10" t="str">
        <f t="shared" si="0"/>
        <v> IODE 4.2.81 </v>
      </c>
      <c r="B43" s="16" t="str">
        <f t="shared" si="1"/>
        <v>I</v>
      </c>
      <c r="C43" s="10">
        <f t="shared" si="2"/>
        <v>31287.360000000001</v>
      </c>
      <c r="D43" s="14" t="str">
        <f t="shared" si="3"/>
        <v>vis</v>
      </c>
      <c r="E43" s="47">
        <f>VLOOKUP(C43,Active!C$21:E$973,3,FALSE)</f>
        <v>-1683.0174745331753</v>
      </c>
      <c r="F43" s="16" t="s">
        <v>83</v>
      </c>
      <c r="G43" s="14" t="str">
        <f t="shared" si="4"/>
        <v>31287.360</v>
      </c>
      <c r="H43" s="10">
        <f t="shared" si="5"/>
        <v>-1683</v>
      </c>
      <c r="I43" s="48" t="s">
        <v>109</v>
      </c>
      <c r="J43" s="49" t="s">
        <v>110</v>
      </c>
      <c r="K43" s="48">
        <v>-1683</v>
      </c>
      <c r="L43" s="48" t="s">
        <v>111</v>
      </c>
      <c r="M43" s="49" t="s">
        <v>98</v>
      </c>
      <c r="N43" s="49"/>
      <c r="O43" s="50" t="s">
        <v>112</v>
      </c>
      <c r="P43" s="50" t="s">
        <v>113</v>
      </c>
    </row>
    <row r="44" spans="1:16" ht="12.75" customHeight="1" thickBot="1" x14ac:dyDescent="0.25">
      <c r="A44" s="10" t="str">
        <f t="shared" si="0"/>
        <v> CLVO 39.70 </v>
      </c>
      <c r="B44" s="16" t="str">
        <f t="shared" si="1"/>
        <v>I</v>
      </c>
      <c r="C44" s="10">
        <f t="shared" si="2"/>
        <v>33717.097000000002</v>
      </c>
      <c r="D44" s="14" t="str">
        <f t="shared" si="3"/>
        <v>vis</v>
      </c>
      <c r="E44" s="47">
        <f>VLOOKUP(C44,Active!C$21:E$973,3,FALSE)</f>
        <v>-896.01988760587483</v>
      </c>
      <c r="F44" s="16" t="s">
        <v>83</v>
      </c>
      <c r="G44" s="14" t="str">
        <f t="shared" si="4"/>
        <v>33717.097</v>
      </c>
      <c r="H44" s="10">
        <f t="shared" si="5"/>
        <v>-896</v>
      </c>
      <c r="I44" s="48" t="s">
        <v>114</v>
      </c>
      <c r="J44" s="49" t="s">
        <v>115</v>
      </c>
      <c r="K44" s="48">
        <v>-896</v>
      </c>
      <c r="L44" s="48" t="s">
        <v>116</v>
      </c>
      <c r="M44" s="49" t="s">
        <v>89</v>
      </c>
      <c r="N44" s="49"/>
      <c r="O44" s="50" t="s">
        <v>104</v>
      </c>
      <c r="P44" s="50" t="s">
        <v>105</v>
      </c>
    </row>
    <row r="45" spans="1:16" ht="12.75" customHeight="1" thickBot="1" x14ac:dyDescent="0.25">
      <c r="A45" s="10" t="str">
        <f t="shared" si="0"/>
        <v> CLVO 39.70 </v>
      </c>
      <c r="B45" s="16" t="str">
        <f t="shared" si="1"/>
        <v>I</v>
      </c>
      <c r="C45" s="10">
        <f t="shared" si="2"/>
        <v>33834.421999999999</v>
      </c>
      <c r="D45" s="14" t="str">
        <f t="shared" si="3"/>
        <v>vis</v>
      </c>
      <c r="E45" s="47">
        <f>VLOOKUP(C45,Active!C$21:E$973,3,FALSE)</f>
        <v>-858.01804136233352</v>
      </c>
      <c r="F45" s="16" t="s">
        <v>83</v>
      </c>
      <c r="G45" s="14" t="str">
        <f t="shared" si="4"/>
        <v>33834.422</v>
      </c>
      <c r="H45" s="10">
        <f t="shared" si="5"/>
        <v>-858</v>
      </c>
      <c r="I45" s="48" t="s">
        <v>117</v>
      </c>
      <c r="J45" s="49" t="s">
        <v>118</v>
      </c>
      <c r="K45" s="48">
        <v>-858</v>
      </c>
      <c r="L45" s="48" t="s">
        <v>119</v>
      </c>
      <c r="M45" s="49" t="s">
        <v>89</v>
      </c>
      <c r="N45" s="49"/>
      <c r="O45" s="50" t="s">
        <v>104</v>
      </c>
      <c r="P45" s="50" t="s">
        <v>105</v>
      </c>
    </row>
    <row r="46" spans="1:16" ht="12.75" customHeight="1" thickBot="1" x14ac:dyDescent="0.25">
      <c r="A46" s="10" t="str">
        <f t="shared" si="0"/>
        <v> EBC 1-32 </v>
      </c>
      <c r="B46" s="16" t="str">
        <f t="shared" si="1"/>
        <v>I</v>
      </c>
      <c r="C46" s="10">
        <f t="shared" si="2"/>
        <v>36128.381999999998</v>
      </c>
      <c r="D46" s="14" t="str">
        <f t="shared" si="3"/>
        <v>vis</v>
      </c>
      <c r="E46" s="47">
        <f>VLOOKUP(C46,Active!C$21:E$973,3,FALSE)</f>
        <v>-114.99894731727899</v>
      </c>
      <c r="F46" s="16" t="s">
        <v>83</v>
      </c>
      <c r="G46" s="14" t="str">
        <f t="shared" si="4"/>
        <v>36128.382</v>
      </c>
      <c r="H46" s="10">
        <f t="shared" si="5"/>
        <v>-115</v>
      </c>
      <c r="I46" s="48" t="s">
        <v>120</v>
      </c>
      <c r="J46" s="49" t="s">
        <v>121</v>
      </c>
      <c r="K46" s="48">
        <v>-115</v>
      </c>
      <c r="L46" s="48" t="s">
        <v>122</v>
      </c>
      <c r="M46" s="49" t="s">
        <v>98</v>
      </c>
      <c r="N46" s="49"/>
      <c r="O46" s="50" t="s">
        <v>112</v>
      </c>
      <c r="P46" s="50" t="s">
        <v>123</v>
      </c>
    </row>
    <row r="47" spans="1:16" ht="12.75" customHeight="1" thickBot="1" x14ac:dyDescent="0.25">
      <c r="A47" s="10" t="str">
        <f t="shared" si="0"/>
        <v> CLVO 39.70 </v>
      </c>
      <c r="B47" s="16" t="str">
        <f t="shared" si="1"/>
        <v>I</v>
      </c>
      <c r="C47" s="10">
        <f t="shared" si="2"/>
        <v>36733.432999999997</v>
      </c>
      <c r="D47" s="14" t="str">
        <f t="shared" si="3"/>
        <v>vis</v>
      </c>
      <c r="E47" s="47">
        <f>VLOOKUP(C47,Active!C$21:E$973,3,FALSE)</f>
        <v>80.978509077363498</v>
      </c>
      <c r="F47" s="16" t="s">
        <v>83</v>
      </c>
      <c r="G47" s="14" t="str">
        <f t="shared" si="4"/>
        <v>36733.433</v>
      </c>
      <c r="H47" s="10">
        <f t="shared" si="5"/>
        <v>81</v>
      </c>
      <c r="I47" s="48" t="s">
        <v>127</v>
      </c>
      <c r="J47" s="49" t="s">
        <v>128</v>
      </c>
      <c r="K47" s="48">
        <v>81</v>
      </c>
      <c r="L47" s="48" t="s">
        <v>129</v>
      </c>
      <c r="M47" s="49" t="s">
        <v>89</v>
      </c>
      <c r="N47" s="49"/>
      <c r="O47" s="50" t="s">
        <v>104</v>
      </c>
      <c r="P47" s="50" t="s">
        <v>105</v>
      </c>
    </row>
    <row r="48" spans="1:16" ht="12.75" customHeight="1" thickBot="1" x14ac:dyDescent="0.25">
      <c r="A48" s="10" t="str">
        <f t="shared" si="0"/>
        <v> PZ 17.674 </v>
      </c>
      <c r="B48" s="16" t="str">
        <f t="shared" si="1"/>
        <v>I</v>
      </c>
      <c r="C48" s="10">
        <f t="shared" si="2"/>
        <v>37020.593000000001</v>
      </c>
      <c r="D48" s="14" t="str">
        <f t="shared" si="3"/>
        <v>vis</v>
      </c>
      <c r="E48" s="47">
        <f>VLOOKUP(C48,Active!C$21:E$973,3,FALSE)</f>
        <v>173.99031531896341</v>
      </c>
      <c r="F48" s="16" t="s">
        <v>83</v>
      </c>
      <c r="G48" s="14" t="str">
        <f t="shared" si="4"/>
        <v>37020.593</v>
      </c>
      <c r="H48" s="10">
        <f t="shared" si="5"/>
        <v>174</v>
      </c>
      <c r="I48" s="48" t="s">
        <v>130</v>
      </c>
      <c r="J48" s="49" t="s">
        <v>131</v>
      </c>
      <c r="K48" s="48">
        <v>174</v>
      </c>
      <c r="L48" s="48" t="s">
        <v>132</v>
      </c>
      <c r="M48" s="49" t="s">
        <v>89</v>
      </c>
      <c r="N48" s="49"/>
      <c r="O48" s="50" t="s">
        <v>133</v>
      </c>
      <c r="P48" s="50" t="s">
        <v>134</v>
      </c>
    </row>
    <row r="49" spans="1:16" ht="12.75" customHeight="1" thickBot="1" x14ac:dyDescent="0.25">
      <c r="A49" s="10" t="str">
        <f t="shared" si="0"/>
        <v> CLVO 39.70 </v>
      </c>
      <c r="B49" s="16" t="str">
        <f t="shared" si="1"/>
        <v>I</v>
      </c>
      <c r="C49" s="10">
        <f t="shared" si="2"/>
        <v>37085.406999999999</v>
      </c>
      <c r="D49" s="14" t="str">
        <f t="shared" si="3"/>
        <v>vis</v>
      </c>
      <c r="E49" s="47">
        <f>VLOOKUP(C49,Active!C$21:E$973,3,FALSE)</f>
        <v>194.98372390561491</v>
      </c>
      <c r="F49" s="16" t="s">
        <v>83</v>
      </c>
      <c r="G49" s="14" t="str">
        <f t="shared" si="4"/>
        <v>37085.407</v>
      </c>
      <c r="H49" s="10">
        <f t="shared" si="5"/>
        <v>195</v>
      </c>
      <c r="I49" s="48" t="s">
        <v>135</v>
      </c>
      <c r="J49" s="49" t="s">
        <v>136</v>
      </c>
      <c r="K49" s="48">
        <v>195</v>
      </c>
      <c r="L49" s="48" t="s">
        <v>137</v>
      </c>
      <c r="M49" s="49" t="s">
        <v>89</v>
      </c>
      <c r="N49" s="49"/>
      <c r="O49" s="50" t="s">
        <v>104</v>
      </c>
      <c r="P49" s="50" t="s">
        <v>105</v>
      </c>
    </row>
    <row r="50" spans="1:16" ht="12.75" customHeight="1" thickBot="1" x14ac:dyDescent="0.25">
      <c r="A50" s="10" t="str">
        <f t="shared" si="0"/>
        <v> PZ 17.674 </v>
      </c>
      <c r="B50" s="16" t="str">
        <f t="shared" si="1"/>
        <v>I</v>
      </c>
      <c r="C50" s="10">
        <f t="shared" si="2"/>
        <v>37218.222999999998</v>
      </c>
      <c r="D50" s="14" t="str">
        <f t="shared" si="3"/>
        <v>vis</v>
      </c>
      <c r="E50" s="47">
        <f>VLOOKUP(C50,Active!C$21:E$973,3,FALSE)</f>
        <v>238.00314185304521</v>
      </c>
      <c r="F50" s="16" t="s">
        <v>83</v>
      </c>
      <c r="G50" s="14" t="str">
        <f t="shared" si="4"/>
        <v>37218.223</v>
      </c>
      <c r="H50" s="10">
        <f t="shared" si="5"/>
        <v>238</v>
      </c>
      <c r="I50" s="48" t="s">
        <v>138</v>
      </c>
      <c r="J50" s="49" t="s">
        <v>139</v>
      </c>
      <c r="K50" s="48">
        <v>238</v>
      </c>
      <c r="L50" s="48" t="s">
        <v>140</v>
      </c>
      <c r="M50" s="49" t="s">
        <v>89</v>
      </c>
      <c r="N50" s="49"/>
      <c r="O50" s="50" t="s">
        <v>133</v>
      </c>
      <c r="P50" s="50" t="s">
        <v>134</v>
      </c>
    </row>
    <row r="51" spans="1:16" ht="12.75" customHeight="1" thickBot="1" x14ac:dyDescent="0.25">
      <c r="A51" s="10" t="str">
        <f t="shared" si="0"/>
        <v> CLVO 39.70 </v>
      </c>
      <c r="B51" s="16" t="str">
        <f t="shared" si="1"/>
        <v>I</v>
      </c>
      <c r="C51" s="10">
        <f t="shared" si="2"/>
        <v>37471.425000000003</v>
      </c>
      <c r="D51" s="14" t="str">
        <f t="shared" si="3"/>
        <v>vis</v>
      </c>
      <c r="E51" s="47">
        <f>VLOOKUP(C51,Active!C$21:E$973,3,FALSE)</f>
        <v>320.01587121641666</v>
      </c>
      <c r="F51" s="16" t="s">
        <v>83</v>
      </c>
      <c r="G51" s="14" t="str">
        <f t="shared" si="4"/>
        <v>37471.425</v>
      </c>
      <c r="H51" s="10">
        <f t="shared" si="5"/>
        <v>320</v>
      </c>
      <c r="I51" s="48" t="s">
        <v>141</v>
      </c>
      <c r="J51" s="49" t="s">
        <v>142</v>
      </c>
      <c r="K51" s="48">
        <v>320</v>
      </c>
      <c r="L51" s="48" t="s">
        <v>143</v>
      </c>
      <c r="M51" s="49" t="s">
        <v>89</v>
      </c>
      <c r="N51" s="49"/>
      <c r="O51" s="50" t="s">
        <v>104</v>
      </c>
      <c r="P51" s="50" t="s">
        <v>105</v>
      </c>
    </row>
    <row r="52" spans="1:16" ht="12.75" customHeight="1" thickBot="1" x14ac:dyDescent="0.25">
      <c r="A52" s="10" t="str">
        <f t="shared" si="0"/>
        <v> CLVO 39.70 </v>
      </c>
      <c r="B52" s="16" t="str">
        <f t="shared" si="1"/>
        <v>I</v>
      </c>
      <c r="C52" s="10">
        <f t="shared" si="2"/>
        <v>37573.292000000001</v>
      </c>
      <c r="D52" s="14" t="str">
        <f t="shared" si="3"/>
        <v>vis</v>
      </c>
      <c r="E52" s="47">
        <f>VLOOKUP(C52,Active!C$21:E$973,3,FALSE)</f>
        <v>353.01083453447205</v>
      </c>
      <c r="F52" s="16" t="s">
        <v>83</v>
      </c>
      <c r="G52" s="14" t="str">
        <f t="shared" si="4"/>
        <v>37573.292</v>
      </c>
      <c r="H52" s="10">
        <f t="shared" si="5"/>
        <v>353</v>
      </c>
      <c r="I52" s="48" t="s">
        <v>144</v>
      </c>
      <c r="J52" s="49" t="s">
        <v>145</v>
      </c>
      <c r="K52" s="48">
        <v>353</v>
      </c>
      <c r="L52" s="48" t="s">
        <v>146</v>
      </c>
      <c r="M52" s="49" t="s">
        <v>89</v>
      </c>
      <c r="N52" s="49"/>
      <c r="O52" s="50" t="s">
        <v>104</v>
      </c>
      <c r="P52" s="50" t="s">
        <v>105</v>
      </c>
    </row>
    <row r="53" spans="1:16" ht="12.75" customHeight="1" thickBot="1" x14ac:dyDescent="0.25">
      <c r="A53" s="10" t="str">
        <f t="shared" si="0"/>
        <v> PZ 17.674 </v>
      </c>
      <c r="B53" s="16" t="str">
        <f t="shared" si="1"/>
        <v>I</v>
      </c>
      <c r="C53" s="10">
        <f t="shared" si="2"/>
        <v>37635.311999999998</v>
      </c>
      <c r="D53" s="14" t="str">
        <f t="shared" si="3"/>
        <v>vis</v>
      </c>
      <c r="E53" s="47">
        <f>VLOOKUP(C53,Active!C$21:E$973,3,FALSE)</f>
        <v>373.09925988307094</v>
      </c>
      <c r="F53" s="16" t="s">
        <v>83</v>
      </c>
      <c r="G53" s="14" t="str">
        <f t="shared" si="4"/>
        <v>37635.312</v>
      </c>
      <c r="H53" s="10">
        <f t="shared" si="5"/>
        <v>373</v>
      </c>
      <c r="I53" s="48" t="s">
        <v>147</v>
      </c>
      <c r="J53" s="49" t="s">
        <v>148</v>
      </c>
      <c r="K53" s="48">
        <v>373</v>
      </c>
      <c r="L53" s="48" t="s">
        <v>149</v>
      </c>
      <c r="M53" s="49" t="s">
        <v>89</v>
      </c>
      <c r="N53" s="49"/>
      <c r="O53" s="50" t="s">
        <v>133</v>
      </c>
      <c r="P53" s="50" t="s">
        <v>134</v>
      </c>
    </row>
    <row r="54" spans="1:16" x14ac:dyDescent="0.2">
      <c r="B54" s="16"/>
      <c r="E54" s="47"/>
      <c r="F54" s="16"/>
    </row>
    <row r="55" spans="1:16" x14ac:dyDescent="0.2">
      <c r="B55" s="16"/>
      <c r="E55" s="47"/>
      <c r="F55" s="16"/>
    </row>
    <row r="56" spans="1:16" x14ac:dyDescent="0.2">
      <c r="B56" s="16"/>
      <c r="E56" s="47"/>
      <c r="F56" s="16"/>
    </row>
    <row r="57" spans="1:16" x14ac:dyDescent="0.2">
      <c r="B57" s="16"/>
      <c r="E57" s="47"/>
      <c r="F57" s="16"/>
    </row>
    <row r="58" spans="1:16" x14ac:dyDescent="0.2">
      <c r="B58" s="16"/>
      <c r="E58" s="47"/>
      <c r="F58" s="16"/>
    </row>
    <row r="59" spans="1:16" x14ac:dyDescent="0.2">
      <c r="B59" s="16"/>
      <c r="E59" s="47"/>
      <c r="F59" s="16"/>
    </row>
    <row r="60" spans="1:16" x14ac:dyDescent="0.2">
      <c r="B60" s="16"/>
      <c r="E60" s="47"/>
      <c r="F60" s="16"/>
    </row>
    <row r="61" spans="1:16" x14ac:dyDescent="0.2">
      <c r="B61" s="16"/>
      <c r="E61" s="47"/>
      <c r="F61" s="16"/>
    </row>
    <row r="62" spans="1:16" x14ac:dyDescent="0.2">
      <c r="B62" s="16"/>
      <c r="E62" s="47"/>
      <c r="F62" s="16"/>
    </row>
    <row r="63" spans="1:16" x14ac:dyDescent="0.2">
      <c r="B63" s="16"/>
      <c r="E63" s="47"/>
      <c r="F63" s="16"/>
    </row>
    <row r="64" spans="1:16" x14ac:dyDescent="0.2">
      <c r="B64" s="16"/>
      <c r="E64" s="47"/>
      <c r="F64" s="16"/>
    </row>
    <row r="65" spans="2:6" x14ac:dyDescent="0.2">
      <c r="B65" s="16"/>
      <c r="E65" s="47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</sheetData>
  <phoneticPr fontId="7" type="noConversion"/>
  <hyperlinks>
    <hyperlink ref="P32" r:id="rId1" display="http://www.bav-astro.de/sfs/BAVM_link.php?BAVMnr=186"/>
    <hyperlink ref="P33" r:id="rId2" display="http://www.konkoly.hu/cgi-bin/IBVS?5893"/>
    <hyperlink ref="P34" r:id="rId3" display="http://www.bav-astro.de/sfs/BAVM_link.php?BAVMnr=214"/>
    <hyperlink ref="P35" r:id="rId4" display="http://www.konkoly.hu/cgi-bin/IBVS?5997"/>
    <hyperlink ref="P36" r:id="rId5" display="http://www.konkoly.hu/cgi-bin/IBVS?5992"/>
    <hyperlink ref="P37" r:id="rId6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2023-01-14T05:58:47Z</dcterms:modified>
</cp:coreProperties>
</file>