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C23D0D-B597-48C5-9F01-8E8E167916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O57" i="1" l="1"/>
  <c r="E53" i="1"/>
  <c r="F53" i="1"/>
  <c r="D9" i="1"/>
  <c r="C9" i="1"/>
  <c r="E47" i="1"/>
  <c r="F47" i="1"/>
  <c r="E27" i="1"/>
  <c r="F27" i="1"/>
  <c r="E35" i="1"/>
  <c r="F35" i="1"/>
  <c r="E50" i="1"/>
  <c r="F50" i="1"/>
  <c r="E64" i="1"/>
  <c r="F64" i="1"/>
  <c r="O55" i="1"/>
  <c r="O54" i="1"/>
  <c r="O53" i="1"/>
  <c r="O52" i="1"/>
  <c r="O65" i="1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50" i="2"/>
  <c r="C50" i="2"/>
  <c r="G39" i="2"/>
  <c r="C39" i="2"/>
  <c r="G49" i="2"/>
  <c r="C49" i="2"/>
  <c r="G48" i="2"/>
  <c r="C48" i="2"/>
  <c r="G47" i="2"/>
  <c r="C47" i="2"/>
  <c r="G46" i="2"/>
  <c r="C46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E17" i="2"/>
  <c r="G16" i="2"/>
  <c r="C16" i="2"/>
  <c r="G15" i="2"/>
  <c r="C15" i="2"/>
  <c r="G14" i="2"/>
  <c r="C14" i="2"/>
  <c r="G13" i="2"/>
  <c r="C13" i="2"/>
  <c r="G12" i="2"/>
  <c r="C12" i="2"/>
  <c r="H11" i="2"/>
  <c r="D11" i="2"/>
  <c r="B11" i="2"/>
  <c r="A11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50" i="2"/>
  <c r="D50" i="2"/>
  <c r="B50" i="2"/>
  <c r="A50" i="2"/>
  <c r="H39" i="2"/>
  <c r="D39" i="2"/>
  <c r="B39" i="2"/>
  <c r="A39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O64" i="1"/>
  <c r="O56" i="1"/>
  <c r="O62" i="1"/>
  <c r="O63" i="1"/>
  <c r="O60" i="1"/>
  <c r="F16" i="1"/>
  <c r="O61" i="1"/>
  <c r="O58" i="1"/>
  <c r="O59" i="1"/>
  <c r="C7" i="1"/>
  <c r="E57" i="1"/>
  <c r="F57" i="1"/>
  <c r="C8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C21" i="1"/>
  <c r="O21" i="1"/>
  <c r="O50" i="1"/>
  <c r="O51" i="1"/>
  <c r="E50" i="2"/>
  <c r="E38" i="2"/>
  <c r="E27" i="2"/>
  <c r="E22" i="2"/>
  <c r="E18" i="2"/>
  <c r="E49" i="2"/>
  <c r="E60" i="1"/>
  <c r="F60" i="1"/>
  <c r="E40" i="1"/>
  <c r="F40" i="1"/>
  <c r="E32" i="1"/>
  <c r="F32" i="1"/>
  <c r="E24" i="1"/>
  <c r="F24" i="1"/>
  <c r="E44" i="1"/>
  <c r="F44" i="1"/>
  <c r="E47" i="2"/>
  <c r="E58" i="1"/>
  <c r="F58" i="1"/>
  <c r="G58" i="1"/>
  <c r="J58" i="1"/>
  <c r="E37" i="1"/>
  <c r="F37" i="1"/>
  <c r="G37" i="1"/>
  <c r="I37" i="1"/>
  <c r="G31" i="1"/>
  <c r="I31" i="1"/>
  <c r="E29" i="1"/>
  <c r="F29" i="1"/>
  <c r="G29" i="1"/>
  <c r="I29" i="1"/>
  <c r="G23" i="1"/>
  <c r="I23" i="1"/>
  <c r="E49" i="1"/>
  <c r="F49" i="1"/>
  <c r="G49" i="1"/>
  <c r="I49" i="1"/>
  <c r="E56" i="1"/>
  <c r="F56" i="1"/>
  <c r="G56" i="1"/>
  <c r="K56" i="1"/>
  <c r="E55" i="1"/>
  <c r="F55" i="1"/>
  <c r="G55" i="1"/>
  <c r="I55" i="1"/>
  <c r="E63" i="1"/>
  <c r="F63" i="1"/>
  <c r="G63" i="1"/>
  <c r="K63" i="1"/>
  <c r="E21" i="1"/>
  <c r="F21" i="1"/>
  <c r="G21" i="1"/>
  <c r="H21" i="1"/>
  <c r="G36" i="1"/>
  <c r="I36" i="1"/>
  <c r="E34" i="1"/>
  <c r="F34" i="1"/>
  <c r="G34" i="1"/>
  <c r="I34" i="1"/>
  <c r="E26" i="1"/>
  <c r="F26" i="1"/>
  <c r="G26" i="1"/>
  <c r="I26" i="1"/>
  <c r="E46" i="1"/>
  <c r="F46" i="1"/>
  <c r="G46" i="1"/>
  <c r="I46" i="1"/>
  <c r="E52" i="1"/>
  <c r="F52" i="1"/>
  <c r="G52" i="1"/>
  <c r="I52" i="1"/>
  <c r="E16" i="2"/>
  <c r="E61" i="1"/>
  <c r="F61" i="1"/>
  <c r="G61" i="1"/>
  <c r="J61" i="1"/>
  <c r="E39" i="1"/>
  <c r="F39" i="1"/>
  <c r="G39" i="1"/>
  <c r="I39" i="1"/>
  <c r="E31" i="1"/>
  <c r="F31" i="1"/>
  <c r="G25" i="1"/>
  <c r="I25" i="1"/>
  <c r="E23" i="1"/>
  <c r="F23" i="1"/>
  <c r="E43" i="1"/>
  <c r="F43" i="1"/>
  <c r="G43" i="1"/>
  <c r="I43" i="1"/>
  <c r="E24" i="2"/>
  <c r="E51" i="1"/>
  <c r="F51" i="1"/>
  <c r="G51" i="1"/>
  <c r="K51" i="1"/>
  <c r="G38" i="1"/>
  <c r="I38" i="1"/>
  <c r="E36" i="1"/>
  <c r="F36" i="1"/>
  <c r="E28" i="1"/>
  <c r="F28" i="1"/>
  <c r="G28" i="1"/>
  <c r="I28" i="1"/>
  <c r="E48" i="1"/>
  <c r="F48" i="1"/>
  <c r="G48" i="1"/>
  <c r="I48" i="1"/>
  <c r="G57" i="1"/>
  <c r="I57" i="1"/>
  <c r="E54" i="1"/>
  <c r="F54" i="1"/>
  <c r="G54" i="1"/>
  <c r="J54" i="1"/>
  <c r="C17" i="1"/>
  <c r="G64" i="1"/>
  <c r="K64" i="1"/>
  <c r="E62" i="1"/>
  <c r="F62" i="1"/>
  <c r="G62" i="1"/>
  <c r="K62" i="1"/>
  <c r="G50" i="1"/>
  <c r="K50" i="1"/>
  <c r="E41" i="1"/>
  <c r="F41" i="1"/>
  <c r="G41" i="1"/>
  <c r="I41" i="1"/>
  <c r="G35" i="1"/>
  <c r="I35" i="1"/>
  <c r="E33" i="1"/>
  <c r="F33" i="1"/>
  <c r="G33" i="1"/>
  <c r="I33" i="1"/>
  <c r="G27" i="1"/>
  <c r="I27" i="1"/>
  <c r="E25" i="1"/>
  <c r="F25" i="1"/>
  <c r="G47" i="1"/>
  <c r="I47" i="1"/>
  <c r="E45" i="1"/>
  <c r="F45" i="1"/>
  <c r="G45" i="1"/>
  <c r="I45" i="1"/>
  <c r="G53" i="1"/>
  <c r="I53" i="1"/>
  <c r="E65" i="1"/>
  <c r="F65" i="1"/>
  <c r="G65" i="1"/>
  <c r="J65" i="1"/>
  <c r="G60" i="1"/>
  <c r="E59" i="1"/>
  <c r="F59" i="1"/>
  <c r="G59" i="1"/>
  <c r="K59" i="1"/>
  <c r="G40" i="1"/>
  <c r="I40" i="1"/>
  <c r="E38" i="1"/>
  <c r="F38" i="1"/>
  <c r="G32" i="1"/>
  <c r="I32" i="1"/>
  <c r="E30" i="1"/>
  <c r="F30" i="1"/>
  <c r="G30" i="1"/>
  <c r="I30" i="1"/>
  <c r="G24" i="1"/>
  <c r="I24" i="1"/>
  <c r="E22" i="1"/>
  <c r="F22" i="1"/>
  <c r="G22" i="1"/>
  <c r="I22" i="1"/>
  <c r="G44" i="1"/>
  <c r="I44" i="1"/>
  <c r="E42" i="1"/>
  <c r="F42" i="1"/>
  <c r="G42" i="1"/>
  <c r="I42" i="1"/>
  <c r="E20" i="2"/>
  <c r="E48" i="2"/>
  <c r="E34" i="2"/>
  <c r="E11" i="2"/>
  <c r="E43" i="2"/>
  <c r="E36" i="2"/>
  <c r="E30" i="2"/>
  <c r="E12" i="2"/>
  <c r="E40" i="2"/>
  <c r="E21" i="2"/>
  <c r="E44" i="2"/>
  <c r="E19" i="2"/>
  <c r="E41" i="2"/>
  <c r="E46" i="2"/>
  <c r="E45" i="2"/>
  <c r="E39" i="2"/>
  <c r="E13" i="2"/>
  <c r="E35" i="2"/>
  <c r="E33" i="2"/>
  <c r="I60" i="1"/>
  <c r="E37" i="2"/>
  <c r="E29" i="2"/>
  <c r="E28" i="2"/>
  <c r="E26" i="2"/>
  <c r="E32" i="2"/>
  <c r="E31" i="2"/>
  <c r="E42" i="2"/>
  <c r="E23" i="2"/>
  <c r="E15" i="2"/>
  <c r="E14" i="2"/>
  <c r="C11" i="1"/>
  <c r="C12" i="1"/>
  <c r="C16" i="1" l="1"/>
  <c r="D18" i="1" s="1"/>
  <c r="M58" i="1"/>
  <c r="M61" i="1"/>
  <c r="M62" i="1"/>
  <c r="C15" i="1"/>
  <c r="F18" i="1" s="1"/>
  <c r="M55" i="1"/>
  <c r="M60" i="1"/>
  <c r="M53" i="1"/>
  <c r="M56" i="1"/>
  <c r="M54" i="1"/>
  <c r="M64" i="1"/>
  <c r="M65" i="1"/>
  <c r="M63" i="1"/>
  <c r="M59" i="1"/>
  <c r="M57" i="1"/>
  <c r="F17" i="1"/>
  <c r="C18" i="1" l="1"/>
  <c r="F19" i="1"/>
</calcChain>
</file>

<file path=xl/sharedStrings.xml><?xml version="1.0" encoding="utf-8"?>
<sst xmlns="http://schemas.openxmlformats.org/spreadsheetml/2006/main" count="466" uniqueCount="258">
  <si>
    <t>Date</t>
  </si>
  <si>
    <t>Epoch =</t>
  </si>
  <si>
    <t>error</t>
  </si>
  <si>
    <t>GCVS 4</t>
  </si>
  <si>
    <t>I</t>
  </si>
  <si>
    <t>IBVS 5027</t>
  </si>
  <si>
    <t>II</t>
  </si>
  <si>
    <t>n</t>
  </si>
  <si>
    <t>n'</t>
  </si>
  <si>
    <t>New Ephemeris =</t>
  </si>
  <si>
    <t>New Period =</t>
  </si>
  <si>
    <t>O-C</t>
  </si>
  <si>
    <t>Period =</t>
  </si>
  <si>
    <t>Source</t>
  </si>
  <si>
    <t>ToM</t>
  </si>
  <si>
    <t>Typ</t>
  </si>
  <si>
    <t>Y1</t>
  </si>
  <si>
    <t>Y2</t>
  </si>
  <si>
    <t>Y3</t>
  </si>
  <si>
    <t>Lin. Fit</t>
  </si>
  <si>
    <t>Q. fit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</si>
  <si>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</si>
  <si>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</si>
  <si>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</si>
  <si>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</si>
  <si>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</si>
  <si>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</si>
  <si>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</si>
  <si>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</si>
  <si>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</si>
  <si>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EA/sd</t>
  </si>
  <si>
    <t>Locher K</t>
  </si>
  <si>
    <t>BBSAG Bull.33</t>
  </si>
  <si>
    <t>B</t>
  </si>
  <si>
    <t>BBSAG Bull.37</t>
  </si>
  <si>
    <t>BBSAG Bull.38</t>
  </si>
  <si>
    <t>BBSAG Bull.39</t>
  </si>
  <si>
    <t>BBSAG Bull.42</t>
  </si>
  <si>
    <t>BBSAG Bull.47</t>
  </si>
  <si>
    <t>BBSAG Bull.48</t>
  </si>
  <si>
    <t>BBSAG Bull.50</t>
  </si>
  <si>
    <t>BBSAG Bull.54</t>
  </si>
  <si>
    <t>Andrakako</t>
  </si>
  <si>
    <t>u M</t>
  </si>
  <si>
    <t>BBSAG Bull.56</t>
  </si>
  <si>
    <t>BBSAG Bull.62</t>
  </si>
  <si>
    <t>BBSAG Bull.83</t>
  </si>
  <si>
    <t>BBSAG Bull.84</t>
  </si>
  <si>
    <t>BBSAG Bull.88</t>
  </si>
  <si>
    <t>BBSAG Bull.89</t>
  </si>
  <si>
    <t>BBSAG Bull.91</t>
  </si>
  <si>
    <t>BBSAG Bull.92</t>
  </si>
  <si>
    <t>BBSAG Bull.95</t>
  </si>
  <si>
    <t>BBSAG Bull.101</t>
  </si>
  <si>
    <t>BBSAG Bull.104</t>
  </si>
  <si>
    <t>BBSAG Bull.107</t>
  </si>
  <si>
    <t>BBSAG Bull.109</t>
  </si>
  <si>
    <t>BBSAG Bull.112</t>
  </si>
  <si>
    <t>BBSAG Bull.115</t>
  </si>
  <si>
    <t>BBSAG Bull.117</t>
  </si>
  <si>
    <t>Misc</t>
  </si>
  <si>
    <t>IBVS 5543</t>
  </si>
  <si>
    <t># of data points:</t>
  </si>
  <si>
    <t>DP Her / gsc 1538-0003?</t>
  </si>
  <si>
    <t>IBVS 5438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</si>
  <si>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</si>
  <si>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</si>
  <si>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</si>
  <si>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</si>
  <si>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</si>
  <si>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</si>
  <si>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</si>
  <si>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</si>
  <si>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Add cycle</t>
  </si>
  <si>
    <t>Old Cycle</t>
  </si>
  <si>
    <t>OEJV 0003</t>
  </si>
  <si>
    <t>2013JAVSO..41..122</t>
  </si>
  <si>
    <t>OEJV 0160</t>
  </si>
  <si>
    <t>OEJV 0165</t>
  </si>
  <si>
    <t>3,00E-05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</si>
  <si>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</si>
  <si>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</si>
  <si>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</si>
  <si>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</si>
  <si>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</si>
  <si>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</si>
  <si>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</si>
  <si>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</si>
  <si>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</si>
  <si>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</si>
  <si>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</si>
  <si>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</si>
  <si>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</si>
  <si>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2443273.446 </t>
  </si>
  <si>
    <t> 09.05.1977 22:42 </t>
  </si>
  <si>
    <t> -0.000 </t>
  </si>
  <si>
    <t>V </t>
  </si>
  <si>
    <t> K.Locher </t>
  </si>
  <si>
    <t> BBS 33 </t>
  </si>
  <si>
    <t>2443671.499 </t>
  </si>
  <si>
    <t> 11.06.1978 23:58 </t>
  </si>
  <si>
    <t> 0.000 </t>
  </si>
  <si>
    <t> BBS 37 </t>
  </si>
  <si>
    <t>2443703.478 </t>
  </si>
  <si>
    <t> 13.07.1978 23:28 </t>
  </si>
  <si>
    <t> -0.007 </t>
  </si>
  <si>
    <t> BBS 38 </t>
  </si>
  <si>
    <t>2443776.337 </t>
  </si>
  <si>
    <t> 24.09.1978 20:05 </t>
  </si>
  <si>
    <t> -0.006 </t>
  </si>
  <si>
    <t> BBS 39 </t>
  </si>
  <si>
    <t>2443957.596 </t>
  </si>
  <si>
    <t> 25.03.1979 02:18 </t>
  </si>
  <si>
    <t> BBS 42 </t>
  </si>
  <si>
    <t>2444341.435 </t>
  </si>
  <si>
    <t> 11.04.1980 22:26 </t>
  </si>
  <si>
    <t> BBS 47 </t>
  </si>
  <si>
    <t>2444396.525 </t>
  </si>
  <si>
    <t> 06.06.1980 00:36 </t>
  </si>
  <si>
    <t> 0.002 </t>
  </si>
  <si>
    <t> BBS 48 </t>
  </si>
  <si>
    <t>2444485.371 </t>
  </si>
  <si>
    <t> 02.09.1980 20:54 </t>
  </si>
  <si>
    <t> BBS 50 </t>
  </si>
  <si>
    <t>2444707.503 </t>
  </si>
  <si>
    <t> 13.04.1981 00:04 </t>
  </si>
  <si>
    <t> 0.001 </t>
  </si>
  <si>
    <t> BBS 54 </t>
  </si>
  <si>
    <t>2444755.480 </t>
  </si>
  <si>
    <t> 30.05.1981 23:31 </t>
  </si>
  <si>
    <t> -0.001 </t>
  </si>
  <si>
    <t> M.Andrakakou </t>
  </si>
  <si>
    <t>2444755.483 </t>
  </si>
  <si>
    <t> 30.05.1981 23:35 </t>
  </si>
  <si>
    <t>2444787.468 </t>
  </si>
  <si>
    <t> 01.07.1981 23:13 </t>
  </si>
  <si>
    <t> BBS 56 </t>
  </si>
  <si>
    <t>2445194.417 </t>
  </si>
  <si>
    <t> 12.08.1982 22:00 </t>
  </si>
  <si>
    <t> 0.012 </t>
  </si>
  <si>
    <t> BBS 62 </t>
  </si>
  <si>
    <t>2446907.471 </t>
  </si>
  <si>
    <t> 21.04.1987 23:18 </t>
  </si>
  <si>
    <t> 0.019 </t>
  </si>
  <si>
    <t> BBS 83 </t>
  </si>
  <si>
    <t>2446939.452 </t>
  </si>
  <si>
    <t> 23.05.1987 22:50 </t>
  </si>
  <si>
    <t> 0.013 </t>
  </si>
  <si>
    <t> BBS 84 </t>
  </si>
  <si>
    <t>2447330.409 </t>
  </si>
  <si>
    <t> 17.06.1988 21:48 </t>
  </si>
  <si>
    <t> 0.026 </t>
  </si>
  <si>
    <t> BBS 88 </t>
  </si>
  <si>
    <t>2447353.510 </t>
  </si>
  <si>
    <t> 11.07.1988 00:14 </t>
  </si>
  <si>
    <t> BBS 89 </t>
  </si>
  <si>
    <t>2447591.644 </t>
  </si>
  <si>
    <t> 06.03.1989 03:27 </t>
  </si>
  <si>
    <t> 0.039 </t>
  </si>
  <si>
    <t> BBS 91 </t>
  </si>
  <si>
    <t>2447689.384 </t>
  </si>
  <si>
    <t> 11.06.1989 21:12 </t>
  </si>
  <si>
    <t> 0.043 </t>
  </si>
  <si>
    <t> BBS 92 </t>
  </si>
  <si>
    <t>2448039.446 </t>
  </si>
  <si>
    <t> 27.05.1990 22:42 </t>
  </si>
  <si>
    <t> 0.032 </t>
  </si>
  <si>
    <t> BBS 95 </t>
  </si>
  <si>
    <t>2448780.478 </t>
  </si>
  <si>
    <t> 06.06.1992 23:28 </t>
  </si>
  <si>
    <t> 0.047 </t>
  </si>
  <si>
    <t> BBS 101 </t>
  </si>
  <si>
    <t>2449130.547 </t>
  </si>
  <si>
    <t> 23.05.1993 01:07 </t>
  </si>
  <si>
    <t> BBS 104 </t>
  </si>
  <si>
    <t>2449569.468 </t>
  </si>
  <si>
    <t> 04.08.1994 23:13 </t>
  </si>
  <si>
    <t> 0.040 </t>
  </si>
  <si>
    <t> BBS 107 </t>
  </si>
  <si>
    <t>2449807.594 </t>
  </si>
  <si>
    <t> 31.03.1995 02:15 </t>
  </si>
  <si>
    <t> 0.045 </t>
  </si>
  <si>
    <t> BBS 109 </t>
  </si>
  <si>
    <t>2450246.534 </t>
  </si>
  <si>
    <t> 12.06.1996 00:48 </t>
  </si>
  <si>
    <t> 0.061 </t>
  </si>
  <si>
    <t> BBS 112 </t>
  </si>
  <si>
    <t>2450598.376 </t>
  </si>
  <si>
    <t> 29.05.1997 21:01 </t>
  </si>
  <si>
    <t> 0.054 </t>
  </si>
  <si>
    <t> BBS 115 </t>
  </si>
  <si>
    <t>2450923.578 </t>
  </si>
  <si>
    <t> 20.04.1998 01:52 </t>
  </si>
  <si>
    <t> BBS 117 </t>
  </si>
  <si>
    <t>2451362.501 </t>
  </si>
  <si>
    <t> 03.07.1999 00:01 </t>
  </si>
  <si>
    <t> 0.060 </t>
  </si>
  <si>
    <t> BBS 120 </t>
  </si>
  <si>
    <t>2451433.578 </t>
  </si>
  <si>
    <t> 12.09.1999 01:52 </t>
  </si>
  <si>
    <t> 0.056 </t>
  </si>
  <si>
    <t> P.Guilbault </t>
  </si>
  <si>
    <t> BBS 123 </t>
  </si>
  <si>
    <t>2451435.3543 </t>
  </si>
  <si>
    <t> 13.09.1999 20:30 </t>
  </si>
  <si>
    <t> 0.0554 </t>
  </si>
  <si>
    <t>E </t>
  </si>
  <si>
    <t>?</t>
  </si>
  <si>
    <t> R.Diethelm </t>
  </si>
  <si>
    <t> BBS 121 </t>
  </si>
  <si>
    <t>2451719.680 </t>
  </si>
  <si>
    <t> 24.06.2000 04:19 </t>
  </si>
  <si>
    <t> 0.058 </t>
  </si>
  <si>
    <t>2451727.6733 </t>
  </si>
  <si>
    <t> 02.07.2000 04:09 </t>
  </si>
  <si>
    <t> 0.0547 </t>
  </si>
  <si>
    <t>C </t>
  </si>
  <si>
    <t> G.Lubcke </t>
  </si>
  <si>
    <t> JAAVSO 41;122 </t>
  </si>
  <si>
    <t>2451840.515 </t>
  </si>
  <si>
    <t> 23.10.2000 00:21 </t>
  </si>
  <si>
    <t> BBS 124 </t>
  </si>
  <si>
    <t>2452764.571 </t>
  </si>
  <si>
    <t> 05.05.2003 01:42 </t>
  </si>
  <si>
    <t> BBS 129 </t>
  </si>
  <si>
    <t>2452853.430 </t>
  </si>
  <si>
    <t> 01.08.2003 22:19 </t>
  </si>
  <si>
    <t> 0.069 </t>
  </si>
  <si>
    <t> BBS 130 </t>
  </si>
  <si>
    <t>2453203.491 </t>
  </si>
  <si>
    <t> 16.07.2004 23:47 </t>
  </si>
  <si>
    <t> 0.057 </t>
  </si>
  <si>
    <t>OEJV 0003 </t>
  </si>
  <si>
    <t>2454239.4858 </t>
  </si>
  <si>
    <t> 18.05.2007 23:39 </t>
  </si>
  <si>
    <t> 0.0495 </t>
  </si>
  <si>
    <t>-I</t>
  </si>
  <si>
    <t> F.Agerer </t>
  </si>
  <si>
    <t>BAVM 186 </t>
  </si>
  <si>
    <t>2455625.55778 </t>
  </si>
  <si>
    <t> 05.03.2011 01:23 </t>
  </si>
  <si>
    <t>15768</t>
  </si>
  <si>
    <t> 0.04600 </t>
  </si>
  <si>
    <t> V.P?ibik </t>
  </si>
  <si>
    <t>OEJV 0160 </t>
  </si>
  <si>
    <t>2456153.33242 </t>
  </si>
  <si>
    <t> 13.08.2012 19:58 </t>
  </si>
  <si>
    <t>16065</t>
  </si>
  <si>
    <t> 0.04573 </t>
  </si>
  <si>
    <t> J.Trnka </t>
  </si>
  <si>
    <t>2457123.5865 </t>
  </si>
  <si>
    <t> 11.04.2015 02:04 </t>
  </si>
  <si>
    <t>16611</t>
  </si>
  <si>
    <t> 0.0469 </t>
  </si>
  <si>
    <t>o</t>
  </si>
  <si>
    <t> W.Moschner &amp; P.Frank </t>
  </si>
  <si>
    <t>BAVM 241 (=IBVS 6157)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</si>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</sst>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3" fontId="22" fillId="2" borderId="0"/>
    <xf numFmtId="164" fontId="22" fillId="2" borderId="0"/>
    <xf numFmtId="0" fontId="22" fillId="2" borderId="0"/>
    <xf numFmtId="2" fontId="22" fillId="2" borderId="0"/>
    <xf numFmtId="0" fontId="1" fillId="2" borderId="0"/>
    <xf numFmtId="0" fontId="2" fillId="2" borderId="0"/>
    <xf numFmtId="0" fontId="17" fillId="0" borderId="0" applyNumberFormat="0" applyFill="0" applyBorder="0" applyAlignment="0" applyProtection="0">
      <alignment vertical="top"/>
      <protection locked="0"/>
    </xf>
    <xf numFmtId="0" fontId="22" fillId="2" borderId="2"/>
  </cellStyleXfs>
  <cellXfs count="74"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4" fontId="0" fillId="2" borderId="3" xfId="0" applyNumberFormat="1" applyFill="1" applyBorder="1"/>
    <xf numFmtId="14" fontId="0" fillId="2" borderId="1" xfId="0" applyNumberFormat="1" applyFill="1" applyBorder="1"/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3" fillId="2" borderId="1" xfId="0" applyFont="1" applyFill="1" applyBorder="1"/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/>
    <xf numFmtId="22" fontId="6" fillId="0" borderId="0" xfId="0" applyNumberFormat="1" applyFont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17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0" xfId="0" quotePrefix="1"/>
    <xf numFmtId="0" fontId="18" fillId="3" borderId="19" xfId="0" applyFont="1" applyFill="1" applyBorder="1" applyAlignment="1">
      <alignment horizontal="left" vertical="top" wrapText="1" indent="1"/>
    </xf>
    <xf numFmtId="0" fontId="18" fillId="3" borderId="19" xfId="0" applyFont="1" applyFill="1" applyBorder="1" applyAlignment="1">
      <alignment horizontal="center" vertical="top" wrapText="1"/>
    </xf>
    <xf numFmtId="0" fontId="18" fillId="3" borderId="19" xfId="0" applyFont="1" applyFill="1" applyBorder="1" applyAlignment="1">
      <alignment horizontal="right" vertical="top" wrapText="1"/>
    </xf>
    <xf numFmtId="0" fontId="17" fillId="3" borderId="19" xfId="7" applyFill="1" applyBorder="1" applyAlignment="1" applyProtection="1">
      <alignment horizontal="right" vertical="top" wrapText="1"/>
    </xf>
    <xf numFmtId="0" fontId="21" fillId="2" borderId="10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3" fillId="0" borderId="1" xfId="0" applyFont="1" applyBorder="1"/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9" fillId="2" borderId="0" xfId="0" applyFont="1" applyFill="1"/>
    <xf numFmtId="0" fontId="12" fillId="0" borderId="1" xfId="0" applyFont="1" applyBorder="1" applyAlignment="1">
      <alignment horizontal="left"/>
    </xf>
    <xf numFmtId="0" fontId="19" fillId="2" borderId="0" xfId="0" applyFont="1" applyFill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9" fillId="2" borderId="0" xfId="0" applyFont="1" applyFill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DP Her - O-C Diagr.</a:t>
            </a:r>
          </a:p>
        </c:rich>
      </c:tx>
      <c:layout>
        <c:manualLayout>
          <c:xMode val="edge"/>
          <c:yMode val="edge"/>
          <c:x val="0.4114152318356162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368661266733513E-2"/>
          <c:y val="0.15384638498555436"/>
          <c:w val="0.85731322070151139"/>
          <c:h val="0.62153939534163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8817</c:v>
                </c:pt>
                <c:pt idx="2">
                  <c:v>9041</c:v>
                </c:pt>
                <c:pt idx="3">
                  <c:v>9059</c:v>
                </c:pt>
                <c:pt idx="4">
                  <c:v>9100</c:v>
                </c:pt>
                <c:pt idx="5">
                  <c:v>9202</c:v>
                </c:pt>
                <c:pt idx="6">
                  <c:v>9418</c:v>
                </c:pt>
                <c:pt idx="7">
                  <c:v>9449</c:v>
                </c:pt>
                <c:pt idx="8">
                  <c:v>9499</c:v>
                </c:pt>
                <c:pt idx="9">
                  <c:v>9624</c:v>
                </c:pt>
                <c:pt idx="10">
                  <c:v>9651</c:v>
                </c:pt>
                <c:pt idx="11">
                  <c:v>9651</c:v>
                </c:pt>
                <c:pt idx="12">
                  <c:v>9669</c:v>
                </c:pt>
                <c:pt idx="13">
                  <c:v>9898</c:v>
                </c:pt>
                <c:pt idx="14">
                  <c:v>10862</c:v>
                </c:pt>
                <c:pt idx="15">
                  <c:v>10880</c:v>
                </c:pt>
                <c:pt idx="16">
                  <c:v>11100</c:v>
                </c:pt>
                <c:pt idx="17">
                  <c:v>11113</c:v>
                </c:pt>
                <c:pt idx="18">
                  <c:v>11247</c:v>
                </c:pt>
                <c:pt idx="19">
                  <c:v>11302</c:v>
                </c:pt>
                <c:pt idx="20">
                  <c:v>11499</c:v>
                </c:pt>
                <c:pt idx="21">
                  <c:v>11916</c:v>
                </c:pt>
                <c:pt idx="22">
                  <c:v>12113</c:v>
                </c:pt>
                <c:pt idx="23">
                  <c:v>12360</c:v>
                </c:pt>
                <c:pt idx="24">
                  <c:v>12494</c:v>
                </c:pt>
                <c:pt idx="25">
                  <c:v>12741</c:v>
                </c:pt>
                <c:pt idx="26">
                  <c:v>12741</c:v>
                </c:pt>
                <c:pt idx="27">
                  <c:v>12939</c:v>
                </c:pt>
                <c:pt idx="28">
                  <c:v>13122</c:v>
                </c:pt>
                <c:pt idx="29">
                  <c:v>13327.5</c:v>
                </c:pt>
                <c:pt idx="30">
                  <c:v>13341</c:v>
                </c:pt>
                <c:pt idx="31">
                  <c:v>13369</c:v>
                </c:pt>
                <c:pt idx="32">
                  <c:v>13409</c:v>
                </c:pt>
                <c:pt idx="33">
                  <c:v>13410</c:v>
                </c:pt>
                <c:pt idx="34">
                  <c:v>13570</c:v>
                </c:pt>
                <c:pt idx="35">
                  <c:v>13574.5</c:v>
                </c:pt>
                <c:pt idx="36">
                  <c:v>13638</c:v>
                </c:pt>
                <c:pt idx="37">
                  <c:v>14158</c:v>
                </c:pt>
                <c:pt idx="38">
                  <c:v>14208</c:v>
                </c:pt>
                <c:pt idx="39">
                  <c:v>14405</c:v>
                </c:pt>
                <c:pt idx="40">
                  <c:v>14988</c:v>
                </c:pt>
                <c:pt idx="41">
                  <c:v>15768</c:v>
                </c:pt>
                <c:pt idx="42">
                  <c:v>16065</c:v>
                </c:pt>
                <c:pt idx="43">
                  <c:v>16065</c:v>
                </c:pt>
                <c:pt idx="44">
                  <c:v>16611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D1-40ED-AAC8-F59DAA68D5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</c:f>
                <c:numCache>
                  <c:formatCode>General</c:formatCode>
                  <c:ptCount val="3"/>
                </c:numCache>
              </c:numRef>
            </c:plus>
            <c:minus>
              <c:numRef>
                <c:f>Active!$D$21:$D$23</c:f>
                <c:numCache>
                  <c:formatCode>General</c:formatCode>
                  <c:ptCount val="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8817</c:v>
                </c:pt>
                <c:pt idx="2">
                  <c:v>9041</c:v>
                </c:pt>
                <c:pt idx="3">
                  <c:v>9059</c:v>
                </c:pt>
                <c:pt idx="4">
                  <c:v>9100</c:v>
                </c:pt>
                <c:pt idx="5">
                  <c:v>9202</c:v>
                </c:pt>
                <c:pt idx="6">
                  <c:v>9418</c:v>
                </c:pt>
                <c:pt idx="7">
                  <c:v>9449</c:v>
                </c:pt>
                <c:pt idx="8">
                  <c:v>9499</c:v>
                </c:pt>
                <c:pt idx="9">
                  <c:v>9624</c:v>
                </c:pt>
                <c:pt idx="10">
                  <c:v>9651</c:v>
                </c:pt>
                <c:pt idx="11">
                  <c:v>9651</c:v>
                </c:pt>
                <c:pt idx="12">
                  <c:v>9669</c:v>
                </c:pt>
                <c:pt idx="13">
                  <c:v>9898</c:v>
                </c:pt>
                <c:pt idx="14">
                  <c:v>10862</c:v>
                </c:pt>
                <c:pt idx="15">
                  <c:v>10880</c:v>
                </c:pt>
                <c:pt idx="16">
                  <c:v>11100</c:v>
                </c:pt>
                <c:pt idx="17">
                  <c:v>11113</c:v>
                </c:pt>
                <c:pt idx="18">
                  <c:v>11247</c:v>
                </c:pt>
                <c:pt idx="19">
                  <c:v>11302</c:v>
                </c:pt>
                <c:pt idx="20">
                  <c:v>11499</c:v>
                </c:pt>
                <c:pt idx="21">
                  <c:v>11916</c:v>
                </c:pt>
                <c:pt idx="22">
                  <c:v>12113</c:v>
                </c:pt>
                <c:pt idx="23">
                  <c:v>12360</c:v>
                </c:pt>
                <c:pt idx="24">
                  <c:v>12494</c:v>
                </c:pt>
                <c:pt idx="25">
                  <c:v>12741</c:v>
                </c:pt>
                <c:pt idx="26">
                  <c:v>12741</c:v>
                </c:pt>
                <c:pt idx="27">
                  <c:v>12939</c:v>
                </c:pt>
                <c:pt idx="28">
                  <c:v>13122</c:v>
                </c:pt>
                <c:pt idx="29">
                  <c:v>13327.5</c:v>
                </c:pt>
                <c:pt idx="30">
                  <c:v>13341</c:v>
                </c:pt>
                <c:pt idx="31">
                  <c:v>13369</c:v>
                </c:pt>
                <c:pt idx="32">
                  <c:v>13409</c:v>
                </c:pt>
                <c:pt idx="33">
                  <c:v>13410</c:v>
                </c:pt>
                <c:pt idx="34">
                  <c:v>13570</c:v>
                </c:pt>
                <c:pt idx="35">
                  <c:v>13574.5</c:v>
                </c:pt>
                <c:pt idx="36">
                  <c:v>13638</c:v>
                </c:pt>
                <c:pt idx="37">
                  <c:v>14158</c:v>
                </c:pt>
                <c:pt idx="38">
                  <c:v>14208</c:v>
                </c:pt>
                <c:pt idx="39">
                  <c:v>14405</c:v>
                </c:pt>
                <c:pt idx="40">
                  <c:v>14988</c:v>
                </c:pt>
                <c:pt idx="41">
                  <c:v>15768</c:v>
                </c:pt>
                <c:pt idx="42">
                  <c:v>16065</c:v>
                </c:pt>
                <c:pt idx="43">
                  <c:v>16065</c:v>
                </c:pt>
                <c:pt idx="44">
                  <c:v>16611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-4.5829999726265669E-4</c:v>
                </c:pt>
                <c:pt idx="2">
                  <c:v>8.4100007370579988E-5</c:v>
                </c:pt>
                <c:pt idx="3">
                  <c:v>-7.2740999967209063E-3</c:v>
                </c:pt>
                <c:pt idx="4">
                  <c:v>-6.0900000025867485E-3</c:v>
                </c:pt>
                <c:pt idx="5">
                  <c:v>-3.1197999996948056E-3</c:v>
                </c:pt>
                <c:pt idx="6">
                  <c:v>-4.1819999751169235E-4</c:v>
                </c:pt>
                <c:pt idx="7">
                  <c:v>1.9649000023491681E-3</c:v>
                </c:pt>
                <c:pt idx="8">
                  <c:v>-3.030100000614766E-3</c:v>
                </c:pt>
                <c:pt idx="9">
                  <c:v>1.4823999954387546E-3</c:v>
                </c:pt>
                <c:pt idx="10">
                  <c:v>-1.0548999925958924E-3</c:v>
                </c:pt>
                <c:pt idx="11">
                  <c:v>1.9451000043773092E-3</c:v>
                </c:pt>
                <c:pt idx="12">
                  <c:v>5.8690000150818378E-4</c:v>
                </c:pt>
                <c:pt idx="13">
                  <c:v>1.2029799996525981E-2</c:v>
                </c:pt>
                <c:pt idx="14">
                  <c:v>1.8846200000552926E-2</c:v>
                </c:pt>
                <c:pt idx="15">
                  <c:v>1.3487999996868894E-2</c:v>
                </c:pt>
                <c:pt idx="16">
                  <c:v>2.6109999998880085E-2</c:v>
                </c:pt>
                <c:pt idx="17">
                  <c:v>2.5851300008071121E-2</c:v>
                </c:pt>
                <c:pt idx="18">
                  <c:v>3.9184699999168515E-2</c:v>
                </c:pt>
                <c:pt idx="19">
                  <c:v>4.3090200000733603E-2</c:v>
                </c:pt>
                <c:pt idx="20">
                  <c:v>3.2169900005101226E-2</c:v>
                </c:pt>
                <c:pt idx="21">
                  <c:v>4.6871600003214553E-2</c:v>
                </c:pt>
                <c:pt idx="22">
                  <c:v>4.2951299998094328E-2</c:v>
                </c:pt>
                <c:pt idx="23">
                  <c:v>4.0035999998508487E-2</c:v>
                </c:pt>
                <c:pt idx="24">
                  <c:v>4.5369400002527982E-2</c:v>
                </c:pt>
                <c:pt idx="25">
                  <c:v>6.1454099995899014E-2</c:v>
                </c:pt>
                <c:pt idx="26">
                  <c:v>6.1454099995899014E-2</c:v>
                </c:pt>
                <c:pt idx="27">
                  <c:v>5.3513899998506531E-2</c:v>
                </c:pt>
                <c:pt idx="28">
                  <c:v>6.0872200003359467E-2</c:v>
                </c:pt>
                <c:pt idx="31">
                  <c:v>5.9956899996905122E-2</c:v>
                </c:pt>
                <c:pt idx="32">
                  <c:v>5.6160900006943848E-2</c:v>
                </c:pt>
                <c:pt idx="34">
                  <c:v>5.7957000004535075E-2</c:v>
                </c:pt>
                <c:pt idx="36">
                  <c:v>5.5603799999516923E-2</c:v>
                </c:pt>
                <c:pt idx="39">
                  <c:v>5.7340500003192574E-2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D1-40ED-AAC8-F59DAA68D5E2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21">
                    <c:v>4.0000000000000001E-3</c:v>
                  </c:pt>
                  <c:pt idx="22">
                    <c:v>7.0000000000000001E-3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0.01</c:v>
                  </c:pt>
                  <c:pt idx="30">
                    <c:v>3.0000000000000001E-3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1.8E-3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4.0000000000000001E-3</c:v>
                  </c:pt>
                  <c:pt idx="39">
                    <c:v>6.0000000000000001E-3</c:v>
                  </c:pt>
                  <c:pt idx="40">
                    <c:v>5.0000000000000001E-4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21">
                    <c:v>4.0000000000000001E-3</c:v>
                  </c:pt>
                  <c:pt idx="22">
                    <c:v>7.0000000000000001E-3</c:v>
                  </c:pt>
                  <c:pt idx="23">
                    <c:v>6.0000000000000001E-3</c:v>
                  </c:pt>
                  <c:pt idx="24">
                    <c:v>4.0000000000000001E-3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3.0000000000000001E-3</c:v>
                  </c:pt>
                  <c:pt idx="28">
                    <c:v>4.0000000000000001E-3</c:v>
                  </c:pt>
                  <c:pt idx="29">
                    <c:v>0.01</c:v>
                  </c:pt>
                  <c:pt idx="30">
                    <c:v>3.0000000000000001E-3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1.8E-3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4.0000000000000001E-3</c:v>
                  </c:pt>
                  <c:pt idx="39">
                    <c:v>6.0000000000000001E-3</c:v>
                  </c:pt>
                  <c:pt idx="40">
                    <c:v>5.0000000000000001E-4</c:v>
                  </c:pt>
                  <c:pt idx="41">
                    <c:v>1E-3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8817</c:v>
                </c:pt>
                <c:pt idx="2">
                  <c:v>9041</c:v>
                </c:pt>
                <c:pt idx="3">
                  <c:v>9059</c:v>
                </c:pt>
                <c:pt idx="4">
                  <c:v>9100</c:v>
                </c:pt>
                <c:pt idx="5">
                  <c:v>9202</c:v>
                </c:pt>
                <c:pt idx="6">
                  <c:v>9418</c:v>
                </c:pt>
                <c:pt idx="7">
                  <c:v>9449</c:v>
                </c:pt>
                <c:pt idx="8">
                  <c:v>9499</c:v>
                </c:pt>
                <c:pt idx="9">
                  <c:v>9624</c:v>
                </c:pt>
                <c:pt idx="10">
                  <c:v>9651</c:v>
                </c:pt>
                <c:pt idx="11">
                  <c:v>9651</c:v>
                </c:pt>
                <c:pt idx="12">
                  <c:v>9669</c:v>
                </c:pt>
                <c:pt idx="13">
                  <c:v>9898</c:v>
                </c:pt>
                <c:pt idx="14">
                  <c:v>10862</c:v>
                </c:pt>
                <c:pt idx="15">
                  <c:v>10880</c:v>
                </c:pt>
                <c:pt idx="16">
                  <c:v>11100</c:v>
                </c:pt>
                <c:pt idx="17">
                  <c:v>11113</c:v>
                </c:pt>
                <c:pt idx="18">
                  <c:v>11247</c:v>
                </c:pt>
                <c:pt idx="19">
                  <c:v>11302</c:v>
                </c:pt>
                <c:pt idx="20">
                  <c:v>11499</c:v>
                </c:pt>
                <c:pt idx="21">
                  <c:v>11916</c:v>
                </c:pt>
                <c:pt idx="22">
                  <c:v>12113</c:v>
                </c:pt>
                <c:pt idx="23">
                  <c:v>12360</c:v>
                </c:pt>
                <c:pt idx="24">
                  <c:v>12494</c:v>
                </c:pt>
                <c:pt idx="25">
                  <c:v>12741</c:v>
                </c:pt>
                <c:pt idx="26">
                  <c:v>12741</c:v>
                </c:pt>
                <c:pt idx="27">
                  <c:v>12939</c:v>
                </c:pt>
                <c:pt idx="28">
                  <c:v>13122</c:v>
                </c:pt>
                <c:pt idx="29">
                  <c:v>13327.5</c:v>
                </c:pt>
                <c:pt idx="30">
                  <c:v>13341</c:v>
                </c:pt>
                <c:pt idx="31">
                  <c:v>13369</c:v>
                </c:pt>
                <c:pt idx="32">
                  <c:v>13409</c:v>
                </c:pt>
                <c:pt idx="33">
                  <c:v>13410</c:v>
                </c:pt>
                <c:pt idx="34">
                  <c:v>13570</c:v>
                </c:pt>
                <c:pt idx="35">
                  <c:v>13574.5</c:v>
                </c:pt>
                <c:pt idx="36">
                  <c:v>13638</c:v>
                </c:pt>
                <c:pt idx="37">
                  <c:v>14158</c:v>
                </c:pt>
                <c:pt idx="38">
                  <c:v>14208</c:v>
                </c:pt>
                <c:pt idx="39">
                  <c:v>14405</c:v>
                </c:pt>
                <c:pt idx="40">
                  <c:v>14988</c:v>
                </c:pt>
                <c:pt idx="41">
                  <c:v>15768</c:v>
                </c:pt>
                <c:pt idx="42">
                  <c:v>16065</c:v>
                </c:pt>
                <c:pt idx="43">
                  <c:v>16065</c:v>
                </c:pt>
                <c:pt idx="44">
                  <c:v>16611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3">
                  <c:v>5.5440999996790197E-2</c:v>
                </c:pt>
                <c:pt idx="37">
                  <c:v>6.125580000662012E-2</c:v>
                </c:pt>
                <c:pt idx="40">
                  <c:v>4.9538800005393568E-2</c:v>
                </c:pt>
                <c:pt idx="44">
                  <c:v>4.6941100001276936E-2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D1-40ED-AAC8-F59DAA68D5E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8817</c:v>
                </c:pt>
                <c:pt idx="2">
                  <c:v>9041</c:v>
                </c:pt>
                <c:pt idx="3">
                  <c:v>9059</c:v>
                </c:pt>
                <c:pt idx="4">
                  <c:v>9100</c:v>
                </c:pt>
                <c:pt idx="5">
                  <c:v>9202</c:v>
                </c:pt>
                <c:pt idx="6">
                  <c:v>9418</c:v>
                </c:pt>
                <c:pt idx="7">
                  <c:v>9449</c:v>
                </c:pt>
                <c:pt idx="8">
                  <c:v>9499</c:v>
                </c:pt>
                <c:pt idx="9">
                  <c:v>9624</c:v>
                </c:pt>
                <c:pt idx="10">
                  <c:v>9651</c:v>
                </c:pt>
                <c:pt idx="11">
                  <c:v>9651</c:v>
                </c:pt>
                <c:pt idx="12">
                  <c:v>9669</c:v>
                </c:pt>
                <c:pt idx="13">
                  <c:v>9898</c:v>
                </c:pt>
                <c:pt idx="14">
                  <c:v>10862</c:v>
                </c:pt>
                <c:pt idx="15">
                  <c:v>10880</c:v>
                </c:pt>
                <c:pt idx="16">
                  <c:v>11100</c:v>
                </c:pt>
                <c:pt idx="17">
                  <c:v>11113</c:v>
                </c:pt>
                <c:pt idx="18">
                  <c:v>11247</c:v>
                </c:pt>
                <c:pt idx="19">
                  <c:v>11302</c:v>
                </c:pt>
                <c:pt idx="20">
                  <c:v>11499</c:v>
                </c:pt>
                <c:pt idx="21">
                  <c:v>11916</c:v>
                </c:pt>
                <c:pt idx="22">
                  <c:v>12113</c:v>
                </c:pt>
                <c:pt idx="23">
                  <c:v>12360</c:v>
                </c:pt>
                <c:pt idx="24">
                  <c:v>12494</c:v>
                </c:pt>
                <c:pt idx="25">
                  <c:v>12741</c:v>
                </c:pt>
                <c:pt idx="26">
                  <c:v>12741</c:v>
                </c:pt>
                <c:pt idx="27">
                  <c:v>12939</c:v>
                </c:pt>
                <c:pt idx="28">
                  <c:v>13122</c:v>
                </c:pt>
                <c:pt idx="29">
                  <c:v>13327.5</c:v>
                </c:pt>
                <c:pt idx="30">
                  <c:v>13341</c:v>
                </c:pt>
                <c:pt idx="31">
                  <c:v>13369</c:v>
                </c:pt>
                <c:pt idx="32">
                  <c:v>13409</c:v>
                </c:pt>
                <c:pt idx="33">
                  <c:v>13410</c:v>
                </c:pt>
                <c:pt idx="34">
                  <c:v>13570</c:v>
                </c:pt>
                <c:pt idx="35">
                  <c:v>13574.5</c:v>
                </c:pt>
                <c:pt idx="36">
                  <c:v>13638</c:v>
                </c:pt>
                <c:pt idx="37">
                  <c:v>14158</c:v>
                </c:pt>
                <c:pt idx="38">
                  <c:v>14208</c:v>
                </c:pt>
                <c:pt idx="39">
                  <c:v>14405</c:v>
                </c:pt>
                <c:pt idx="40">
                  <c:v>14988</c:v>
                </c:pt>
                <c:pt idx="41">
                  <c:v>15768</c:v>
                </c:pt>
                <c:pt idx="42">
                  <c:v>16065</c:v>
                </c:pt>
                <c:pt idx="43">
                  <c:v>16065</c:v>
                </c:pt>
                <c:pt idx="44">
                  <c:v>16611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9">
                  <c:v>4.5282749997568317E-2</c:v>
                </c:pt>
                <c:pt idx="30">
                  <c:v>6.3514100002066698E-2</c:v>
                </c:pt>
                <c:pt idx="35">
                  <c:v>5.4667450000124518E-2</c:v>
                </c:pt>
                <c:pt idx="38">
                  <c:v>6.9260800002666656E-2</c:v>
                </c:pt>
                <c:pt idx="41">
                  <c:v>4.5996800006832927E-2</c:v>
                </c:pt>
                <c:pt idx="42">
                  <c:v>4.5726500000455417E-2</c:v>
                </c:pt>
                <c:pt idx="43">
                  <c:v>4.5806499998434447E-2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D1-40ED-AAC8-F59DAA68D5E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8817</c:v>
                </c:pt>
                <c:pt idx="2">
                  <c:v>9041</c:v>
                </c:pt>
                <c:pt idx="3">
                  <c:v>9059</c:v>
                </c:pt>
                <c:pt idx="4">
                  <c:v>9100</c:v>
                </c:pt>
                <c:pt idx="5">
                  <c:v>9202</c:v>
                </c:pt>
                <c:pt idx="6">
                  <c:v>9418</c:v>
                </c:pt>
                <c:pt idx="7">
                  <c:v>9449</c:v>
                </c:pt>
                <c:pt idx="8">
                  <c:v>9499</c:v>
                </c:pt>
                <c:pt idx="9">
                  <c:v>9624</c:v>
                </c:pt>
                <c:pt idx="10">
                  <c:v>9651</c:v>
                </c:pt>
                <c:pt idx="11">
                  <c:v>9651</c:v>
                </c:pt>
                <c:pt idx="12">
                  <c:v>9669</c:v>
                </c:pt>
                <c:pt idx="13">
                  <c:v>9898</c:v>
                </c:pt>
                <c:pt idx="14">
                  <c:v>10862</c:v>
                </c:pt>
                <c:pt idx="15">
                  <c:v>10880</c:v>
                </c:pt>
                <c:pt idx="16">
                  <c:v>11100</c:v>
                </c:pt>
                <c:pt idx="17">
                  <c:v>11113</c:v>
                </c:pt>
                <c:pt idx="18">
                  <c:v>11247</c:v>
                </c:pt>
                <c:pt idx="19">
                  <c:v>11302</c:v>
                </c:pt>
                <c:pt idx="20">
                  <c:v>11499</c:v>
                </c:pt>
                <c:pt idx="21">
                  <c:v>11916</c:v>
                </c:pt>
                <c:pt idx="22">
                  <c:v>12113</c:v>
                </c:pt>
                <c:pt idx="23">
                  <c:v>12360</c:v>
                </c:pt>
                <c:pt idx="24">
                  <c:v>12494</c:v>
                </c:pt>
                <c:pt idx="25">
                  <c:v>12741</c:v>
                </c:pt>
                <c:pt idx="26">
                  <c:v>12741</c:v>
                </c:pt>
                <c:pt idx="27">
                  <c:v>12939</c:v>
                </c:pt>
                <c:pt idx="28">
                  <c:v>13122</c:v>
                </c:pt>
                <c:pt idx="29">
                  <c:v>13327.5</c:v>
                </c:pt>
                <c:pt idx="30">
                  <c:v>13341</c:v>
                </c:pt>
                <c:pt idx="31">
                  <c:v>13369</c:v>
                </c:pt>
                <c:pt idx="32">
                  <c:v>13409</c:v>
                </c:pt>
                <c:pt idx="33">
                  <c:v>13410</c:v>
                </c:pt>
                <c:pt idx="34">
                  <c:v>13570</c:v>
                </c:pt>
                <c:pt idx="35">
                  <c:v>13574.5</c:v>
                </c:pt>
                <c:pt idx="36">
                  <c:v>13638</c:v>
                </c:pt>
                <c:pt idx="37">
                  <c:v>14158</c:v>
                </c:pt>
                <c:pt idx="38">
                  <c:v>14208</c:v>
                </c:pt>
                <c:pt idx="39">
                  <c:v>14405</c:v>
                </c:pt>
                <c:pt idx="40">
                  <c:v>14988</c:v>
                </c:pt>
                <c:pt idx="41">
                  <c:v>15768</c:v>
                </c:pt>
                <c:pt idx="42">
                  <c:v>16065</c:v>
                </c:pt>
                <c:pt idx="43">
                  <c:v>16065</c:v>
                </c:pt>
                <c:pt idx="44">
                  <c:v>16611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D1-40ED-AAC8-F59DAA68D5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8817</c:v>
                </c:pt>
                <c:pt idx="2">
                  <c:v>9041</c:v>
                </c:pt>
                <c:pt idx="3">
                  <c:v>9059</c:v>
                </c:pt>
                <c:pt idx="4">
                  <c:v>9100</c:v>
                </c:pt>
                <c:pt idx="5">
                  <c:v>9202</c:v>
                </c:pt>
                <c:pt idx="6">
                  <c:v>9418</c:v>
                </c:pt>
                <c:pt idx="7">
                  <c:v>9449</c:v>
                </c:pt>
                <c:pt idx="8">
                  <c:v>9499</c:v>
                </c:pt>
                <c:pt idx="9">
                  <c:v>9624</c:v>
                </c:pt>
                <c:pt idx="10">
                  <c:v>9651</c:v>
                </c:pt>
                <c:pt idx="11">
                  <c:v>9651</c:v>
                </c:pt>
                <c:pt idx="12">
                  <c:v>9669</c:v>
                </c:pt>
                <c:pt idx="13">
                  <c:v>9898</c:v>
                </c:pt>
                <c:pt idx="14">
                  <c:v>10862</c:v>
                </c:pt>
                <c:pt idx="15">
                  <c:v>10880</c:v>
                </c:pt>
                <c:pt idx="16">
                  <c:v>11100</c:v>
                </c:pt>
                <c:pt idx="17">
                  <c:v>11113</c:v>
                </c:pt>
                <c:pt idx="18">
                  <c:v>11247</c:v>
                </c:pt>
                <c:pt idx="19">
                  <c:v>11302</c:v>
                </c:pt>
                <c:pt idx="20">
                  <c:v>11499</c:v>
                </c:pt>
                <c:pt idx="21">
                  <c:v>11916</c:v>
                </c:pt>
                <c:pt idx="22">
                  <c:v>12113</c:v>
                </c:pt>
                <c:pt idx="23">
                  <c:v>12360</c:v>
                </c:pt>
                <c:pt idx="24">
                  <c:v>12494</c:v>
                </c:pt>
                <c:pt idx="25">
                  <c:v>12741</c:v>
                </c:pt>
                <c:pt idx="26">
                  <c:v>12741</c:v>
                </c:pt>
                <c:pt idx="27">
                  <c:v>12939</c:v>
                </c:pt>
                <c:pt idx="28">
                  <c:v>13122</c:v>
                </c:pt>
                <c:pt idx="29">
                  <c:v>13327.5</c:v>
                </c:pt>
                <c:pt idx="30">
                  <c:v>13341</c:v>
                </c:pt>
                <c:pt idx="31">
                  <c:v>13369</c:v>
                </c:pt>
                <c:pt idx="32">
                  <c:v>13409</c:v>
                </c:pt>
                <c:pt idx="33">
                  <c:v>13410</c:v>
                </c:pt>
                <c:pt idx="34">
                  <c:v>13570</c:v>
                </c:pt>
                <c:pt idx="35">
                  <c:v>13574.5</c:v>
                </c:pt>
                <c:pt idx="36">
                  <c:v>13638</c:v>
                </c:pt>
                <c:pt idx="37">
                  <c:v>14158</c:v>
                </c:pt>
                <c:pt idx="38">
                  <c:v>14208</c:v>
                </c:pt>
                <c:pt idx="39">
                  <c:v>14405</c:v>
                </c:pt>
                <c:pt idx="40">
                  <c:v>14988</c:v>
                </c:pt>
                <c:pt idx="41">
                  <c:v>15768</c:v>
                </c:pt>
                <c:pt idx="42">
                  <c:v>16065</c:v>
                </c:pt>
                <c:pt idx="43">
                  <c:v>16065</c:v>
                </c:pt>
                <c:pt idx="44">
                  <c:v>16611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  <c:pt idx="32">
                  <c:v>5.9357702433484857E-2</c:v>
                </c:pt>
                <c:pt idx="33">
                  <c:v>5.9352884169461551E-2</c:v>
                </c:pt>
                <c:pt idx="34">
                  <c:v>5.8581961925733728E-2</c:v>
                </c:pt>
                <c:pt idx="35">
                  <c:v>5.8560279737628895E-2</c:v>
                </c:pt>
                <c:pt idx="36">
                  <c:v>5.8254319972149415E-2</c:v>
                </c:pt>
                <c:pt idx="37">
                  <c:v>5.5748822680033991E-2</c:v>
                </c:pt>
                <c:pt idx="38">
                  <c:v>5.550790947886905E-2</c:v>
                </c:pt>
                <c:pt idx="39">
                  <c:v>5.4558711466279178E-2</c:v>
                </c:pt>
                <c:pt idx="40">
                  <c:v>5.1749663540695934E-2</c:v>
                </c:pt>
                <c:pt idx="41">
                  <c:v>4.7991417602522818E-2</c:v>
                </c:pt>
                <c:pt idx="42">
                  <c:v>4.656039318760305E-2</c:v>
                </c:pt>
                <c:pt idx="43">
                  <c:v>4.656039318760305E-2</c:v>
                </c:pt>
                <c:pt idx="44">
                  <c:v>4.3929621030881869E-2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D1-40ED-AAC8-F59DAA68D5E2}"/>
            </c:ext>
          </c:extLst>
        </c:ser>
        <c:ser>
          <c:idx val="6"/>
          <c:order val="6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8817</c:v>
                </c:pt>
                <c:pt idx="2">
                  <c:v>9041</c:v>
                </c:pt>
                <c:pt idx="3">
                  <c:v>9059</c:v>
                </c:pt>
                <c:pt idx="4">
                  <c:v>9100</c:v>
                </c:pt>
                <c:pt idx="5">
                  <c:v>9202</c:v>
                </c:pt>
                <c:pt idx="6">
                  <c:v>9418</c:v>
                </c:pt>
                <c:pt idx="7">
                  <c:v>9449</c:v>
                </c:pt>
                <c:pt idx="8">
                  <c:v>9499</c:v>
                </c:pt>
                <c:pt idx="9">
                  <c:v>9624</c:v>
                </c:pt>
                <c:pt idx="10">
                  <c:v>9651</c:v>
                </c:pt>
                <c:pt idx="11">
                  <c:v>9651</c:v>
                </c:pt>
                <c:pt idx="12">
                  <c:v>9669</c:v>
                </c:pt>
                <c:pt idx="13">
                  <c:v>9898</c:v>
                </c:pt>
                <c:pt idx="14">
                  <c:v>10862</c:v>
                </c:pt>
                <c:pt idx="15">
                  <c:v>10880</c:v>
                </c:pt>
                <c:pt idx="16">
                  <c:v>11100</c:v>
                </c:pt>
                <c:pt idx="17">
                  <c:v>11113</c:v>
                </c:pt>
                <c:pt idx="18">
                  <c:v>11247</c:v>
                </c:pt>
                <c:pt idx="19">
                  <c:v>11302</c:v>
                </c:pt>
                <c:pt idx="20">
                  <c:v>11499</c:v>
                </c:pt>
                <c:pt idx="21">
                  <c:v>11916</c:v>
                </c:pt>
                <c:pt idx="22">
                  <c:v>12113</c:v>
                </c:pt>
                <c:pt idx="23">
                  <c:v>12360</c:v>
                </c:pt>
                <c:pt idx="24">
                  <c:v>12494</c:v>
                </c:pt>
                <c:pt idx="25">
                  <c:v>12741</c:v>
                </c:pt>
                <c:pt idx="26">
                  <c:v>12741</c:v>
                </c:pt>
                <c:pt idx="27">
                  <c:v>12939</c:v>
                </c:pt>
                <c:pt idx="28">
                  <c:v>13122</c:v>
                </c:pt>
                <c:pt idx="29">
                  <c:v>13327.5</c:v>
                </c:pt>
                <c:pt idx="30">
                  <c:v>13341</c:v>
                </c:pt>
                <c:pt idx="31">
                  <c:v>13369</c:v>
                </c:pt>
                <c:pt idx="32">
                  <c:v>13409</c:v>
                </c:pt>
                <c:pt idx="33">
                  <c:v>13410</c:v>
                </c:pt>
                <c:pt idx="34">
                  <c:v>13570</c:v>
                </c:pt>
                <c:pt idx="35">
                  <c:v>13574.5</c:v>
                </c:pt>
                <c:pt idx="36">
                  <c:v>13638</c:v>
                </c:pt>
                <c:pt idx="37">
                  <c:v>14158</c:v>
                </c:pt>
                <c:pt idx="38">
                  <c:v>14208</c:v>
                </c:pt>
                <c:pt idx="39">
                  <c:v>14405</c:v>
                </c:pt>
                <c:pt idx="40">
                  <c:v>14988</c:v>
                </c:pt>
                <c:pt idx="41">
                  <c:v>15768</c:v>
                </c:pt>
                <c:pt idx="42">
                  <c:v>16065</c:v>
                </c:pt>
                <c:pt idx="43">
                  <c:v>16065</c:v>
                </c:pt>
                <c:pt idx="44">
                  <c:v>16611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D1-40ED-AAC8-F59DAA68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932928"/>
        <c:axId val="1"/>
      </c:scatterChart>
      <c:valAx>
        <c:axId val="549932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702759806629404"/>
              <c:y val="0.858462830607712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403091557669441E-2"/>
              <c:y val="0.3569237229961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9329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046385848617913"/>
          <c:y val="0.92000129214617399"/>
          <c:w val="0.46135577880351164"/>
          <c:h val="6.153846153846154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495300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952310-7BF2-F573-18B7-BFB07D530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var.astro.cz/oejv/issues/oejv0003.pdf" TargetMode="External"/><Relationship Id="rId5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tabSelected="1" workbookViewId="0">
      <pane xSplit="13" ySplit="22" topLeftCell="N47" activePane="bottomRight" state="frozen"/>
      <selection pane="topRight" activeCell="N1" sqref="N1"/>
      <selection pane="bottomLeft" activeCell="A23" sqref="A23"/>
      <selection pane="bottomRight" activeCell="E10" sqref="E10"/>
    </sheetView>
  </sheetViews>
  <sheetFormatPr defaultRowHeight="12.75" x14ac:dyDescent="0.2"/>
  <cols>
    <col min="1" max="1" width="14.85546875" style="1" customWidth="1"/>
    <col min="2" max="2" width="4.5703125" style="1" customWidth="1"/>
    <col min="3" max="3" width="13.28515625" style="1" customWidth="1"/>
    <col min="4" max="4" width="8.42578125" style="1" customWidth="1"/>
    <col min="5" max="5" width="9.85546875" style="1" customWidth="1"/>
    <col min="6" max="6" width="16.85546875" style="1" customWidth="1"/>
    <col min="7" max="7" width="9.5703125" style="1" customWidth="1"/>
    <col min="8" max="12" width="9.140625" style="1"/>
    <col min="13" max="13" width="12" style="1" bestFit="1" customWidth="1"/>
    <col min="14" max="14" width="7.42578125" style="1" customWidth="1"/>
    <col min="15" max="15" width="10.7109375" style="1" customWidth="1"/>
    <col min="16" max="16384" width="9.140625" style="1"/>
  </cols>
  <sheetData>
    <row r="1" spans="1:7" ht="20.25" x14ac:dyDescent="0.3">
      <c r="A1" s="22" t="s">
        <v>63</v>
      </c>
    </row>
    <row r="2" spans="1:7" x14ac:dyDescent="0.2">
      <c r="A2" s="12" t="s">
        <v>21</v>
      </c>
      <c r="B2" s="1" t="s">
        <v>30</v>
      </c>
    </row>
    <row r="3" spans="1:7" ht="13.5" thickBot="1" x14ac:dyDescent="0.25">
      <c r="A3" s="12"/>
      <c r="C3" s="7"/>
      <c r="D3" s="7"/>
    </row>
    <row r="4" spans="1:7" ht="13.5" thickBot="1" x14ac:dyDescent="0.25">
      <c r="A4" s="13" t="s">
        <v>22</v>
      </c>
      <c r="B4" s="5"/>
      <c r="C4" s="8">
        <v>27605.462</v>
      </c>
      <c r="D4" s="9">
        <v>1.7770199</v>
      </c>
      <c r="E4" s="6"/>
    </row>
    <row r="5" spans="1:7" x14ac:dyDescent="0.2">
      <c r="A5" s="25" t="s">
        <v>65</v>
      </c>
      <c r="B5" s="12"/>
      <c r="C5" s="26">
        <v>-9.5</v>
      </c>
      <c r="D5" s="12" t="s">
        <v>66</v>
      </c>
    </row>
    <row r="6" spans="1:7" x14ac:dyDescent="0.2">
      <c r="A6" s="13" t="s">
        <v>23</v>
      </c>
    </row>
    <row r="7" spans="1:7" x14ac:dyDescent="0.2">
      <c r="A7" s="12" t="s">
        <v>1</v>
      </c>
      <c r="C7" s="1">
        <f>C4</f>
        <v>27605.462</v>
      </c>
    </row>
    <row r="8" spans="1:7" x14ac:dyDescent="0.2">
      <c r="A8" s="12" t="s">
        <v>12</v>
      </c>
      <c r="C8" s="1">
        <f>D4</f>
        <v>1.7770199</v>
      </c>
    </row>
    <row r="9" spans="1:7" x14ac:dyDescent="0.2">
      <c r="A9" s="33" t="s">
        <v>72</v>
      </c>
      <c r="B9" s="34">
        <v>60</v>
      </c>
      <c r="C9" s="32" t="str">
        <f>"F"&amp;B9</f>
        <v>F60</v>
      </c>
      <c r="D9" s="31" t="str">
        <f>"G"&amp;B9</f>
        <v>G60</v>
      </c>
      <c r="F9" s="12"/>
      <c r="G9" s="12"/>
    </row>
    <row r="10" spans="1:7" ht="13.5" thickBot="1" x14ac:dyDescent="0.25">
      <c r="A10" s="12"/>
      <c r="B10" s="12"/>
      <c r="C10" s="15" t="s">
        <v>28</v>
      </c>
      <c r="D10" s="15" t="s">
        <v>29</v>
      </c>
      <c r="E10" s="12"/>
      <c r="F10" s="12"/>
      <c r="G10" s="12"/>
    </row>
    <row r="11" spans="1:7" x14ac:dyDescent="0.2">
      <c r="A11" s="12" t="s">
        <v>24</v>
      </c>
      <c r="B11" s="12"/>
      <c r="C11" s="31">
        <f ca="1">INTERCEPT(INDIRECT($D$9):G992,INDIRECT($C$9):F992)</f>
        <v>0.12396580472189941</v>
      </c>
      <c r="D11" s="16"/>
      <c r="E11" s="12"/>
    </row>
    <row r="12" spans="1:7" x14ac:dyDescent="0.2">
      <c r="A12" s="12" t="s">
        <v>25</v>
      </c>
      <c r="B12" s="12"/>
      <c r="C12" s="31">
        <f ca="1">SLOPE(INDIRECT($D$9):G992,INDIRECT($C$9):F992)</f>
        <v>-4.8182640232988711E-6</v>
      </c>
      <c r="D12" s="16"/>
      <c r="E12" s="12"/>
      <c r="F12" s="12"/>
      <c r="G12" s="12"/>
    </row>
    <row r="13" spans="1:7" x14ac:dyDescent="0.2">
      <c r="A13" s="12" t="s">
        <v>26</v>
      </c>
      <c r="B13" s="12"/>
      <c r="C13" s="16" t="s">
        <v>67</v>
      </c>
      <c r="F13" s="12"/>
      <c r="G13" s="12"/>
    </row>
    <row r="14" spans="1:7" x14ac:dyDescent="0.2">
      <c r="A14" s="12"/>
      <c r="B14" s="12"/>
      <c r="C14" s="12"/>
      <c r="F14" s="12"/>
      <c r="G14" s="12"/>
    </row>
    <row r="15" spans="1:7" x14ac:dyDescent="0.2">
      <c r="A15" s="14" t="s">
        <v>27</v>
      </c>
      <c r="B15" s="12"/>
      <c r="C15" s="19">
        <f ca="1">(C7+C11)+(C8+C12)*INT(MAX(F21:F3533))</f>
        <v>57123.583488521035</v>
      </c>
      <c r="E15" s="21" t="s">
        <v>73</v>
      </c>
      <c r="F15" s="26">
        <v>1</v>
      </c>
      <c r="G15" s="12"/>
    </row>
    <row r="16" spans="1:7" x14ac:dyDescent="0.2">
      <c r="A16" s="13" t="s">
        <v>10</v>
      </c>
      <c r="B16" s="12"/>
      <c r="C16" s="20">
        <f ca="1">+C8+C12</f>
        <v>1.7770150817359767</v>
      </c>
      <c r="E16" s="21" t="s">
        <v>68</v>
      </c>
      <c r="F16" s="27">
        <f ca="1">NOW()+15018.5+$C$5/24</f>
        <v>60352.743598842593</v>
      </c>
      <c r="G16" s="12"/>
    </row>
    <row r="17" spans="1:35" ht="13.5" thickBot="1" x14ac:dyDescent="0.25">
      <c r="A17" s="21" t="s">
        <v>62</v>
      </c>
      <c r="B17" s="12"/>
      <c r="C17" s="12">
        <f>COUNT(C21:C2191)</f>
        <v>45</v>
      </c>
      <c r="E17" s="21" t="s">
        <v>74</v>
      </c>
      <c r="F17" s="27">
        <f ca="1">ROUND(2*(F16-$C$7)/$C$8,0)/2+F15</f>
        <v>18429</v>
      </c>
      <c r="G17" s="12"/>
    </row>
    <row r="18" spans="1:35" ht="14.25" thickTop="1" thickBot="1" x14ac:dyDescent="0.25">
      <c r="A18" s="13" t="s">
        <v>9</v>
      </c>
      <c r="B18" s="12"/>
      <c r="C18" s="29">
        <f ca="1">+C15</f>
        <v>57123.583488521035</v>
      </c>
      <c r="D18" s="30">
        <f ca="1">+C16</f>
        <v>1.7770150817359767</v>
      </c>
      <c r="E18" s="21" t="s">
        <v>69</v>
      </c>
      <c r="F18" s="31">
        <f ca="1">ROUND(2*(F16-$C$15)/$C$16,0)/2+F15</f>
        <v>1818</v>
      </c>
      <c r="G18" s="12"/>
    </row>
    <row r="19" spans="1:35" ht="13.5" thickTop="1" x14ac:dyDescent="0.2">
      <c r="E19" s="21" t="s">
        <v>70</v>
      </c>
      <c r="F19" s="28">
        <f ca="1">+$C$15+$C$16*F18-15018.5-$C$5/24</f>
        <v>45336.092740450375</v>
      </c>
      <c r="G19" s="12"/>
      <c r="H19" s="1" t="s">
        <v>16</v>
      </c>
      <c r="I19" s="1" t="s">
        <v>17</v>
      </c>
      <c r="J19" s="1" t="s">
        <v>18</v>
      </c>
      <c r="U19" s="7"/>
    </row>
    <row r="20" spans="1:35" ht="13.5" thickBot="1" x14ac:dyDescent="0.25">
      <c r="A20" s="3" t="s">
        <v>13</v>
      </c>
      <c r="B20" s="3" t="s">
        <v>15</v>
      </c>
      <c r="C20" s="3" t="s">
        <v>14</v>
      </c>
      <c r="D20" s="3" t="s">
        <v>2</v>
      </c>
      <c r="E20" s="3" t="s">
        <v>8</v>
      </c>
      <c r="F20" s="3" t="s">
        <v>7</v>
      </c>
      <c r="G20" s="3" t="s">
        <v>11</v>
      </c>
      <c r="H20" s="4" t="s">
        <v>88</v>
      </c>
      <c r="I20" s="4" t="s">
        <v>91</v>
      </c>
      <c r="J20" s="4" t="s">
        <v>85</v>
      </c>
      <c r="K20" s="4" t="s">
        <v>83</v>
      </c>
      <c r="L20" s="4" t="s">
        <v>60</v>
      </c>
      <c r="M20" s="4" t="s">
        <v>19</v>
      </c>
      <c r="N20" s="3" t="s">
        <v>20</v>
      </c>
      <c r="O20" s="3" t="s">
        <v>0</v>
      </c>
      <c r="T20" s="5"/>
      <c r="U20" s="61" t="s">
        <v>257</v>
      </c>
      <c r="V20" s="6"/>
    </row>
    <row r="21" spans="1:35" x14ac:dyDescent="0.2">
      <c r="A21" s="2" t="s">
        <v>3</v>
      </c>
      <c r="B21" s="17"/>
      <c r="C21" s="23">
        <f>C$4</f>
        <v>27605.462</v>
      </c>
      <c r="D21" s="23"/>
      <c r="E21" s="2">
        <f t="shared" ref="E21:E65" si="0">(C21-C$7)/C$8</f>
        <v>0</v>
      </c>
      <c r="F21" s="2">
        <f>ROUND(2*E21,0/2)</f>
        <v>0</v>
      </c>
      <c r="G21" s="2">
        <f t="shared" ref="G21:G65" si="1">C21-(C$7+C$8*F21)</f>
        <v>0</v>
      </c>
      <c r="H21" s="2">
        <f>G21</f>
        <v>0</v>
      </c>
      <c r="I21" s="2"/>
      <c r="J21" s="2"/>
      <c r="K21" s="2"/>
      <c r="L21" s="2"/>
      <c r="M21" s="2"/>
      <c r="N21" s="2"/>
      <c r="O21" s="10">
        <f t="shared" ref="O21:O65" si="2">C21-15018.5</f>
        <v>12586.962</v>
      </c>
      <c r="U21" s="2"/>
    </row>
    <row r="22" spans="1:35" x14ac:dyDescent="0.2">
      <c r="A22" s="1" t="s">
        <v>32</v>
      </c>
      <c r="B22" s="18"/>
      <c r="C22" s="24">
        <v>43273.446000000004</v>
      </c>
      <c r="D22" s="24"/>
      <c r="E22" s="1">
        <f t="shared" si="0"/>
        <v>8816.9997420963064</v>
      </c>
      <c r="F22" s="2">
        <f t="shared" ref="F22:F65" si="3">ROUND(2*E22,0/2)/2</f>
        <v>8817</v>
      </c>
      <c r="G22" s="1">
        <f t="shared" si="1"/>
        <v>-4.5829999726265669E-4</v>
      </c>
      <c r="I22" s="1">
        <f t="shared" ref="I22:I49" si="4">G22</f>
        <v>-4.5829999726265669E-4</v>
      </c>
      <c r="K22" s="2"/>
      <c r="L22" s="2"/>
      <c r="M22" s="2"/>
      <c r="O22" s="11">
        <f t="shared" si="2"/>
        <v>28254.946000000004</v>
      </c>
      <c r="AC22" s="1">
        <v>6</v>
      </c>
      <c r="AE22" s="1" t="s">
        <v>31</v>
      </c>
      <c r="AI22" s="1" t="s">
        <v>33</v>
      </c>
    </row>
    <row r="23" spans="1:35" x14ac:dyDescent="0.2">
      <c r="A23" s="1" t="s">
        <v>34</v>
      </c>
      <c r="B23" s="18"/>
      <c r="C23" s="24">
        <v>43671.499000000003</v>
      </c>
      <c r="D23" s="24"/>
      <c r="E23" s="1">
        <f t="shared" si="0"/>
        <v>9041.0000473264281</v>
      </c>
      <c r="F23" s="2">
        <f t="shared" si="3"/>
        <v>9041</v>
      </c>
      <c r="G23" s="1">
        <f t="shared" si="1"/>
        <v>8.4100007370579988E-5</v>
      </c>
      <c r="I23" s="1">
        <f t="shared" si="4"/>
        <v>8.4100007370579988E-5</v>
      </c>
      <c r="K23" s="2"/>
      <c r="L23" s="2"/>
      <c r="M23" s="2"/>
      <c r="O23" s="11">
        <f t="shared" si="2"/>
        <v>28652.999000000003</v>
      </c>
      <c r="AC23" s="1">
        <v>6</v>
      </c>
      <c r="AE23" s="1" t="s">
        <v>31</v>
      </c>
      <c r="AI23" s="1" t="s">
        <v>33</v>
      </c>
    </row>
    <row r="24" spans="1:35" x14ac:dyDescent="0.2">
      <c r="A24" s="1" t="s">
        <v>35</v>
      </c>
      <c r="B24" s="18"/>
      <c r="C24" s="24">
        <v>43703.478000000003</v>
      </c>
      <c r="D24" s="24"/>
      <c r="E24" s="1">
        <f t="shared" si="0"/>
        <v>9058.9959065736984</v>
      </c>
      <c r="F24" s="2">
        <f t="shared" si="3"/>
        <v>9059</v>
      </c>
      <c r="G24" s="1">
        <f t="shared" si="1"/>
        <v>-7.2740999967209063E-3</v>
      </c>
      <c r="I24" s="1">
        <f t="shared" si="4"/>
        <v>-7.2740999967209063E-3</v>
      </c>
      <c r="M24" s="2"/>
      <c r="O24" s="11">
        <f t="shared" si="2"/>
        <v>28684.978000000003</v>
      </c>
      <c r="AC24" s="1">
        <v>7</v>
      </c>
      <c r="AE24" s="1" t="s">
        <v>31</v>
      </c>
      <c r="AI24" s="1" t="s">
        <v>33</v>
      </c>
    </row>
    <row r="25" spans="1:35" x14ac:dyDescent="0.2">
      <c r="A25" s="1" t="s">
        <v>36</v>
      </c>
      <c r="B25" s="18"/>
      <c r="C25" s="24">
        <v>43776.337</v>
      </c>
      <c r="D25" s="24"/>
      <c r="E25" s="1">
        <f t="shared" si="0"/>
        <v>9099.9965729140113</v>
      </c>
      <c r="F25" s="2">
        <f t="shared" si="3"/>
        <v>9100</v>
      </c>
      <c r="G25" s="1">
        <f t="shared" si="1"/>
        <v>-6.0900000025867485E-3</v>
      </c>
      <c r="I25" s="1">
        <f t="shared" si="4"/>
        <v>-6.0900000025867485E-3</v>
      </c>
      <c r="M25" s="2"/>
      <c r="O25" s="11">
        <f t="shared" si="2"/>
        <v>28757.837</v>
      </c>
      <c r="AC25" s="1">
        <v>7</v>
      </c>
      <c r="AE25" s="1" t="s">
        <v>31</v>
      </c>
      <c r="AI25" s="1" t="s">
        <v>33</v>
      </c>
    </row>
    <row r="26" spans="1:35" x14ac:dyDescent="0.2">
      <c r="A26" s="1" t="s">
        <v>37</v>
      </c>
      <c r="B26" s="18"/>
      <c r="C26" s="24">
        <v>43957.595999999998</v>
      </c>
      <c r="D26" s="24"/>
      <c r="E26" s="1">
        <f t="shared" si="0"/>
        <v>9201.9982443640602</v>
      </c>
      <c r="F26" s="2">
        <f t="shared" si="3"/>
        <v>9202</v>
      </c>
      <c r="G26" s="1">
        <f t="shared" si="1"/>
        <v>-3.1197999996948056E-3</v>
      </c>
      <c r="I26" s="1">
        <f t="shared" si="4"/>
        <v>-3.1197999996948056E-3</v>
      </c>
      <c r="M26" s="2"/>
      <c r="O26" s="11">
        <f t="shared" si="2"/>
        <v>28939.095999999998</v>
      </c>
      <c r="AC26" s="1">
        <v>6</v>
      </c>
      <c r="AE26" s="1" t="s">
        <v>31</v>
      </c>
      <c r="AI26" s="1" t="s">
        <v>33</v>
      </c>
    </row>
    <row r="27" spans="1:35" x14ac:dyDescent="0.2">
      <c r="A27" s="1" t="s">
        <v>38</v>
      </c>
      <c r="B27" s="18"/>
      <c r="C27" s="24">
        <v>44341.434999999998</v>
      </c>
      <c r="D27" s="24"/>
      <c r="E27" s="1">
        <f t="shared" si="0"/>
        <v>9417.9997646621723</v>
      </c>
      <c r="F27" s="2">
        <f t="shared" si="3"/>
        <v>9418</v>
      </c>
      <c r="G27" s="1">
        <f t="shared" si="1"/>
        <v>-4.1819999751169235E-4</v>
      </c>
      <c r="I27" s="1">
        <f t="shared" si="4"/>
        <v>-4.1819999751169235E-4</v>
      </c>
      <c r="M27" s="2"/>
      <c r="O27" s="11">
        <f t="shared" si="2"/>
        <v>29322.934999999998</v>
      </c>
      <c r="AC27" s="1">
        <v>6</v>
      </c>
      <c r="AE27" s="1" t="s">
        <v>31</v>
      </c>
      <c r="AI27" s="1" t="s">
        <v>33</v>
      </c>
    </row>
    <row r="28" spans="1:35" x14ac:dyDescent="0.2">
      <c r="A28" s="1" t="s">
        <v>39</v>
      </c>
      <c r="B28" s="18"/>
      <c r="C28" s="24">
        <v>44396.525000000001</v>
      </c>
      <c r="D28" s="24"/>
      <c r="E28" s="1">
        <f t="shared" si="0"/>
        <v>9449.0011057276297</v>
      </c>
      <c r="F28" s="2">
        <f t="shared" si="3"/>
        <v>9449</v>
      </c>
      <c r="G28" s="1">
        <f t="shared" si="1"/>
        <v>1.9649000023491681E-3</v>
      </c>
      <c r="I28" s="1">
        <f t="shared" si="4"/>
        <v>1.9649000023491681E-3</v>
      </c>
      <c r="M28" s="2"/>
      <c r="O28" s="11">
        <f t="shared" si="2"/>
        <v>29378.025000000001</v>
      </c>
      <c r="AC28" s="1">
        <v>6</v>
      </c>
      <c r="AE28" s="1" t="s">
        <v>31</v>
      </c>
      <c r="AI28" s="1" t="s">
        <v>33</v>
      </c>
    </row>
    <row r="29" spans="1:35" x14ac:dyDescent="0.2">
      <c r="A29" s="1" t="s">
        <v>40</v>
      </c>
      <c r="B29" s="18"/>
      <c r="C29" s="24">
        <v>44485.370999999999</v>
      </c>
      <c r="D29" s="24"/>
      <c r="E29" s="1">
        <f t="shared" si="0"/>
        <v>9498.998294841831</v>
      </c>
      <c r="F29" s="2">
        <f t="shared" si="3"/>
        <v>9499</v>
      </c>
      <c r="G29" s="1">
        <f t="shared" si="1"/>
        <v>-3.030100000614766E-3</v>
      </c>
      <c r="I29" s="1">
        <f t="shared" si="4"/>
        <v>-3.030100000614766E-3</v>
      </c>
      <c r="M29" s="2"/>
      <c r="O29" s="11">
        <f t="shared" si="2"/>
        <v>29466.870999999999</v>
      </c>
      <c r="AC29" s="1">
        <v>6</v>
      </c>
      <c r="AE29" s="1" t="s">
        <v>31</v>
      </c>
      <c r="AI29" s="1" t="s">
        <v>33</v>
      </c>
    </row>
    <row r="30" spans="1:35" x14ac:dyDescent="0.2">
      <c r="A30" s="1" t="s">
        <v>41</v>
      </c>
      <c r="B30" s="18"/>
      <c r="C30" s="24">
        <v>44707.502999999997</v>
      </c>
      <c r="D30" s="24"/>
      <c r="E30" s="1">
        <f t="shared" si="0"/>
        <v>9624.0008342056262</v>
      </c>
      <c r="F30" s="2">
        <f t="shared" si="3"/>
        <v>9624</v>
      </c>
      <c r="G30" s="1">
        <f t="shared" si="1"/>
        <v>1.4823999954387546E-3</v>
      </c>
      <c r="I30" s="1">
        <f t="shared" si="4"/>
        <v>1.4823999954387546E-3</v>
      </c>
      <c r="M30" s="2"/>
      <c r="O30" s="11">
        <f t="shared" si="2"/>
        <v>29689.002999999997</v>
      </c>
      <c r="AC30" s="1">
        <v>7</v>
      </c>
      <c r="AE30" s="1" t="s">
        <v>31</v>
      </c>
      <c r="AI30" s="1" t="s">
        <v>33</v>
      </c>
    </row>
    <row r="31" spans="1:35" x14ac:dyDescent="0.2">
      <c r="A31" s="1" t="s">
        <v>41</v>
      </c>
      <c r="B31" s="18"/>
      <c r="C31" s="24">
        <v>44755.48</v>
      </c>
      <c r="D31" s="24"/>
      <c r="E31" s="1">
        <f t="shared" si="0"/>
        <v>9650.9994063656814</v>
      </c>
      <c r="F31" s="2">
        <f t="shared" si="3"/>
        <v>9651</v>
      </c>
      <c r="G31" s="1">
        <f t="shared" si="1"/>
        <v>-1.0548999925958924E-3</v>
      </c>
      <c r="I31" s="1">
        <f t="shared" si="4"/>
        <v>-1.0548999925958924E-3</v>
      </c>
      <c r="M31" s="2"/>
      <c r="O31" s="11">
        <f t="shared" si="2"/>
        <v>29736.980000000003</v>
      </c>
      <c r="AC31" s="1">
        <v>7</v>
      </c>
      <c r="AE31" s="1" t="s">
        <v>42</v>
      </c>
      <c r="AF31" s="1" t="s">
        <v>43</v>
      </c>
      <c r="AI31" s="1" t="s">
        <v>33</v>
      </c>
    </row>
    <row r="32" spans="1:35" x14ac:dyDescent="0.2">
      <c r="A32" s="1" t="s">
        <v>41</v>
      </c>
      <c r="B32" s="18"/>
      <c r="C32" s="24">
        <v>44755.483</v>
      </c>
      <c r="D32" s="24"/>
      <c r="E32" s="1">
        <f t="shared" si="0"/>
        <v>9651.0010945853792</v>
      </c>
      <c r="F32" s="2">
        <f t="shared" si="3"/>
        <v>9651</v>
      </c>
      <c r="G32" s="1">
        <f t="shared" si="1"/>
        <v>1.9451000043773092E-3</v>
      </c>
      <c r="I32" s="1">
        <f t="shared" si="4"/>
        <v>1.9451000043773092E-3</v>
      </c>
      <c r="M32" s="2"/>
      <c r="O32" s="11">
        <f t="shared" si="2"/>
        <v>29736.983</v>
      </c>
      <c r="AC32" s="1">
        <v>7</v>
      </c>
      <c r="AE32" s="1" t="s">
        <v>31</v>
      </c>
      <c r="AI32" s="1" t="s">
        <v>33</v>
      </c>
    </row>
    <row r="33" spans="1:35" x14ac:dyDescent="0.2">
      <c r="A33" s="1" t="s">
        <v>44</v>
      </c>
      <c r="B33" s="18"/>
      <c r="C33" s="24">
        <v>44787.468000000001</v>
      </c>
      <c r="D33" s="24"/>
      <c r="E33" s="1">
        <f t="shared" si="0"/>
        <v>9669.000330272047</v>
      </c>
      <c r="F33" s="2">
        <f t="shared" si="3"/>
        <v>9669</v>
      </c>
      <c r="G33" s="1">
        <f t="shared" si="1"/>
        <v>5.8690000150818378E-4</v>
      </c>
      <c r="I33" s="1">
        <f t="shared" si="4"/>
        <v>5.8690000150818378E-4</v>
      </c>
      <c r="M33" s="2"/>
      <c r="O33" s="11">
        <f t="shared" si="2"/>
        <v>29768.968000000001</v>
      </c>
      <c r="AC33" s="1">
        <v>7</v>
      </c>
      <c r="AE33" s="1" t="s">
        <v>31</v>
      </c>
      <c r="AI33" s="1" t="s">
        <v>33</v>
      </c>
    </row>
    <row r="34" spans="1:35" x14ac:dyDescent="0.2">
      <c r="A34" s="1" t="s">
        <v>45</v>
      </c>
      <c r="B34" s="18"/>
      <c r="C34" s="24">
        <v>45194.417000000001</v>
      </c>
      <c r="D34" s="24"/>
      <c r="E34" s="1">
        <f t="shared" si="0"/>
        <v>9898.0067696484439</v>
      </c>
      <c r="F34" s="2">
        <f t="shared" si="3"/>
        <v>9898</v>
      </c>
      <c r="G34" s="1">
        <f t="shared" si="1"/>
        <v>1.2029799996525981E-2</v>
      </c>
      <c r="I34" s="1">
        <f t="shared" si="4"/>
        <v>1.2029799996525981E-2</v>
      </c>
      <c r="M34" s="2"/>
      <c r="O34" s="11">
        <f t="shared" si="2"/>
        <v>30175.917000000001</v>
      </c>
      <c r="AC34" s="1">
        <v>6</v>
      </c>
      <c r="AE34" s="1" t="s">
        <v>31</v>
      </c>
      <c r="AI34" s="1" t="s">
        <v>33</v>
      </c>
    </row>
    <row r="35" spans="1:35" x14ac:dyDescent="0.2">
      <c r="A35" s="1" t="s">
        <v>46</v>
      </c>
      <c r="B35" s="18"/>
      <c r="C35" s="24">
        <v>46907.470999999998</v>
      </c>
      <c r="D35" s="24"/>
      <c r="E35" s="1">
        <f t="shared" si="0"/>
        <v>10862.010605508694</v>
      </c>
      <c r="F35" s="2">
        <f t="shared" si="3"/>
        <v>10862</v>
      </c>
      <c r="G35" s="1">
        <f t="shared" si="1"/>
        <v>1.8846200000552926E-2</v>
      </c>
      <c r="I35" s="1">
        <f t="shared" si="4"/>
        <v>1.8846200000552926E-2</v>
      </c>
      <c r="M35" s="2"/>
      <c r="O35" s="11">
        <f t="shared" si="2"/>
        <v>31888.970999999998</v>
      </c>
      <c r="AC35" s="1">
        <v>6</v>
      </c>
      <c r="AE35" s="1" t="s">
        <v>31</v>
      </c>
      <c r="AI35" s="1" t="s">
        <v>33</v>
      </c>
    </row>
    <row r="36" spans="1:35" x14ac:dyDescent="0.2">
      <c r="A36" s="1" t="s">
        <v>47</v>
      </c>
      <c r="B36" s="18"/>
      <c r="C36" s="24">
        <v>46939.451999999997</v>
      </c>
      <c r="D36" s="24"/>
      <c r="E36" s="1">
        <f t="shared" si="0"/>
        <v>10880.007590235764</v>
      </c>
      <c r="F36" s="2">
        <f t="shared" si="3"/>
        <v>10880</v>
      </c>
      <c r="G36" s="1">
        <f t="shared" si="1"/>
        <v>1.3487999996868894E-2</v>
      </c>
      <c r="I36" s="1">
        <f t="shared" si="4"/>
        <v>1.3487999996868894E-2</v>
      </c>
      <c r="M36" s="2"/>
      <c r="O36" s="11">
        <f t="shared" si="2"/>
        <v>31920.951999999997</v>
      </c>
      <c r="AC36" s="1">
        <v>7</v>
      </c>
      <c r="AE36" s="1" t="s">
        <v>31</v>
      </c>
      <c r="AI36" s="1" t="s">
        <v>33</v>
      </c>
    </row>
    <row r="37" spans="1:35" x14ac:dyDescent="0.2">
      <c r="A37" s="1" t="s">
        <v>48</v>
      </c>
      <c r="B37" s="18"/>
      <c r="C37" s="24">
        <v>47330.409</v>
      </c>
      <c r="D37" s="24"/>
      <c r="E37" s="1">
        <f t="shared" si="0"/>
        <v>11100.014693138777</v>
      </c>
      <c r="F37" s="2">
        <f t="shared" si="3"/>
        <v>11100</v>
      </c>
      <c r="G37" s="1">
        <f t="shared" si="1"/>
        <v>2.6109999998880085E-2</v>
      </c>
      <c r="I37" s="1">
        <f t="shared" si="4"/>
        <v>2.6109999998880085E-2</v>
      </c>
      <c r="M37" s="2"/>
      <c r="O37" s="11">
        <f t="shared" si="2"/>
        <v>32311.909</v>
      </c>
      <c r="AC37" s="1">
        <v>6</v>
      </c>
      <c r="AE37" s="1" t="s">
        <v>31</v>
      </c>
      <c r="AI37" s="1" t="s">
        <v>33</v>
      </c>
    </row>
    <row r="38" spans="1:35" x14ac:dyDescent="0.2">
      <c r="A38" s="1" t="s">
        <v>49</v>
      </c>
      <c r="B38" s="18"/>
      <c r="C38" s="24">
        <v>47353.51</v>
      </c>
      <c r="D38" s="24"/>
      <c r="E38" s="1">
        <f t="shared" si="0"/>
        <v>11113.014547557967</v>
      </c>
      <c r="F38" s="2">
        <f t="shared" si="3"/>
        <v>11113</v>
      </c>
      <c r="G38" s="1">
        <f t="shared" si="1"/>
        <v>2.5851300008071121E-2</v>
      </c>
      <c r="I38" s="1">
        <f t="shared" si="4"/>
        <v>2.5851300008071121E-2</v>
      </c>
      <c r="M38" s="2"/>
      <c r="O38" s="11">
        <f t="shared" si="2"/>
        <v>32335.010000000002</v>
      </c>
      <c r="AC38" s="1">
        <v>7</v>
      </c>
      <c r="AE38" s="1" t="s">
        <v>31</v>
      </c>
      <c r="AI38" s="1" t="s">
        <v>33</v>
      </c>
    </row>
    <row r="39" spans="1:35" x14ac:dyDescent="0.2">
      <c r="A39" s="1" t="s">
        <v>50</v>
      </c>
      <c r="B39" s="18"/>
      <c r="C39" s="24">
        <v>47591.644</v>
      </c>
      <c r="D39" s="24"/>
      <c r="E39" s="1">
        <f t="shared" si="0"/>
        <v>11247.022050794141</v>
      </c>
      <c r="F39" s="2">
        <f t="shared" si="3"/>
        <v>11247</v>
      </c>
      <c r="G39" s="1">
        <f t="shared" si="1"/>
        <v>3.9184699999168515E-2</v>
      </c>
      <c r="I39" s="1">
        <f t="shared" si="4"/>
        <v>3.9184699999168515E-2</v>
      </c>
      <c r="M39" s="2"/>
      <c r="O39" s="11">
        <f t="shared" si="2"/>
        <v>32573.144</v>
      </c>
      <c r="AC39" s="1">
        <v>6</v>
      </c>
      <c r="AE39" s="1" t="s">
        <v>31</v>
      </c>
      <c r="AI39" s="1" t="s">
        <v>33</v>
      </c>
    </row>
    <row r="40" spans="1:35" x14ac:dyDescent="0.2">
      <c r="A40" s="1" t="s">
        <v>51</v>
      </c>
      <c r="B40" s="18"/>
      <c r="C40" s="24">
        <v>47689.383999999998</v>
      </c>
      <c r="D40" s="24"/>
      <c r="E40" s="1">
        <f t="shared" si="0"/>
        <v>11302.024248574819</v>
      </c>
      <c r="F40" s="2">
        <f t="shared" si="3"/>
        <v>11302</v>
      </c>
      <c r="G40" s="1">
        <f t="shared" si="1"/>
        <v>4.3090200000733603E-2</v>
      </c>
      <c r="I40" s="1">
        <f t="shared" si="4"/>
        <v>4.3090200000733603E-2</v>
      </c>
      <c r="M40" s="2"/>
      <c r="O40" s="11">
        <f t="shared" si="2"/>
        <v>32670.883999999998</v>
      </c>
      <c r="AC40" s="1">
        <v>5</v>
      </c>
      <c r="AE40" s="1" t="s">
        <v>31</v>
      </c>
      <c r="AI40" s="1" t="s">
        <v>33</v>
      </c>
    </row>
    <row r="41" spans="1:35" x14ac:dyDescent="0.2">
      <c r="A41" s="1" t="s">
        <v>52</v>
      </c>
      <c r="B41" s="18"/>
      <c r="C41" s="24">
        <v>48039.446000000004</v>
      </c>
      <c r="D41" s="24"/>
      <c r="E41" s="1">
        <f t="shared" si="0"/>
        <v>11499.018103286297</v>
      </c>
      <c r="F41" s="2">
        <f t="shared" si="3"/>
        <v>11499</v>
      </c>
      <c r="G41" s="1">
        <f t="shared" si="1"/>
        <v>3.2169900005101226E-2</v>
      </c>
      <c r="I41" s="1">
        <f t="shared" si="4"/>
        <v>3.2169900005101226E-2</v>
      </c>
      <c r="M41" s="2"/>
      <c r="O41" s="11">
        <f t="shared" si="2"/>
        <v>33020.946000000004</v>
      </c>
      <c r="AC41" s="1">
        <v>5</v>
      </c>
      <c r="AE41" s="1" t="s">
        <v>31</v>
      </c>
      <c r="AI41" s="1" t="s">
        <v>33</v>
      </c>
    </row>
    <row r="42" spans="1:35" x14ac:dyDescent="0.2">
      <c r="A42" s="1" t="s">
        <v>53</v>
      </c>
      <c r="B42" s="18"/>
      <c r="C42" s="24">
        <v>48780.478000000003</v>
      </c>
      <c r="D42" s="24">
        <v>4.0000000000000001E-3</v>
      </c>
      <c r="E42" s="1">
        <f t="shared" si="0"/>
        <v>11916.026376519478</v>
      </c>
      <c r="F42" s="2">
        <f t="shared" si="3"/>
        <v>11916</v>
      </c>
      <c r="G42" s="1">
        <f t="shared" si="1"/>
        <v>4.6871600003214553E-2</v>
      </c>
      <c r="I42" s="1">
        <f t="shared" si="4"/>
        <v>4.6871600003214553E-2</v>
      </c>
      <c r="M42" s="2"/>
      <c r="O42" s="11">
        <f t="shared" si="2"/>
        <v>33761.978000000003</v>
      </c>
      <c r="AC42" s="1">
        <v>6</v>
      </c>
      <c r="AE42" s="1" t="s">
        <v>31</v>
      </c>
      <c r="AI42" s="1" t="s">
        <v>33</v>
      </c>
    </row>
    <row r="43" spans="1:35" x14ac:dyDescent="0.2">
      <c r="A43" s="1" t="s">
        <v>54</v>
      </c>
      <c r="B43" s="18"/>
      <c r="C43" s="24">
        <v>49130.546999999999</v>
      </c>
      <c r="D43" s="24">
        <v>7.0000000000000001E-3</v>
      </c>
      <c r="E43" s="1">
        <f t="shared" si="0"/>
        <v>12113.024170410246</v>
      </c>
      <c r="F43" s="2">
        <f t="shared" si="3"/>
        <v>12113</v>
      </c>
      <c r="G43" s="1">
        <f t="shared" si="1"/>
        <v>4.2951299998094328E-2</v>
      </c>
      <c r="I43" s="1">
        <f t="shared" si="4"/>
        <v>4.2951299998094328E-2</v>
      </c>
      <c r="M43" s="2"/>
      <c r="O43" s="11">
        <f t="shared" si="2"/>
        <v>34112.046999999999</v>
      </c>
      <c r="AC43" s="1">
        <v>6</v>
      </c>
      <c r="AE43" s="1" t="s">
        <v>31</v>
      </c>
      <c r="AI43" s="1" t="s">
        <v>33</v>
      </c>
    </row>
    <row r="44" spans="1:35" x14ac:dyDescent="0.2">
      <c r="A44" s="1" t="s">
        <v>55</v>
      </c>
      <c r="B44" s="18"/>
      <c r="C44" s="24">
        <v>49569.468000000001</v>
      </c>
      <c r="D44" s="24">
        <v>6.0000000000000001E-3</v>
      </c>
      <c r="E44" s="1">
        <f t="shared" si="0"/>
        <v>12360.022529854619</v>
      </c>
      <c r="F44" s="2">
        <f t="shared" si="3"/>
        <v>12360</v>
      </c>
      <c r="G44" s="1">
        <f t="shared" si="1"/>
        <v>4.0035999998508487E-2</v>
      </c>
      <c r="I44" s="1">
        <f t="shared" si="4"/>
        <v>4.0035999998508487E-2</v>
      </c>
      <c r="M44" s="2"/>
      <c r="O44" s="11">
        <f t="shared" si="2"/>
        <v>34550.968000000001</v>
      </c>
      <c r="AC44" s="1">
        <v>7</v>
      </c>
      <c r="AE44" s="1" t="s">
        <v>31</v>
      </c>
      <c r="AI44" s="1" t="s">
        <v>33</v>
      </c>
    </row>
    <row r="45" spans="1:35" x14ac:dyDescent="0.2">
      <c r="A45" s="1" t="s">
        <v>56</v>
      </c>
      <c r="B45" s="18"/>
      <c r="C45" s="24">
        <v>49807.593999999997</v>
      </c>
      <c r="D45" s="24">
        <v>4.0000000000000001E-3</v>
      </c>
      <c r="E45" s="1">
        <f t="shared" si="0"/>
        <v>12494.025531171597</v>
      </c>
      <c r="F45" s="2">
        <f t="shared" si="3"/>
        <v>12494</v>
      </c>
      <c r="G45" s="1">
        <f t="shared" si="1"/>
        <v>4.5369400002527982E-2</v>
      </c>
      <c r="I45" s="1">
        <f t="shared" si="4"/>
        <v>4.5369400002527982E-2</v>
      </c>
      <c r="M45" s="2"/>
      <c r="O45" s="11">
        <f t="shared" si="2"/>
        <v>34789.093999999997</v>
      </c>
      <c r="AC45" s="1">
        <v>6</v>
      </c>
      <c r="AE45" s="1" t="s">
        <v>31</v>
      </c>
      <c r="AI45" s="1" t="s">
        <v>33</v>
      </c>
    </row>
    <row r="46" spans="1:35" x14ac:dyDescent="0.2">
      <c r="A46" s="1" t="s">
        <v>57</v>
      </c>
      <c r="B46" s="18"/>
      <c r="C46" s="24">
        <v>50246.534</v>
      </c>
      <c r="D46" s="24">
        <v>5.0000000000000001E-3</v>
      </c>
      <c r="E46" s="1">
        <f t="shared" si="0"/>
        <v>12741.034582674059</v>
      </c>
      <c r="F46" s="2">
        <f t="shared" si="3"/>
        <v>12741</v>
      </c>
      <c r="G46" s="1">
        <f t="shared" si="1"/>
        <v>6.1454099995899014E-2</v>
      </c>
      <c r="I46" s="1">
        <f t="shared" si="4"/>
        <v>6.1454099995899014E-2</v>
      </c>
      <c r="M46" s="2"/>
      <c r="O46" s="11">
        <f t="shared" si="2"/>
        <v>35228.034</v>
      </c>
      <c r="AC46" s="1">
        <v>8</v>
      </c>
      <c r="AE46" s="1" t="s">
        <v>31</v>
      </c>
      <c r="AI46" s="1" t="s">
        <v>33</v>
      </c>
    </row>
    <row r="47" spans="1:35" x14ac:dyDescent="0.2">
      <c r="A47" s="1" t="s">
        <v>57</v>
      </c>
      <c r="B47" s="18"/>
      <c r="C47" s="24">
        <v>50246.534</v>
      </c>
      <c r="D47" s="24">
        <v>5.0000000000000001E-3</v>
      </c>
      <c r="E47" s="1">
        <f t="shared" si="0"/>
        <v>12741.034582674059</v>
      </c>
      <c r="F47" s="2">
        <f t="shared" si="3"/>
        <v>12741</v>
      </c>
      <c r="G47" s="1">
        <f t="shared" si="1"/>
        <v>6.1454099995899014E-2</v>
      </c>
      <c r="I47" s="1">
        <f t="shared" si="4"/>
        <v>6.1454099995899014E-2</v>
      </c>
      <c r="M47" s="2"/>
      <c r="O47" s="11">
        <f t="shared" si="2"/>
        <v>35228.034</v>
      </c>
      <c r="AC47" s="1">
        <v>8</v>
      </c>
      <c r="AE47" s="1" t="s">
        <v>31</v>
      </c>
      <c r="AI47" s="1" t="s">
        <v>33</v>
      </c>
    </row>
    <row r="48" spans="1:35" x14ac:dyDescent="0.2">
      <c r="A48" s="1" t="s">
        <v>58</v>
      </c>
      <c r="B48" s="18"/>
      <c r="C48" s="24">
        <v>50598.375999999997</v>
      </c>
      <c r="D48" s="24">
        <v>3.0000000000000001E-3</v>
      </c>
      <c r="E48" s="1">
        <f t="shared" si="0"/>
        <v>12939.030114406709</v>
      </c>
      <c r="F48" s="2">
        <f t="shared" si="3"/>
        <v>12939</v>
      </c>
      <c r="G48" s="1">
        <f t="shared" si="1"/>
        <v>5.3513899998506531E-2</v>
      </c>
      <c r="I48" s="1">
        <f t="shared" si="4"/>
        <v>5.3513899998506531E-2</v>
      </c>
      <c r="M48" s="2"/>
      <c r="O48" s="11">
        <f t="shared" si="2"/>
        <v>35579.875999999997</v>
      </c>
      <c r="AC48" s="1">
        <v>6</v>
      </c>
      <c r="AE48" s="1" t="s">
        <v>31</v>
      </c>
      <c r="AI48" s="1" t="s">
        <v>33</v>
      </c>
    </row>
    <row r="49" spans="1:35" x14ac:dyDescent="0.2">
      <c r="A49" s="35" t="s">
        <v>59</v>
      </c>
      <c r="B49" s="36"/>
      <c r="C49" s="37">
        <v>50923.578000000001</v>
      </c>
      <c r="D49" s="37">
        <v>4.0000000000000001E-3</v>
      </c>
      <c r="E49" s="35">
        <f t="shared" si="0"/>
        <v>13122.034255215714</v>
      </c>
      <c r="F49" s="2">
        <f t="shared" si="3"/>
        <v>13122</v>
      </c>
      <c r="G49" s="1">
        <f t="shared" si="1"/>
        <v>6.0872200003359467E-2</v>
      </c>
      <c r="I49" s="1">
        <f t="shared" si="4"/>
        <v>6.0872200003359467E-2</v>
      </c>
      <c r="M49" s="2"/>
      <c r="O49" s="11">
        <f t="shared" si="2"/>
        <v>35905.078000000001</v>
      </c>
      <c r="AC49" s="1">
        <v>7</v>
      </c>
      <c r="AE49" s="1" t="s">
        <v>31</v>
      </c>
      <c r="AI49" s="1" t="s">
        <v>33</v>
      </c>
    </row>
    <row r="50" spans="1:35" x14ac:dyDescent="0.2">
      <c r="A50" s="35" t="s">
        <v>5</v>
      </c>
      <c r="B50" s="36" t="s">
        <v>6</v>
      </c>
      <c r="C50" s="37">
        <v>51288.74</v>
      </c>
      <c r="D50" s="37">
        <v>0.01</v>
      </c>
      <c r="E50" s="35">
        <f t="shared" si="0"/>
        <v>13327.525482410185</v>
      </c>
      <c r="F50" s="2">
        <f t="shared" si="3"/>
        <v>13327.5</v>
      </c>
      <c r="G50" s="1">
        <f t="shared" si="1"/>
        <v>4.5282749997568317E-2</v>
      </c>
      <c r="K50" s="1">
        <f>G50</f>
        <v>4.5282749997568317E-2</v>
      </c>
      <c r="M50" s="2"/>
      <c r="O50" s="11">
        <f t="shared" si="2"/>
        <v>36270.239999999998</v>
      </c>
    </row>
    <row r="51" spans="1:35" x14ac:dyDescent="0.2">
      <c r="A51" s="35" t="s">
        <v>5</v>
      </c>
      <c r="B51" s="36" t="s">
        <v>4</v>
      </c>
      <c r="C51" s="37">
        <v>51312.748</v>
      </c>
      <c r="D51" s="37">
        <v>3.0000000000000001E-3</v>
      </c>
      <c r="E51" s="35">
        <f t="shared" si="0"/>
        <v>13341.035741918253</v>
      </c>
      <c r="F51" s="2">
        <f t="shared" si="3"/>
        <v>13341</v>
      </c>
      <c r="G51" s="1">
        <f t="shared" si="1"/>
        <v>6.3514100002066698E-2</v>
      </c>
      <c r="K51" s="1">
        <f>G51</f>
        <v>6.3514100002066698E-2</v>
      </c>
      <c r="M51" s="2"/>
      <c r="O51" s="11">
        <f t="shared" si="2"/>
        <v>36294.248</v>
      </c>
    </row>
    <row r="52" spans="1:35" x14ac:dyDescent="0.2">
      <c r="A52" s="69" t="s">
        <v>197</v>
      </c>
      <c r="B52" s="71" t="s">
        <v>4</v>
      </c>
      <c r="C52" s="73">
        <v>51362.500999999997</v>
      </c>
      <c r="D52" s="73" t="s">
        <v>91</v>
      </c>
      <c r="E52" s="35">
        <f t="shared" si="0"/>
        <v>13369.033740139881</v>
      </c>
      <c r="F52" s="2">
        <f t="shared" si="3"/>
        <v>13369</v>
      </c>
      <c r="G52" s="1">
        <f t="shared" si="1"/>
        <v>5.9956899996905122E-2</v>
      </c>
      <c r="I52" s="1">
        <f>G52</f>
        <v>5.9956899996905122E-2</v>
      </c>
      <c r="M52" s="2"/>
      <c r="O52" s="11">
        <f t="shared" si="2"/>
        <v>36344.000999999997</v>
      </c>
    </row>
    <row r="53" spans="1:35" x14ac:dyDescent="0.2">
      <c r="A53" s="69" t="s">
        <v>202</v>
      </c>
      <c r="B53" s="71" t="s">
        <v>4</v>
      </c>
      <c r="C53" s="73">
        <v>51433.578000000001</v>
      </c>
      <c r="D53" s="73" t="s">
        <v>91</v>
      </c>
      <c r="E53" s="35">
        <f t="shared" si="0"/>
        <v>13409.031603979225</v>
      </c>
      <c r="F53" s="2">
        <f t="shared" si="3"/>
        <v>13409</v>
      </c>
      <c r="G53" s="1">
        <f t="shared" si="1"/>
        <v>5.6160900006943848E-2</v>
      </c>
      <c r="I53" s="1">
        <f>G53</f>
        <v>5.6160900006943848E-2</v>
      </c>
      <c r="M53" s="2">
        <f t="shared" ref="M53:M65" ca="1" si="5">+C$11+C$12*F53</f>
        <v>5.9357702433484857E-2</v>
      </c>
      <c r="O53" s="11">
        <f t="shared" si="2"/>
        <v>36415.078000000001</v>
      </c>
    </row>
    <row r="54" spans="1:35" x14ac:dyDescent="0.2">
      <c r="A54" s="69" t="s">
        <v>209</v>
      </c>
      <c r="B54" s="71" t="s">
        <v>4</v>
      </c>
      <c r="C54" s="73">
        <v>51435.354299999999</v>
      </c>
      <c r="D54" s="73" t="s">
        <v>91</v>
      </c>
      <c r="E54" s="35">
        <f t="shared" si="0"/>
        <v>13410.031198862771</v>
      </c>
      <c r="F54" s="2">
        <f t="shared" si="3"/>
        <v>13410</v>
      </c>
      <c r="G54" s="1">
        <f t="shared" si="1"/>
        <v>5.5440999996790197E-2</v>
      </c>
      <c r="J54" s="1">
        <f>G54</f>
        <v>5.5440999996790197E-2</v>
      </c>
      <c r="M54" s="2">
        <f t="shared" ca="1" si="5"/>
        <v>5.9352884169461551E-2</v>
      </c>
      <c r="O54" s="11">
        <f t="shared" si="2"/>
        <v>36416.854299999999</v>
      </c>
    </row>
    <row r="55" spans="1:35" x14ac:dyDescent="0.2">
      <c r="A55" s="69" t="s">
        <v>202</v>
      </c>
      <c r="B55" s="71" t="s">
        <v>4</v>
      </c>
      <c r="C55" s="73">
        <v>51719.68</v>
      </c>
      <c r="D55" s="73" t="s">
        <v>91</v>
      </c>
      <c r="E55" s="35">
        <f t="shared" si="0"/>
        <v>13570.032614716358</v>
      </c>
      <c r="F55" s="2">
        <f t="shared" si="3"/>
        <v>13570</v>
      </c>
      <c r="G55" s="1">
        <f t="shared" si="1"/>
        <v>5.7957000004535075E-2</v>
      </c>
      <c r="I55" s="1">
        <f>G55</f>
        <v>5.7957000004535075E-2</v>
      </c>
      <c r="M55" s="2">
        <f t="shared" ca="1" si="5"/>
        <v>5.8581961925733728E-2</v>
      </c>
      <c r="O55" s="11">
        <f t="shared" si="2"/>
        <v>36701.18</v>
      </c>
    </row>
    <row r="56" spans="1:35" x14ac:dyDescent="0.2">
      <c r="A56" s="44" t="s">
        <v>76</v>
      </c>
      <c r="B56" s="45" t="s">
        <v>6</v>
      </c>
      <c r="C56" s="46">
        <v>51727.673300000002</v>
      </c>
      <c r="D56" s="46">
        <v>1.8E-3</v>
      </c>
      <c r="E56" s="35">
        <f t="shared" si="0"/>
        <v>13574.530763555322</v>
      </c>
      <c r="F56" s="2">
        <f t="shared" si="3"/>
        <v>13574.5</v>
      </c>
      <c r="G56" s="1">
        <f t="shared" si="1"/>
        <v>5.4667450000124518E-2</v>
      </c>
      <c r="K56" s="1">
        <f>G56</f>
        <v>5.4667450000124518E-2</v>
      </c>
      <c r="M56" s="2">
        <f t="shared" ca="1" si="5"/>
        <v>5.8560279737628895E-2</v>
      </c>
      <c r="O56" s="11">
        <f t="shared" si="2"/>
        <v>36709.173300000002</v>
      </c>
    </row>
    <row r="57" spans="1:35" x14ac:dyDescent="0.2">
      <c r="A57" s="69" t="s">
        <v>221</v>
      </c>
      <c r="B57" s="71" t="s">
        <v>4</v>
      </c>
      <c r="C57" s="73">
        <v>51840.514999999999</v>
      </c>
      <c r="D57" s="73" t="s">
        <v>91</v>
      </c>
      <c r="E57" s="35">
        <f t="shared" si="0"/>
        <v>13638.031290476825</v>
      </c>
      <c r="F57" s="2">
        <f t="shared" si="3"/>
        <v>13638</v>
      </c>
      <c r="G57" s="1">
        <f t="shared" si="1"/>
        <v>5.5603799999516923E-2</v>
      </c>
      <c r="I57" s="1">
        <f>G57</f>
        <v>5.5603799999516923E-2</v>
      </c>
      <c r="M57" s="2">
        <f t="shared" ca="1" si="5"/>
        <v>5.8254319972149415E-2</v>
      </c>
      <c r="O57" s="11">
        <f t="shared" si="2"/>
        <v>36822.014999999999</v>
      </c>
    </row>
    <row r="58" spans="1:35" x14ac:dyDescent="0.2">
      <c r="A58" s="38" t="s">
        <v>64</v>
      </c>
      <c r="B58" s="39" t="s">
        <v>4</v>
      </c>
      <c r="C58" s="40">
        <v>52764.571000000004</v>
      </c>
      <c r="D58" s="40">
        <v>5.0000000000000001E-3</v>
      </c>
      <c r="E58" s="35">
        <f t="shared" si="0"/>
        <v>14158.034471082741</v>
      </c>
      <c r="F58" s="2">
        <f t="shared" si="3"/>
        <v>14158</v>
      </c>
      <c r="G58" s="1">
        <f t="shared" si="1"/>
        <v>6.125580000662012E-2</v>
      </c>
      <c r="J58" s="1">
        <f>G58</f>
        <v>6.125580000662012E-2</v>
      </c>
      <c r="M58" s="2">
        <f t="shared" ca="1" si="5"/>
        <v>5.5748822680033991E-2</v>
      </c>
      <c r="O58" s="11">
        <f t="shared" si="2"/>
        <v>37746.071000000004</v>
      </c>
    </row>
    <row r="59" spans="1:35" x14ac:dyDescent="0.2">
      <c r="A59" s="38" t="s">
        <v>61</v>
      </c>
      <c r="B59" s="39" t="s">
        <v>4</v>
      </c>
      <c r="C59" s="40">
        <v>52853.43</v>
      </c>
      <c r="D59" s="41">
        <v>4.0000000000000001E-3</v>
      </c>
      <c r="E59" s="35">
        <f t="shared" si="0"/>
        <v>14208.038975815634</v>
      </c>
      <c r="F59" s="2">
        <f t="shared" si="3"/>
        <v>14208</v>
      </c>
      <c r="G59" s="1">
        <f t="shared" si="1"/>
        <v>6.9260800002666656E-2</v>
      </c>
      <c r="K59" s="1">
        <f>G59</f>
        <v>6.9260800002666656E-2</v>
      </c>
      <c r="M59" s="2">
        <f t="shared" ca="1" si="5"/>
        <v>5.550790947886905E-2</v>
      </c>
      <c r="O59" s="11">
        <f t="shared" si="2"/>
        <v>37834.93</v>
      </c>
    </row>
    <row r="60" spans="1:35" x14ac:dyDescent="0.2">
      <c r="A60" s="42" t="s">
        <v>75</v>
      </c>
      <c r="B60" s="43" t="s">
        <v>4</v>
      </c>
      <c r="C60" s="42">
        <v>53203.491000000002</v>
      </c>
      <c r="D60" s="42">
        <v>6.0000000000000001E-3</v>
      </c>
      <c r="E60" s="35">
        <f t="shared" si="0"/>
        <v>14405.03226778721</v>
      </c>
      <c r="F60" s="2">
        <f t="shared" si="3"/>
        <v>14405</v>
      </c>
      <c r="G60" s="1">
        <f t="shared" si="1"/>
        <v>5.7340500003192574E-2</v>
      </c>
      <c r="I60" s="1">
        <f>G60</f>
        <v>5.7340500003192574E-2</v>
      </c>
      <c r="M60" s="2">
        <f t="shared" ca="1" si="5"/>
        <v>5.4558711466279178E-2</v>
      </c>
      <c r="O60" s="11">
        <f t="shared" si="2"/>
        <v>38184.991000000002</v>
      </c>
    </row>
    <row r="61" spans="1:35" x14ac:dyDescent="0.2">
      <c r="A61" s="70" t="s">
        <v>71</v>
      </c>
      <c r="B61" s="72"/>
      <c r="C61" s="70">
        <v>54239.485800000002</v>
      </c>
      <c r="D61" s="70">
        <v>5.0000000000000001E-4</v>
      </c>
      <c r="E61" s="35">
        <f t="shared" si="0"/>
        <v>14988.027877459337</v>
      </c>
      <c r="F61" s="2">
        <f t="shared" si="3"/>
        <v>14988</v>
      </c>
      <c r="G61" s="1">
        <f t="shared" si="1"/>
        <v>4.9538800005393568E-2</v>
      </c>
      <c r="J61" s="1">
        <f>G61</f>
        <v>4.9538800005393568E-2</v>
      </c>
      <c r="M61" s="2">
        <f t="shared" ca="1" si="5"/>
        <v>5.1749663540695934E-2</v>
      </c>
      <c r="O61" s="11">
        <f t="shared" si="2"/>
        <v>39220.985800000002</v>
      </c>
    </row>
    <row r="62" spans="1:35" x14ac:dyDescent="0.2">
      <c r="A62" s="63" t="s">
        <v>77</v>
      </c>
      <c r="B62" s="66" t="s">
        <v>4</v>
      </c>
      <c r="C62" s="68">
        <v>55625.557780000003</v>
      </c>
      <c r="D62" s="68">
        <v>1E-3</v>
      </c>
      <c r="E62" s="35">
        <f t="shared" si="0"/>
        <v>15768.025884234614</v>
      </c>
      <c r="F62" s="2">
        <f t="shared" si="3"/>
        <v>15768</v>
      </c>
      <c r="G62" s="1">
        <f t="shared" si="1"/>
        <v>4.5996800006832927E-2</v>
      </c>
      <c r="K62" s="1">
        <f>G62</f>
        <v>4.5996800006832927E-2</v>
      </c>
      <c r="M62" s="2">
        <f t="shared" ca="1" si="5"/>
        <v>4.7991417602522818E-2</v>
      </c>
      <c r="O62" s="11">
        <f t="shared" si="2"/>
        <v>40607.057780000003</v>
      </c>
    </row>
    <row r="63" spans="1:35" x14ac:dyDescent="0.2">
      <c r="A63" s="63" t="s">
        <v>77</v>
      </c>
      <c r="B63" s="66" t="s">
        <v>4</v>
      </c>
      <c r="C63" s="68">
        <v>56153.332419999999</v>
      </c>
      <c r="D63" s="68">
        <v>0</v>
      </c>
      <c r="E63" s="35">
        <f t="shared" si="0"/>
        <v>16065.025732126016</v>
      </c>
      <c r="F63" s="2">
        <f t="shared" si="3"/>
        <v>16065</v>
      </c>
      <c r="G63" s="1">
        <f t="shared" si="1"/>
        <v>4.5726500000455417E-2</v>
      </c>
      <c r="K63" s="1">
        <f>G63</f>
        <v>4.5726500000455417E-2</v>
      </c>
      <c r="M63" s="2">
        <f t="shared" ca="1" si="5"/>
        <v>4.656039318760305E-2</v>
      </c>
      <c r="O63" s="11">
        <f t="shared" si="2"/>
        <v>41134.832419999999</v>
      </c>
    </row>
    <row r="64" spans="1:35" x14ac:dyDescent="0.2">
      <c r="A64" s="62" t="s">
        <v>78</v>
      </c>
      <c r="B64" s="65"/>
      <c r="C64" s="62">
        <v>56153.332499999997</v>
      </c>
      <c r="D64" s="62" t="s">
        <v>79</v>
      </c>
      <c r="E64" s="35">
        <f t="shared" si="0"/>
        <v>16065.025777145207</v>
      </c>
      <c r="F64" s="2">
        <f t="shared" si="3"/>
        <v>16065</v>
      </c>
      <c r="G64" s="1">
        <f t="shared" si="1"/>
        <v>4.5806499998434447E-2</v>
      </c>
      <c r="K64" s="1">
        <f>G64</f>
        <v>4.5806499998434447E-2</v>
      </c>
      <c r="M64" s="2">
        <f t="shared" ca="1" si="5"/>
        <v>4.656039318760305E-2</v>
      </c>
      <c r="O64" s="11">
        <f t="shared" si="2"/>
        <v>41134.832499999997</v>
      </c>
    </row>
    <row r="65" spans="1:15" x14ac:dyDescent="0.2">
      <c r="A65" s="64" t="s">
        <v>80</v>
      </c>
      <c r="B65" s="67"/>
      <c r="C65" s="64">
        <v>57123.586499999998</v>
      </c>
      <c r="D65" s="64">
        <v>2.0000000000000001E-4</v>
      </c>
      <c r="E65" s="35">
        <f t="shared" si="0"/>
        <v>16611.026415629898</v>
      </c>
      <c r="F65" s="2">
        <f t="shared" si="3"/>
        <v>16611</v>
      </c>
      <c r="G65" s="1">
        <f t="shared" si="1"/>
        <v>4.6941100001276936E-2</v>
      </c>
      <c r="J65" s="1">
        <f>G65</f>
        <v>4.6941100001276936E-2</v>
      </c>
      <c r="M65" s="2">
        <f t="shared" ca="1" si="5"/>
        <v>4.3929621030881869E-2</v>
      </c>
      <c r="O65" s="11">
        <f t="shared" si="2"/>
        <v>42105.086499999998</v>
      </c>
    </row>
    <row r="66" spans="1:15" x14ac:dyDescent="0.2">
      <c r="B66" s="18"/>
      <c r="C66" s="24"/>
      <c r="D66" s="24"/>
    </row>
    <row r="67" spans="1:15" x14ac:dyDescent="0.2">
      <c r="C67" s="24"/>
      <c r="D67" s="24"/>
    </row>
    <row r="68" spans="1:15" x14ac:dyDescent="0.2">
      <c r="C68" s="24"/>
      <c r="D68" s="24"/>
    </row>
    <row r="69" spans="1:15" x14ac:dyDescent="0.2">
      <c r="C69" s="24"/>
      <c r="D69" s="24"/>
    </row>
    <row r="70" spans="1:15" x14ac:dyDescent="0.2">
      <c r="C70" s="24"/>
      <c r="D70" s="24"/>
    </row>
    <row r="71" spans="1:15" x14ac:dyDescent="0.2">
      <c r="C71" s="24"/>
      <c r="D71" s="24"/>
    </row>
    <row r="72" spans="1:15" x14ac:dyDescent="0.2">
      <c r="C72" s="24"/>
      <c r="D72" s="24"/>
    </row>
    <row r="73" spans="1:15" x14ac:dyDescent="0.2">
      <c r="C73" s="24"/>
      <c r="D73" s="2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topLeftCell="A13" workbookViewId="0">
      <selection activeCell="A46" sqref="A46:D50"/>
    </sheetView>
  </sheetViews>
  <sheetFormatPr defaultRowHeight="12.75" x14ac:dyDescent="0.2"/>
  <cols>
    <col min="1" max="1" width="19.7109375" style="48" customWidth="1"/>
    <col min="2" max="2" width="4.42578125" style="12" customWidth="1"/>
    <col min="3" max="3" width="12.7109375" style="4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4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7" t="s">
        <v>81</v>
      </c>
      <c r="I1" s="49" t="s">
        <v>82</v>
      </c>
      <c r="J1" s="50" t="s">
        <v>83</v>
      </c>
    </row>
    <row r="2" spans="1:16" x14ac:dyDescent="0.2">
      <c r="I2" s="51" t="s">
        <v>84</v>
      </c>
      <c r="J2" s="52" t="s">
        <v>85</v>
      </c>
    </row>
    <row r="3" spans="1:16" x14ac:dyDescent="0.2">
      <c r="A3" s="53" t="s">
        <v>86</v>
      </c>
      <c r="I3" s="51" t="s">
        <v>87</v>
      </c>
      <c r="J3" s="52" t="s">
        <v>88</v>
      </c>
    </row>
    <row r="4" spans="1:16" x14ac:dyDescent="0.2">
      <c r="I4" s="51" t="s">
        <v>89</v>
      </c>
      <c r="J4" s="52" t="s">
        <v>88</v>
      </c>
    </row>
    <row r="5" spans="1:16" ht="13.5" thickBot="1" x14ac:dyDescent="0.25">
      <c r="I5" s="54" t="s">
        <v>90</v>
      </c>
      <c r="J5" s="55" t="s">
        <v>91</v>
      </c>
    </row>
    <row r="10" spans="1:16" ht="13.5" thickBot="1" x14ac:dyDescent="0.25"/>
    <row r="11" spans="1:16" ht="12.75" customHeight="1" thickBot="1" x14ac:dyDescent="0.25">
      <c r="A11" s="48" t="str">
        <f t="shared" ref="A11:A50" si="0">P11</f>
        <v>BAVM 241 (=IBVS 6157) </v>
      </c>
      <c r="B11" s="16" t="str">
        <f t="shared" ref="B11:B50" si="1">IF(H11=INT(H11),"I","II")</f>
        <v>I</v>
      </c>
      <c r="C11" s="48">
        <f t="shared" ref="C11:C50" si="2">1*G11</f>
        <v>57123.586499999998</v>
      </c>
      <c r="D11" s="12" t="str">
        <f t="shared" ref="D11:D50" si="3">VLOOKUP(F11,I$1:J$5,2,FALSE)</f>
        <v>vis</v>
      </c>
      <c r="E11" s="56">
        <f>VLOOKUP(C11,Active!C$21:E$973,3,FALSE)</f>
        <v>16611.026415629898</v>
      </c>
      <c r="F11" s="16" t="s">
        <v>90</v>
      </c>
      <c r="G11" s="12" t="str">
        <f t="shared" ref="G11:G50" si="4">MID(I11,3,LEN(I11)-3)</f>
        <v>57123.5865</v>
      </c>
      <c r="H11" s="48">
        <f t="shared" ref="H11:H50" si="5">1*K11</f>
        <v>16611</v>
      </c>
      <c r="I11" s="57" t="s">
        <v>250</v>
      </c>
      <c r="J11" s="58" t="s">
        <v>251</v>
      </c>
      <c r="K11" s="57" t="s">
        <v>252</v>
      </c>
      <c r="L11" s="57" t="s">
        <v>253</v>
      </c>
      <c r="M11" s="58" t="s">
        <v>216</v>
      </c>
      <c r="N11" s="58" t="s">
        <v>254</v>
      </c>
      <c r="O11" s="59" t="s">
        <v>255</v>
      </c>
      <c r="P11" s="60" t="s">
        <v>256</v>
      </c>
    </row>
    <row r="12" spans="1:16" ht="12.75" customHeight="1" thickBot="1" x14ac:dyDescent="0.25">
      <c r="A12" s="48" t="str">
        <f t="shared" si="0"/>
        <v> BBS 33 </v>
      </c>
      <c r="B12" s="16" t="str">
        <f t="shared" si="1"/>
        <v>I</v>
      </c>
      <c r="C12" s="48">
        <f t="shared" si="2"/>
        <v>43273.446000000004</v>
      </c>
      <c r="D12" s="12" t="str">
        <f t="shared" si="3"/>
        <v>vis</v>
      </c>
      <c r="E12" s="56">
        <f>VLOOKUP(C12,Active!C$21:E$973,3,FALSE)</f>
        <v>8816.9997420963064</v>
      </c>
      <c r="F12" s="16" t="s">
        <v>90</v>
      </c>
      <c r="G12" s="12" t="str">
        <f t="shared" si="4"/>
        <v>43273.446</v>
      </c>
      <c r="H12" s="48">
        <f t="shared" si="5"/>
        <v>8817</v>
      </c>
      <c r="I12" s="57" t="s">
        <v>93</v>
      </c>
      <c r="J12" s="58" t="s">
        <v>94</v>
      </c>
      <c r="K12" s="57">
        <v>8817</v>
      </c>
      <c r="L12" s="57" t="s">
        <v>95</v>
      </c>
      <c r="M12" s="58" t="s">
        <v>96</v>
      </c>
      <c r="N12" s="58"/>
      <c r="O12" s="59" t="s">
        <v>97</v>
      </c>
      <c r="P12" s="59" t="s">
        <v>98</v>
      </c>
    </row>
    <row r="13" spans="1:16" ht="12.75" customHeight="1" thickBot="1" x14ac:dyDescent="0.25">
      <c r="A13" s="48" t="str">
        <f t="shared" si="0"/>
        <v> BBS 37 </v>
      </c>
      <c r="B13" s="16" t="str">
        <f t="shared" si="1"/>
        <v>I</v>
      </c>
      <c r="C13" s="48">
        <f t="shared" si="2"/>
        <v>43671.499000000003</v>
      </c>
      <c r="D13" s="12" t="str">
        <f t="shared" si="3"/>
        <v>vis</v>
      </c>
      <c r="E13" s="56">
        <f>VLOOKUP(C13,Active!C$21:E$973,3,FALSE)</f>
        <v>9041.0000473264281</v>
      </c>
      <c r="F13" s="16" t="s">
        <v>90</v>
      </c>
      <c r="G13" s="12" t="str">
        <f t="shared" si="4"/>
        <v>43671.499</v>
      </c>
      <c r="H13" s="48">
        <f t="shared" si="5"/>
        <v>9041</v>
      </c>
      <c r="I13" s="57" t="s">
        <v>99</v>
      </c>
      <c r="J13" s="58" t="s">
        <v>100</v>
      </c>
      <c r="K13" s="57">
        <v>9041</v>
      </c>
      <c r="L13" s="57" t="s">
        <v>101</v>
      </c>
      <c r="M13" s="58" t="s">
        <v>96</v>
      </c>
      <c r="N13" s="58"/>
      <c r="O13" s="59" t="s">
        <v>97</v>
      </c>
      <c r="P13" s="59" t="s">
        <v>102</v>
      </c>
    </row>
    <row r="14" spans="1:16" ht="12.75" customHeight="1" thickBot="1" x14ac:dyDescent="0.25">
      <c r="A14" s="48" t="str">
        <f t="shared" si="0"/>
        <v> BBS 38 </v>
      </c>
      <c r="B14" s="16" t="str">
        <f t="shared" si="1"/>
        <v>I</v>
      </c>
      <c r="C14" s="48">
        <f t="shared" si="2"/>
        <v>43703.478000000003</v>
      </c>
      <c r="D14" s="12" t="str">
        <f t="shared" si="3"/>
        <v>vis</v>
      </c>
      <c r="E14" s="56">
        <f>VLOOKUP(C14,Active!C$21:E$973,3,FALSE)</f>
        <v>9058.9959065736984</v>
      </c>
      <c r="F14" s="16" t="s">
        <v>90</v>
      </c>
      <c r="G14" s="12" t="str">
        <f t="shared" si="4"/>
        <v>43703.478</v>
      </c>
      <c r="H14" s="48">
        <f t="shared" si="5"/>
        <v>9059</v>
      </c>
      <c r="I14" s="57" t="s">
        <v>103</v>
      </c>
      <c r="J14" s="58" t="s">
        <v>104</v>
      </c>
      <c r="K14" s="57">
        <v>9059</v>
      </c>
      <c r="L14" s="57" t="s">
        <v>105</v>
      </c>
      <c r="M14" s="58" t="s">
        <v>96</v>
      </c>
      <c r="N14" s="58"/>
      <c r="O14" s="59" t="s">
        <v>97</v>
      </c>
      <c r="P14" s="59" t="s">
        <v>106</v>
      </c>
    </row>
    <row r="15" spans="1:16" ht="12.75" customHeight="1" thickBot="1" x14ac:dyDescent="0.25">
      <c r="A15" s="48" t="str">
        <f t="shared" si="0"/>
        <v> BBS 39 </v>
      </c>
      <c r="B15" s="16" t="str">
        <f t="shared" si="1"/>
        <v>I</v>
      </c>
      <c r="C15" s="48">
        <f t="shared" si="2"/>
        <v>43776.337</v>
      </c>
      <c r="D15" s="12" t="str">
        <f t="shared" si="3"/>
        <v>vis</v>
      </c>
      <c r="E15" s="56">
        <f>VLOOKUP(C15,Active!C$21:E$973,3,FALSE)</f>
        <v>9099.9965729140113</v>
      </c>
      <c r="F15" s="16" t="s">
        <v>90</v>
      </c>
      <c r="G15" s="12" t="str">
        <f t="shared" si="4"/>
        <v>43776.337</v>
      </c>
      <c r="H15" s="48">
        <f t="shared" si="5"/>
        <v>9100</v>
      </c>
      <c r="I15" s="57" t="s">
        <v>107</v>
      </c>
      <c r="J15" s="58" t="s">
        <v>108</v>
      </c>
      <c r="K15" s="57">
        <v>9100</v>
      </c>
      <c r="L15" s="57" t="s">
        <v>109</v>
      </c>
      <c r="M15" s="58" t="s">
        <v>96</v>
      </c>
      <c r="N15" s="58"/>
      <c r="O15" s="59" t="s">
        <v>97</v>
      </c>
      <c r="P15" s="59" t="s">
        <v>110</v>
      </c>
    </row>
    <row r="16" spans="1:16" ht="12.75" customHeight="1" thickBot="1" x14ac:dyDescent="0.25">
      <c r="A16" s="48" t="str">
        <f t="shared" si="0"/>
        <v> BBS 42 </v>
      </c>
      <c r="B16" s="16" t="str">
        <f t="shared" si="1"/>
        <v>I</v>
      </c>
      <c r="C16" s="48">
        <f t="shared" si="2"/>
        <v>43957.595999999998</v>
      </c>
      <c r="D16" s="12" t="str">
        <f t="shared" si="3"/>
        <v>vis</v>
      </c>
      <c r="E16" s="56">
        <f>VLOOKUP(C16,Active!C$21:E$973,3,FALSE)</f>
        <v>9201.9982443640602</v>
      </c>
      <c r="F16" s="16" t="s">
        <v>90</v>
      </c>
      <c r="G16" s="12" t="str">
        <f t="shared" si="4"/>
        <v>43957.596</v>
      </c>
      <c r="H16" s="48">
        <f t="shared" si="5"/>
        <v>9202</v>
      </c>
      <c r="I16" s="57" t="s">
        <v>111</v>
      </c>
      <c r="J16" s="58" t="s">
        <v>112</v>
      </c>
      <c r="K16" s="57">
        <v>9202</v>
      </c>
      <c r="L16" s="57" t="s">
        <v>92</v>
      </c>
      <c r="M16" s="58" t="s">
        <v>96</v>
      </c>
      <c r="N16" s="58"/>
      <c r="O16" s="59" t="s">
        <v>97</v>
      </c>
      <c r="P16" s="59" t="s">
        <v>113</v>
      </c>
    </row>
    <row r="17" spans="1:16" ht="12.75" customHeight="1" thickBot="1" x14ac:dyDescent="0.25">
      <c r="A17" s="48" t="str">
        <f t="shared" si="0"/>
        <v> BBS 47 </v>
      </c>
      <c r="B17" s="16" t="str">
        <f t="shared" si="1"/>
        <v>I</v>
      </c>
      <c r="C17" s="48">
        <f t="shared" si="2"/>
        <v>44341.434999999998</v>
      </c>
      <c r="D17" s="12" t="str">
        <f t="shared" si="3"/>
        <v>vis</v>
      </c>
      <c r="E17" s="56">
        <f>VLOOKUP(C17,Active!C$21:E$973,3,FALSE)</f>
        <v>9417.9997646621723</v>
      </c>
      <c r="F17" s="16" t="s">
        <v>90</v>
      </c>
      <c r="G17" s="12" t="str">
        <f t="shared" si="4"/>
        <v>44341.435</v>
      </c>
      <c r="H17" s="48">
        <f t="shared" si="5"/>
        <v>9418</v>
      </c>
      <c r="I17" s="57" t="s">
        <v>114</v>
      </c>
      <c r="J17" s="58" t="s">
        <v>115</v>
      </c>
      <c r="K17" s="57">
        <v>9418</v>
      </c>
      <c r="L17" s="57" t="s">
        <v>95</v>
      </c>
      <c r="M17" s="58" t="s">
        <v>96</v>
      </c>
      <c r="N17" s="58"/>
      <c r="O17" s="59" t="s">
        <v>97</v>
      </c>
      <c r="P17" s="59" t="s">
        <v>116</v>
      </c>
    </row>
    <row r="18" spans="1:16" ht="12.75" customHeight="1" thickBot="1" x14ac:dyDescent="0.25">
      <c r="A18" s="48" t="str">
        <f t="shared" si="0"/>
        <v> BBS 48 </v>
      </c>
      <c r="B18" s="16" t="str">
        <f t="shared" si="1"/>
        <v>I</v>
      </c>
      <c r="C18" s="48">
        <f t="shared" si="2"/>
        <v>44396.525000000001</v>
      </c>
      <c r="D18" s="12" t="str">
        <f t="shared" si="3"/>
        <v>vis</v>
      </c>
      <c r="E18" s="56">
        <f>VLOOKUP(C18,Active!C$21:E$973,3,FALSE)</f>
        <v>9449.0011057276297</v>
      </c>
      <c r="F18" s="16" t="s">
        <v>90</v>
      </c>
      <c r="G18" s="12" t="str">
        <f t="shared" si="4"/>
        <v>44396.525</v>
      </c>
      <c r="H18" s="48">
        <f t="shared" si="5"/>
        <v>9449</v>
      </c>
      <c r="I18" s="57" t="s">
        <v>117</v>
      </c>
      <c r="J18" s="58" t="s">
        <v>118</v>
      </c>
      <c r="K18" s="57">
        <v>9449</v>
      </c>
      <c r="L18" s="57" t="s">
        <v>119</v>
      </c>
      <c r="M18" s="58" t="s">
        <v>96</v>
      </c>
      <c r="N18" s="58"/>
      <c r="O18" s="59" t="s">
        <v>97</v>
      </c>
      <c r="P18" s="59" t="s">
        <v>120</v>
      </c>
    </row>
    <row r="19" spans="1:16" ht="12.75" customHeight="1" thickBot="1" x14ac:dyDescent="0.25">
      <c r="A19" s="48" t="str">
        <f t="shared" si="0"/>
        <v> BBS 50 </v>
      </c>
      <c r="B19" s="16" t="str">
        <f t="shared" si="1"/>
        <v>I</v>
      </c>
      <c r="C19" s="48">
        <f t="shared" si="2"/>
        <v>44485.370999999999</v>
      </c>
      <c r="D19" s="12" t="str">
        <f t="shared" si="3"/>
        <v>vis</v>
      </c>
      <c r="E19" s="56">
        <f>VLOOKUP(C19,Active!C$21:E$973,3,FALSE)</f>
        <v>9498.998294841831</v>
      </c>
      <c r="F19" s="16" t="s">
        <v>90</v>
      </c>
      <c r="G19" s="12" t="str">
        <f t="shared" si="4"/>
        <v>44485.371</v>
      </c>
      <c r="H19" s="48">
        <f t="shared" si="5"/>
        <v>9499</v>
      </c>
      <c r="I19" s="57" t="s">
        <v>121</v>
      </c>
      <c r="J19" s="58" t="s">
        <v>122</v>
      </c>
      <c r="K19" s="57">
        <v>9499</v>
      </c>
      <c r="L19" s="57" t="s">
        <v>92</v>
      </c>
      <c r="M19" s="58" t="s">
        <v>96</v>
      </c>
      <c r="N19" s="58"/>
      <c r="O19" s="59" t="s">
        <v>97</v>
      </c>
      <c r="P19" s="59" t="s">
        <v>123</v>
      </c>
    </row>
    <row r="20" spans="1:16" ht="12.75" customHeight="1" thickBot="1" x14ac:dyDescent="0.25">
      <c r="A20" s="48" t="str">
        <f t="shared" si="0"/>
        <v> BBS 54 </v>
      </c>
      <c r="B20" s="16" t="str">
        <f t="shared" si="1"/>
        <v>I</v>
      </c>
      <c r="C20" s="48">
        <f t="shared" si="2"/>
        <v>44707.502999999997</v>
      </c>
      <c r="D20" s="12" t="str">
        <f t="shared" si="3"/>
        <v>vis</v>
      </c>
      <c r="E20" s="56">
        <f>VLOOKUP(C20,Active!C$21:E$973,3,FALSE)</f>
        <v>9624.0008342056262</v>
      </c>
      <c r="F20" s="16" t="s">
        <v>90</v>
      </c>
      <c r="G20" s="12" t="str">
        <f t="shared" si="4"/>
        <v>44707.503</v>
      </c>
      <c r="H20" s="48">
        <f t="shared" si="5"/>
        <v>9624</v>
      </c>
      <c r="I20" s="57" t="s">
        <v>124</v>
      </c>
      <c r="J20" s="58" t="s">
        <v>125</v>
      </c>
      <c r="K20" s="57">
        <v>9624</v>
      </c>
      <c r="L20" s="57" t="s">
        <v>126</v>
      </c>
      <c r="M20" s="58" t="s">
        <v>96</v>
      </c>
      <c r="N20" s="58"/>
      <c r="O20" s="59" t="s">
        <v>97</v>
      </c>
      <c r="P20" s="59" t="s">
        <v>127</v>
      </c>
    </row>
    <row r="21" spans="1:16" ht="12.75" customHeight="1" thickBot="1" x14ac:dyDescent="0.25">
      <c r="A21" s="48" t="str">
        <f t="shared" si="0"/>
        <v> BBS 54 </v>
      </c>
      <c r="B21" s="16" t="str">
        <f t="shared" si="1"/>
        <v>I</v>
      </c>
      <c r="C21" s="48">
        <f t="shared" si="2"/>
        <v>44755.48</v>
      </c>
      <c r="D21" s="12" t="str">
        <f t="shared" si="3"/>
        <v>vis</v>
      </c>
      <c r="E21" s="56">
        <f>VLOOKUP(C21,Active!C$21:E$973,3,FALSE)</f>
        <v>9650.9994063656814</v>
      </c>
      <c r="F21" s="16" t="s">
        <v>90</v>
      </c>
      <c r="G21" s="12" t="str">
        <f t="shared" si="4"/>
        <v>44755.480</v>
      </c>
      <c r="H21" s="48">
        <f t="shared" si="5"/>
        <v>9651</v>
      </c>
      <c r="I21" s="57" t="s">
        <v>128</v>
      </c>
      <c r="J21" s="58" t="s">
        <v>129</v>
      </c>
      <c r="K21" s="57">
        <v>9651</v>
      </c>
      <c r="L21" s="57" t="s">
        <v>130</v>
      </c>
      <c r="M21" s="58" t="s">
        <v>96</v>
      </c>
      <c r="N21" s="58"/>
      <c r="O21" s="59" t="s">
        <v>131</v>
      </c>
      <c r="P21" s="59" t="s">
        <v>127</v>
      </c>
    </row>
    <row r="22" spans="1:16" ht="12.75" customHeight="1" thickBot="1" x14ac:dyDescent="0.25">
      <c r="A22" s="48" t="str">
        <f t="shared" si="0"/>
        <v> BBS 54 </v>
      </c>
      <c r="B22" s="16" t="str">
        <f t="shared" si="1"/>
        <v>I</v>
      </c>
      <c r="C22" s="48">
        <f t="shared" si="2"/>
        <v>44755.483</v>
      </c>
      <c r="D22" s="12" t="str">
        <f t="shared" si="3"/>
        <v>vis</v>
      </c>
      <c r="E22" s="56">
        <f>VLOOKUP(C22,Active!C$21:E$973,3,FALSE)</f>
        <v>9651.0010945853792</v>
      </c>
      <c r="F22" s="16" t="s">
        <v>90</v>
      </c>
      <c r="G22" s="12" t="str">
        <f t="shared" si="4"/>
        <v>44755.483</v>
      </c>
      <c r="H22" s="48">
        <f t="shared" si="5"/>
        <v>9651</v>
      </c>
      <c r="I22" s="57" t="s">
        <v>132</v>
      </c>
      <c r="J22" s="58" t="s">
        <v>133</v>
      </c>
      <c r="K22" s="57">
        <v>9651</v>
      </c>
      <c r="L22" s="57" t="s">
        <v>119</v>
      </c>
      <c r="M22" s="58" t="s">
        <v>96</v>
      </c>
      <c r="N22" s="58"/>
      <c r="O22" s="59" t="s">
        <v>97</v>
      </c>
      <c r="P22" s="59" t="s">
        <v>127</v>
      </c>
    </row>
    <row r="23" spans="1:16" ht="12.75" customHeight="1" thickBot="1" x14ac:dyDescent="0.25">
      <c r="A23" s="48" t="str">
        <f t="shared" si="0"/>
        <v> BBS 56 </v>
      </c>
      <c r="B23" s="16" t="str">
        <f t="shared" si="1"/>
        <v>I</v>
      </c>
      <c r="C23" s="48">
        <f t="shared" si="2"/>
        <v>44787.468000000001</v>
      </c>
      <c r="D23" s="12" t="str">
        <f t="shared" si="3"/>
        <v>vis</v>
      </c>
      <c r="E23" s="56">
        <f>VLOOKUP(C23,Active!C$21:E$973,3,FALSE)</f>
        <v>9669.000330272047</v>
      </c>
      <c r="F23" s="16" t="s">
        <v>90</v>
      </c>
      <c r="G23" s="12" t="str">
        <f t="shared" si="4"/>
        <v>44787.468</v>
      </c>
      <c r="H23" s="48">
        <f t="shared" si="5"/>
        <v>9669</v>
      </c>
      <c r="I23" s="57" t="s">
        <v>134</v>
      </c>
      <c r="J23" s="58" t="s">
        <v>135</v>
      </c>
      <c r="K23" s="57">
        <v>9669</v>
      </c>
      <c r="L23" s="57" t="s">
        <v>126</v>
      </c>
      <c r="M23" s="58" t="s">
        <v>96</v>
      </c>
      <c r="N23" s="58"/>
      <c r="O23" s="59" t="s">
        <v>97</v>
      </c>
      <c r="P23" s="59" t="s">
        <v>136</v>
      </c>
    </row>
    <row r="24" spans="1:16" ht="12.75" customHeight="1" thickBot="1" x14ac:dyDescent="0.25">
      <c r="A24" s="48" t="str">
        <f t="shared" si="0"/>
        <v> BBS 62 </v>
      </c>
      <c r="B24" s="16" t="str">
        <f t="shared" si="1"/>
        <v>I</v>
      </c>
      <c r="C24" s="48">
        <f t="shared" si="2"/>
        <v>45194.417000000001</v>
      </c>
      <c r="D24" s="12" t="str">
        <f t="shared" si="3"/>
        <v>vis</v>
      </c>
      <c r="E24" s="56">
        <f>VLOOKUP(C24,Active!C$21:E$973,3,FALSE)</f>
        <v>9898.0067696484439</v>
      </c>
      <c r="F24" s="16" t="s">
        <v>90</v>
      </c>
      <c r="G24" s="12" t="str">
        <f t="shared" si="4"/>
        <v>45194.417</v>
      </c>
      <c r="H24" s="48">
        <f t="shared" si="5"/>
        <v>9898</v>
      </c>
      <c r="I24" s="57" t="s">
        <v>137</v>
      </c>
      <c r="J24" s="58" t="s">
        <v>138</v>
      </c>
      <c r="K24" s="57">
        <v>9898</v>
      </c>
      <c r="L24" s="57" t="s">
        <v>139</v>
      </c>
      <c r="M24" s="58" t="s">
        <v>96</v>
      </c>
      <c r="N24" s="58"/>
      <c r="O24" s="59" t="s">
        <v>97</v>
      </c>
      <c r="P24" s="59" t="s">
        <v>140</v>
      </c>
    </row>
    <row r="25" spans="1:16" ht="12.75" customHeight="1" thickBot="1" x14ac:dyDescent="0.25">
      <c r="A25" s="48" t="str">
        <f t="shared" si="0"/>
        <v> BBS 83 </v>
      </c>
      <c r="B25" s="16" t="str">
        <f t="shared" si="1"/>
        <v>I</v>
      </c>
      <c r="C25" s="48">
        <f t="shared" si="2"/>
        <v>46907.470999999998</v>
      </c>
      <c r="D25" s="12" t="str">
        <f t="shared" si="3"/>
        <v>vis</v>
      </c>
      <c r="E25" s="56">
        <f>VLOOKUP(C25,Active!C$21:E$973,3,FALSE)</f>
        <v>10862.010605508694</v>
      </c>
      <c r="F25" s="16" t="s">
        <v>90</v>
      </c>
      <c r="G25" s="12" t="str">
        <f t="shared" si="4"/>
        <v>46907.471</v>
      </c>
      <c r="H25" s="48">
        <f t="shared" si="5"/>
        <v>10862</v>
      </c>
      <c r="I25" s="57" t="s">
        <v>141</v>
      </c>
      <c r="J25" s="58" t="s">
        <v>142</v>
      </c>
      <c r="K25" s="57">
        <v>10862</v>
      </c>
      <c r="L25" s="57" t="s">
        <v>143</v>
      </c>
      <c r="M25" s="58" t="s">
        <v>96</v>
      </c>
      <c r="N25" s="58"/>
      <c r="O25" s="59" t="s">
        <v>97</v>
      </c>
      <c r="P25" s="59" t="s">
        <v>144</v>
      </c>
    </row>
    <row r="26" spans="1:16" ht="12.75" customHeight="1" thickBot="1" x14ac:dyDescent="0.25">
      <c r="A26" s="48" t="str">
        <f t="shared" si="0"/>
        <v> BBS 84 </v>
      </c>
      <c r="B26" s="16" t="str">
        <f t="shared" si="1"/>
        <v>I</v>
      </c>
      <c r="C26" s="48">
        <f t="shared" si="2"/>
        <v>46939.451999999997</v>
      </c>
      <c r="D26" s="12" t="str">
        <f t="shared" si="3"/>
        <v>vis</v>
      </c>
      <c r="E26" s="56">
        <f>VLOOKUP(C26,Active!C$21:E$973,3,FALSE)</f>
        <v>10880.007590235764</v>
      </c>
      <c r="F26" s="16" t="s">
        <v>90</v>
      </c>
      <c r="G26" s="12" t="str">
        <f t="shared" si="4"/>
        <v>46939.452</v>
      </c>
      <c r="H26" s="48">
        <f t="shared" si="5"/>
        <v>10880</v>
      </c>
      <c r="I26" s="57" t="s">
        <v>145</v>
      </c>
      <c r="J26" s="58" t="s">
        <v>146</v>
      </c>
      <c r="K26" s="57">
        <v>10880</v>
      </c>
      <c r="L26" s="57" t="s">
        <v>147</v>
      </c>
      <c r="M26" s="58" t="s">
        <v>96</v>
      </c>
      <c r="N26" s="58"/>
      <c r="O26" s="59" t="s">
        <v>97</v>
      </c>
      <c r="P26" s="59" t="s">
        <v>148</v>
      </c>
    </row>
    <row r="27" spans="1:16" ht="12.75" customHeight="1" thickBot="1" x14ac:dyDescent="0.25">
      <c r="A27" s="48" t="str">
        <f t="shared" si="0"/>
        <v> BBS 88 </v>
      </c>
      <c r="B27" s="16" t="str">
        <f t="shared" si="1"/>
        <v>I</v>
      </c>
      <c r="C27" s="48">
        <f t="shared" si="2"/>
        <v>47330.409</v>
      </c>
      <c r="D27" s="12" t="str">
        <f t="shared" si="3"/>
        <v>vis</v>
      </c>
      <c r="E27" s="56">
        <f>VLOOKUP(C27,Active!C$21:E$973,3,FALSE)</f>
        <v>11100.014693138777</v>
      </c>
      <c r="F27" s="16" t="s">
        <v>90</v>
      </c>
      <c r="G27" s="12" t="str">
        <f t="shared" si="4"/>
        <v>47330.409</v>
      </c>
      <c r="H27" s="48">
        <f t="shared" si="5"/>
        <v>11100</v>
      </c>
      <c r="I27" s="57" t="s">
        <v>149</v>
      </c>
      <c r="J27" s="58" t="s">
        <v>150</v>
      </c>
      <c r="K27" s="57">
        <v>11100</v>
      </c>
      <c r="L27" s="57" t="s">
        <v>151</v>
      </c>
      <c r="M27" s="58" t="s">
        <v>96</v>
      </c>
      <c r="N27" s="58"/>
      <c r="O27" s="59" t="s">
        <v>97</v>
      </c>
      <c r="P27" s="59" t="s">
        <v>152</v>
      </c>
    </row>
    <row r="28" spans="1:16" ht="12.75" customHeight="1" thickBot="1" x14ac:dyDescent="0.25">
      <c r="A28" s="48" t="str">
        <f t="shared" si="0"/>
        <v> BBS 89 </v>
      </c>
      <c r="B28" s="16" t="str">
        <f t="shared" si="1"/>
        <v>I</v>
      </c>
      <c r="C28" s="48">
        <f t="shared" si="2"/>
        <v>47353.51</v>
      </c>
      <c r="D28" s="12" t="str">
        <f t="shared" si="3"/>
        <v>vis</v>
      </c>
      <c r="E28" s="56">
        <f>VLOOKUP(C28,Active!C$21:E$973,3,FALSE)</f>
        <v>11113.014547557967</v>
      </c>
      <c r="F28" s="16" t="s">
        <v>90</v>
      </c>
      <c r="G28" s="12" t="str">
        <f t="shared" si="4"/>
        <v>47353.510</v>
      </c>
      <c r="H28" s="48">
        <f t="shared" si="5"/>
        <v>11113</v>
      </c>
      <c r="I28" s="57" t="s">
        <v>153</v>
      </c>
      <c r="J28" s="58" t="s">
        <v>154</v>
      </c>
      <c r="K28" s="57">
        <v>11113</v>
      </c>
      <c r="L28" s="57" t="s">
        <v>151</v>
      </c>
      <c r="M28" s="58" t="s">
        <v>96</v>
      </c>
      <c r="N28" s="58"/>
      <c r="O28" s="59" t="s">
        <v>97</v>
      </c>
      <c r="P28" s="59" t="s">
        <v>155</v>
      </c>
    </row>
    <row r="29" spans="1:16" ht="12.75" customHeight="1" thickBot="1" x14ac:dyDescent="0.25">
      <c r="A29" s="48" t="str">
        <f t="shared" si="0"/>
        <v> BBS 91 </v>
      </c>
      <c r="B29" s="16" t="str">
        <f t="shared" si="1"/>
        <v>I</v>
      </c>
      <c r="C29" s="48">
        <f t="shared" si="2"/>
        <v>47591.644</v>
      </c>
      <c r="D29" s="12" t="str">
        <f t="shared" si="3"/>
        <v>vis</v>
      </c>
      <c r="E29" s="56">
        <f>VLOOKUP(C29,Active!C$21:E$973,3,FALSE)</f>
        <v>11247.022050794141</v>
      </c>
      <c r="F29" s="16" t="s">
        <v>90</v>
      </c>
      <c r="G29" s="12" t="str">
        <f t="shared" si="4"/>
        <v>47591.644</v>
      </c>
      <c r="H29" s="48">
        <f t="shared" si="5"/>
        <v>11247</v>
      </c>
      <c r="I29" s="57" t="s">
        <v>156</v>
      </c>
      <c r="J29" s="58" t="s">
        <v>157</v>
      </c>
      <c r="K29" s="57">
        <v>11247</v>
      </c>
      <c r="L29" s="57" t="s">
        <v>158</v>
      </c>
      <c r="M29" s="58" t="s">
        <v>96</v>
      </c>
      <c r="N29" s="58"/>
      <c r="O29" s="59" t="s">
        <v>97</v>
      </c>
      <c r="P29" s="59" t="s">
        <v>159</v>
      </c>
    </row>
    <row r="30" spans="1:16" ht="12.75" customHeight="1" thickBot="1" x14ac:dyDescent="0.25">
      <c r="A30" s="48" t="str">
        <f t="shared" si="0"/>
        <v> BBS 92 </v>
      </c>
      <c r="B30" s="16" t="str">
        <f t="shared" si="1"/>
        <v>I</v>
      </c>
      <c r="C30" s="48">
        <f t="shared" si="2"/>
        <v>47689.383999999998</v>
      </c>
      <c r="D30" s="12" t="str">
        <f t="shared" si="3"/>
        <v>vis</v>
      </c>
      <c r="E30" s="56">
        <f>VLOOKUP(C30,Active!C$21:E$973,3,FALSE)</f>
        <v>11302.024248574819</v>
      </c>
      <c r="F30" s="16" t="s">
        <v>90</v>
      </c>
      <c r="G30" s="12" t="str">
        <f t="shared" si="4"/>
        <v>47689.384</v>
      </c>
      <c r="H30" s="48">
        <f t="shared" si="5"/>
        <v>11302</v>
      </c>
      <c r="I30" s="57" t="s">
        <v>160</v>
      </c>
      <c r="J30" s="58" t="s">
        <v>161</v>
      </c>
      <c r="K30" s="57">
        <v>11302</v>
      </c>
      <c r="L30" s="57" t="s">
        <v>162</v>
      </c>
      <c r="M30" s="58" t="s">
        <v>96</v>
      </c>
      <c r="N30" s="58"/>
      <c r="O30" s="59" t="s">
        <v>97</v>
      </c>
      <c r="P30" s="59" t="s">
        <v>163</v>
      </c>
    </row>
    <row r="31" spans="1:16" ht="12.75" customHeight="1" thickBot="1" x14ac:dyDescent="0.25">
      <c r="A31" s="48" t="str">
        <f t="shared" si="0"/>
        <v> BBS 95 </v>
      </c>
      <c r="B31" s="16" t="str">
        <f t="shared" si="1"/>
        <v>I</v>
      </c>
      <c r="C31" s="48">
        <f t="shared" si="2"/>
        <v>48039.446000000004</v>
      </c>
      <c r="D31" s="12" t="str">
        <f t="shared" si="3"/>
        <v>vis</v>
      </c>
      <c r="E31" s="56">
        <f>VLOOKUP(C31,Active!C$21:E$973,3,FALSE)</f>
        <v>11499.018103286297</v>
      </c>
      <c r="F31" s="16" t="s">
        <v>90</v>
      </c>
      <c r="G31" s="12" t="str">
        <f t="shared" si="4"/>
        <v>48039.446</v>
      </c>
      <c r="H31" s="48">
        <f t="shared" si="5"/>
        <v>11499</v>
      </c>
      <c r="I31" s="57" t="s">
        <v>164</v>
      </c>
      <c r="J31" s="58" t="s">
        <v>165</v>
      </c>
      <c r="K31" s="57">
        <v>11499</v>
      </c>
      <c r="L31" s="57" t="s">
        <v>166</v>
      </c>
      <c r="M31" s="58" t="s">
        <v>96</v>
      </c>
      <c r="N31" s="58"/>
      <c r="O31" s="59" t="s">
        <v>97</v>
      </c>
      <c r="P31" s="59" t="s">
        <v>167</v>
      </c>
    </row>
    <row r="32" spans="1:16" ht="12.75" customHeight="1" thickBot="1" x14ac:dyDescent="0.25">
      <c r="A32" s="48" t="str">
        <f t="shared" si="0"/>
        <v> BBS 101 </v>
      </c>
      <c r="B32" s="16" t="str">
        <f t="shared" si="1"/>
        <v>I</v>
      </c>
      <c r="C32" s="48">
        <f t="shared" si="2"/>
        <v>48780.478000000003</v>
      </c>
      <c r="D32" s="12" t="str">
        <f t="shared" si="3"/>
        <v>vis</v>
      </c>
      <c r="E32" s="56">
        <f>VLOOKUP(C32,Active!C$21:E$973,3,FALSE)</f>
        <v>11916.026376519478</v>
      </c>
      <c r="F32" s="16" t="s">
        <v>90</v>
      </c>
      <c r="G32" s="12" t="str">
        <f t="shared" si="4"/>
        <v>48780.478</v>
      </c>
      <c r="H32" s="48">
        <f t="shared" si="5"/>
        <v>11916</v>
      </c>
      <c r="I32" s="57" t="s">
        <v>168</v>
      </c>
      <c r="J32" s="58" t="s">
        <v>169</v>
      </c>
      <c r="K32" s="57">
        <v>11916</v>
      </c>
      <c r="L32" s="57" t="s">
        <v>170</v>
      </c>
      <c r="M32" s="58" t="s">
        <v>96</v>
      </c>
      <c r="N32" s="58"/>
      <c r="O32" s="59" t="s">
        <v>97</v>
      </c>
      <c r="P32" s="59" t="s">
        <v>171</v>
      </c>
    </row>
    <row r="33" spans="1:16" ht="12.75" customHeight="1" thickBot="1" x14ac:dyDescent="0.25">
      <c r="A33" s="48" t="str">
        <f t="shared" si="0"/>
        <v> BBS 104 </v>
      </c>
      <c r="B33" s="16" t="str">
        <f t="shared" si="1"/>
        <v>I</v>
      </c>
      <c r="C33" s="48">
        <f t="shared" si="2"/>
        <v>49130.546999999999</v>
      </c>
      <c r="D33" s="12" t="str">
        <f t="shared" si="3"/>
        <v>vis</v>
      </c>
      <c r="E33" s="56">
        <f>VLOOKUP(C33,Active!C$21:E$973,3,FALSE)</f>
        <v>12113.024170410246</v>
      </c>
      <c r="F33" s="16" t="s">
        <v>90</v>
      </c>
      <c r="G33" s="12" t="str">
        <f t="shared" si="4"/>
        <v>49130.547</v>
      </c>
      <c r="H33" s="48">
        <f t="shared" si="5"/>
        <v>12113</v>
      </c>
      <c r="I33" s="57" t="s">
        <v>172</v>
      </c>
      <c r="J33" s="58" t="s">
        <v>173</v>
      </c>
      <c r="K33" s="57">
        <v>12113</v>
      </c>
      <c r="L33" s="57" t="s">
        <v>162</v>
      </c>
      <c r="M33" s="58" t="s">
        <v>96</v>
      </c>
      <c r="N33" s="58"/>
      <c r="O33" s="59" t="s">
        <v>97</v>
      </c>
      <c r="P33" s="59" t="s">
        <v>174</v>
      </c>
    </row>
    <row r="34" spans="1:16" ht="12.75" customHeight="1" thickBot="1" x14ac:dyDescent="0.25">
      <c r="A34" s="48" t="str">
        <f t="shared" si="0"/>
        <v> BBS 107 </v>
      </c>
      <c r="B34" s="16" t="str">
        <f t="shared" si="1"/>
        <v>I</v>
      </c>
      <c r="C34" s="48">
        <f t="shared" si="2"/>
        <v>49569.468000000001</v>
      </c>
      <c r="D34" s="12" t="str">
        <f t="shared" si="3"/>
        <v>vis</v>
      </c>
      <c r="E34" s="56">
        <f>VLOOKUP(C34,Active!C$21:E$973,3,FALSE)</f>
        <v>12360.022529854619</v>
      </c>
      <c r="F34" s="16" t="s">
        <v>90</v>
      </c>
      <c r="G34" s="12" t="str">
        <f t="shared" si="4"/>
        <v>49569.468</v>
      </c>
      <c r="H34" s="48">
        <f t="shared" si="5"/>
        <v>12360</v>
      </c>
      <c r="I34" s="57" t="s">
        <v>175</v>
      </c>
      <c r="J34" s="58" t="s">
        <v>176</v>
      </c>
      <c r="K34" s="57">
        <v>12360</v>
      </c>
      <c r="L34" s="57" t="s">
        <v>177</v>
      </c>
      <c r="M34" s="58" t="s">
        <v>96</v>
      </c>
      <c r="N34" s="58"/>
      <c r="O34" s="59" t="s">
        <v>97</v>
      </c>
      <c r="P34" s="59" t="s">
        <v>178</v>
      </c>
    </row>
    <row r="35" spans="1:16" ht="12.75" customHeight="1" thickBot="1" x14ac:dyDescent="0.25">
      <c r="A35" s="48" t="str">
        <f t="shared" si="0"/>
        <v> BBS 109 </v>
      </c>
      <c r="B35" s="16" t="str">
        <f t="shared" si="1"/>
        <v>I</v>
      </c>
      <c r="C35" s="48">
        <f t="shared" si="2"/>
        <v>49807.593999999997</v>
      </c>
      <c r="D35" s="12" t="str">
        <f t="shared" si="3"/>
        <v>vis</v>
      </c>
      <c r="E35" s="56">
        <f>VLOOKUP(C35,Active!C$21:E$973,3,FALSE)</f>
        <v>12494.025531171597</v>
      </c>
      <c r="F35" s="16" t="s">
        <v>90</v>
      </c>
      <c r="G35" s="12" t="str">
        <f t="shared" si="4"/>
        <v>49807.594</v>
      </c>
      <c r="H35" s="48">
        <f t="shared" si="5"/>
        <v>12494</v>
      </c>
      <c r="I35" s="57" t="s">
        <v>179</v>
      </c>
      <c r="J35" s="58" t="s">
        <v>180</v>
      </c>
      <c r="K35" s="57">
        <v>12494</v>
      </c>
      <c r="L35" s="57" t="s">
        <v>181</v>
      </c>
      <c r="M35" s="58" t="s">
        <v>96</v>
      </c>
      <c r="N35" s="58"/>
      <c r="O35" s="59" t="s">
        <v>97</v>
      </c>
      <c r="P35" s="59" t="s">
        <v>182</v>
      </c>
    </row>
    <row r="36" spans="1:16" ht="12.75" customHeight="1" thickBot="1" x14ac:dyDescent="0.25">
      <c r="A36" s="48" t="str">
        <f t="shared" si="0"/>
        <v> BBS 112 </v>
      </c>
      <c r="B36" s="16" t="str">
        <f t="shared" si="1"/>
        <v>I</v>
      </c>
      <c r="C36" s="48">
        <f t="shared" si="2"/>
        <v>50246.534</v>
      </c>
      <c r="D36" s="12" t="str">
        <f t="shared" si="3"/>
        <v>vis</v>
      </c>
      <c r="E36" s="56">
        <f>VLOOKUP(C36,Active!C$21:E$973,3,FALSE)</f>
        <v>12741.034582674059</v>
      </c>
      <c r="F36" s="16" t="s">
        <v>90</v>
      </c>
      <c r="G36" s="12" t="str">
        <f t="shared" si="4"/>
        <v>50246.534</v>
      </c>
      <c r="H36" s="48">
        <f t="shared" si="5"/>
        <v>12741</v>
      </c>
      <c r="I36" s="57" t="s">
        <v>183</v>
      </c>
      <c r="J36" s="58" t="s">
        <v>184</v>
      </c>
      <c r="K36" s="57">
        <v>12741</v>
      </c>
      <c r="L36" s="57" t="s">
        <v>185</v>
      </c>
      <c r="M36" s="58" t="s">
        <v>96</v>
      </c>
      <c r="N36" s="58"/>
      <c r="O36" s="59" t="s">
        <v>97</v>
      </c>
      <c r="P36" s="59" t="s">
        <v>186</v>
      </c>
    </row>
    <row r="37" spans="1:16" ht="12.75" customHeight="1" thickBot="1" x14ac:dyDescent="0.25">
      <c r="A37" s="48" t="str">
        <f t="shared" si="0"/>
        <v> BBS 115 </v>
      </c>
      <c r="B37" s="16" t="str">
        <f t="shared" si="1"/>
        <v>I</v>
      </c>
      <c r="C37" s="48">
        <f t="shared" si="2"/>
        <v>50598.375999999997</v>
      </c>
      <c r="D37" s="12" t="str">
        <f t="shared" si="3"/>
        <v>vis</v>
      </c>
      <c r="E37" s="56">
        <f>VLOOKUP(C37,Active!C$21:E$973,3,FALSE)</f>
        <v>12939.030114406709</v>
      </c>
      <c r="F37" s="16" t="s">
        <v>90</v>
      </c>
      <c r="G37" s="12" t="str">
        <f t="shared" si="4"/>
        <v>50598.376</v>
      </c>
      <c r="H37" s="48">
        <f t="shared" si="5"/>
        <v>12939</v>
      </c>
      <c r="I37" s="57" t="s">
        <v>187</v>
      </c>
      <c r="J37" s="58" t="s">
        <v>188</v>
      </c>
      <c r="K37" s="57">
        <v>12939</v>
      </c>
      <c r="L37" s="57" t="s">
        <v>189</v>
      </c>
      <c r="M37" s="58" t="s">
        <v>96</v>
      </c>
      <c r="N37" s="58"/>
      <c r="O37" s="59" t="s">
        <v>97</v>
      </c>
      <c r="P37" s="59" t="s">
        <v>190</v>
      </c>
    </row>
    <row r="38" spans="1:16" ht="12.75" customHeight="1" thickBot="1" x14ac:dyDescent="0.25">
      <c r="A38" s="48" t="str">
        <f t="shared" si="0"/>
        <v> BBS 117 </v>
      </c>
      <c r="B38" s="16" t="str">
        <f t="shared" si="1"/>
        <v>I</v>
      </c>
      <c r="C38" s="48">
        <f t="shared" si="2"/>
        <v>50923.578000000001</v>
      </c>
      <c r="D38" s="12" t="str">
        <f t="shared" si="3"/>
        <v>vis</v>
      </c>
      <c r="E38" s="56">
        <f>VLOOKUP(C38,Active!C$21:E$973,3,FALSE)</f>
        <v>13122.034255215714</v>
      </c>
      <c r="F38" s="16" t="s">
        <v>90</v>
      </c>
      <c r="G38" s="12" t="str">
        <f t="shared" si="4"/>
        <v>50923.578</v>
      </c>
      <c r="H38" s="48">
        <f t="shared" si="5"/>
        <v>13122</v>
      </c>
      <c r="I38" s="57" t="s">
        <v>191</v>
      </c>
      <c r="J38" s="58" t="s">
        <v>192</v>
      </c>
      <c r="K38" s="57">
        <v>13122</v>
      </c>
      <c r="L38" s="57" t="s">
        <v>185</v>
      </c>
      <c r="M38" s="58" t="s">
        <v>96</v>
      </c>
      <c r="N38" s="58"/>
      <c r="O38" s="59" t="s">
        <v>97</v>
      </c>
      <c r="P38" s="59" t="s">
        <v>193</v>
      </c>
    </row>
    <row r="39" spans="1:16" ht="12.75" customHeight="1" thickBot="1" x14ac:dyDescent="0.25">
      <c r="A39" s="48" t="str">
        <f t="shared" si="0"/>
        <v> JAAVSO 41;122 </v>
      </c>
      <c r="B39" s="16" t="str">
        <f t="shared" si="1"/>
        <v>II</v>
      </c>
      <c r="C39" s="48">
        <f t="shared" si="2"/>
        <v>51727.673300000002</v>
      </c>
      <c r="D39" s="12" t="str">
        <f t="shared" si="3"/>
        <v>vis</v>
      </c>
      <c r="E39" s="56">
        <f>VLOOKUP(C39,Active!C$21:E$973,3,FALSE)</f>
        <v>13574.530763555322</v>
      </c>
      <c r="F39" s="16" t="s">
        <v>90</v>
      </c>
      <c r="G39" s="12" t="str">
        <f t="shared" si="4"/>
        <v>51727.6733</v>
      </c>
      <c r="H39" s="48">
        <f t="shared" si="5"/>
        <v>13574.5</v>
      </c>
      <c r="I39" s="57" t="s">
        <v>213</v>
      </c>
      <c r="J39" s="58" t="s">
        <v>214</v>
      </c>
      <c r="K39" s="57">
        <v>13574.5</v>
      </c>
      <c r="L39" s="57" t="s">
        <v>215</v>
      </c>
      <c r="M39" s="58" t="s">
        <v>216</v>
      </c>
      <c r="N39" s="58" t="s">
        <v>90</v>
      </c>
      <c r="O39" s="59" t="s">
        <v>217</v>
      </c>
      <c r="P39" s="59" t="s">
        <v>218</v>
      </c>
    </row>
    <row r="40" spans="1:16" ht="12.75" customHeight="1" thickBot="1" x14ac:dyDescent="0.25">
      <c r="A40" s="48" t="str">
        <f t="shared" si="0"/>
        <v> BBS 129 </v>
      </c>
      <c r="B40" s="16" t="str">
        <f t="shared" si="1"/>
        <v>I</v>
      </c>
      <c r="C40" s="48">
        <f t="shared" si="2"/>
        <v>52764.571000000004</v>
      </c>
      <c r="D40" s="12" t="str">
        <f t="shared" si="3"/>
        <v>vis</v>
      </c>
      <c r="E40" s="56">
        <f>VLOOKUP(C40,Active!C$21:E$973,3,FALSE)</f>
        <v>14158.034471082741</v>
      </c>
      <c r="F40" s="16" t="s">
        <v>90</v>
      </c>
      <c r="G40" s="12" t="str">
        <f t="shared" si="4"/>
        <v>52764.571</v>
      </c>
      <c r="H40" s="48">
        <f t="shared" si="5"/>
        <v>14158</v>
      </c>
      <c r="I40" s="57" t="s">
        <v>222</v>
      </c>
      <c r="J40" s="58" t="s">
        <v>223</v>
      </c>
      <c r="K40" s="57">
        <v>14158</v>
      </c>
      <c r="L40" s="57" t="s">
        <v>185</v>
      </c>
      <c r="M40" s="58" t="s">
        <v>96</v>
      </c>
      <c r="N40" s="58"/>
      <c r="O40" s="59" t="s">
        <v>97</v>
      </c>
      <c r="P40" s="59" t="s">
        <v>224</v>
      </c>
    </row>
    <row r="41" spans="1:16" ht="12.75" customHeight="1" thickBot="1" x14ac:dyDescent="0.25">
      <c r="A41" s="48" t="str">
        <f t="shared" si="0"/>
        <v> BBS 130 </v>
      </c>
      <c r="B41" s="16" t="str">
        <f t="shared" si="1"/>
        <v>I</v>
      </c>
      <c r="C41" s="48">
        <f t="shared" si="2"/>
        <v>52853.43</v>
      </c>
      <c r="D41" s="12" t="str">
        <f t="shared" si="3"/>
        <v>vis</v>
      </c>
      <c r="E41" s="56">
        <f>VLOOKUP(C41,Active!C$21:E$973,3,FALSE)</f>
        <v>14208.038975815634</v>
      </c>
      <c r="F41" s="16" t="s">
        <v>90</v>
      </c>
      <c r="G41" s="12" t="str">
        <f t="shared" si="4"/>
        <v>52853.430</v>
      </c>
      <c r="H41" s="48">
        <f t="shared" si="5"/>
        <v>14208</v>
      </c>
      <c r="I41" s="57" t="s">
        <v>225</v>
      </c>
      <c r="J41" s="58" t="s">
        <v>226</v>
      </c>
      <c r="K41" s="57">
        <v>14208</v>
      </c>
      <c r="L41" s="57" t="s">
        <v>227</v>
      </c>
      <c r="M41" s="58" t="s">
        <v>96</v>
      </c>
      <c r="N41" s="58"/>
      <c r="O41" s="59" t="s">
        <v>97</v>
      </c>
      <c r="P41" s="59" t="s">
        <v>228</v>
      </c>
    </row>
    <row r="42" spans="1:16" ht="12.75" customHeight="1" thickBot="1" x14ac:dyDescent="0.25">
      <c r="A42" s="48" t="str">
        <f t="shared" si="0"/>
        <v>OEJV 0003 </v>
      </c>
      <c r="B42" s="16" t="str">
        <f t="shared" si="1"/>
        <v>I</v>
      </c>
      <c r="C42" s="48">
        <f t="shared" si="2"/>
        <v>53203.491000000002</v>
      </c>
      <c r="D42" s="12" t="str">
        <f t="shared" si="3"/>
        <v>vis</v>
      </c>
      <c r="E42" s="56">
        <f>VLOOKUP(C42,Active!C$21:E$973,3,FALSE)</f>
        <v>14405.03226778721</v>
      </c>
      <c r="F42" s="16" t="s">
        <v>90</v>
      </c>
      <c r="G42" s="12" t="str">
        <f t="shared" si="4"/>
        <v>53203.491</v>
      </c>
      <c r="H42" s="48">
        <f t="shared" si="5"/>
        <v>14405</v>
      </c>
      <c r="I42" s="57" t="s">
        <v>229</v>
      </c>
      <c r="J42" s="58" t="s">
        <v>230</v>
      </c>
      <c r="K42" s="57">
        <v>14405</v>
      </c>
      <c r="L42" s="57" t="s">
        <v>231</v>
      </c>
      <c r="M42" s="58" t="s">
        <v>96</v>
      </c>
      <c r="N42" s="58"/>
      <c r="O42" s="59" t="s">
        <v>97</v>
      </c>
      <c r="P42" s="60" t="s">
        <v>232</v>
      </c>
    </row>
    <row r="43" spans="1:16" ht="12.75" customHeight="1" thickBot="1" x14ac:dyDescent="0.25">
      <c r="A43" s="48" t="str">
        <f t="shared" si="0"/>
        <v>BAVM 186 </v>
      </c>
      <c r="B43" s="16" t="str">
        <f t="shared" si="1"/>
        <v>I</v>
      </c>
      <c r="C43" s="48">
        <f t="shared" si="2"/>
        <v>54239.485800000002</v>
      </c>
      <c r="D43" s="12" t="str">
        <f t="shared" si="3"/>
        <v>vis</v>
      </c>
      <c r="E43" s="56">
        <f>VLOOKUP(C43,Active!C$21:E$973,3,FALSE)</f>
        <v>14988.027877459337</v>
      </c>
      <c r="F43" s="16" t="s">
        <v>90</v>
      </c>
      <c r="G43" s="12" t="str">
        <f t="shared" si="4"/>
        <v>54239.4858</v>
      </c>
      <c r="H43" s="48">
        <f t="shared" si="5"/>
        <v>14988</v>
      </c>
      <c r="I43" s="57" t="s">
        <v>233</v>
      </c>
      <c r="J43" s="58" t="s">
        <v>234</v>
      </c>
      <c r="K43" s="57">
        <v>14988</v>
      </c>
      <c r="L43" s="57" t="s">
        <v>235</v>
      </c>
      <c r="M43" s="58" t="s">
        <v>216</v>
      </c>
      <c r="N43" s="58" t="s">
        <v>236</v>
      </c>
      <c r="O43" s="59" t="s">
        <v>237</v>
      </c>
      <c r="P43" s="60" t="s">
        <v>238</v>
      </c>
    </row>
    <row r="44" spans="1:16" ht="12.75" customHeight="1" thickBot="1" x14ac:dyDescent="0.25">
      <c r="A44" s="48" t="str">
        <f t="shared" si="0"/>
        <v>OEJV 0160 </v>
      </c>
      <c r="B44" s="16" t="str">
        <f t="shared" si="1"/>
        <v>I</v>
      </c>
      <c r="C44" s="48">
        <f t="shared" si="2"/>
        <v>55625.557780000003</v>
      </c>
      <c r="D44" s="12" t="str">
        <f t="shared" si="3"/>
        <v>vis</v>
      </c>
      <c r="E44" s="56">
        <f>VLOOKUP(C44,Active!C$21:E$973,3,FALSE)</f>
        <v>15768.025884234614</v>
      </c>
      <c r="F44" s="16" t="s">
        <v>90</v>
      </c>
      <c r="G44" s="12" t="str">
        <f t="shared" si="4"/>
        <v>55625.55778</v>
      </c>
      <c r="H44" s="48">
        <f t="shared" si="5"/>
        <v>15768</v>
      </c>
      <c r="I44" s="57" t="s">
        <v>239</v>
      </c>
      <c r="J44" s="58" t="s">
        <v>240</v>
      </c>
      <c r="K44" s="57" t="s">
        <v>241</v>
      </c>
      <c r="L44" s="57" t="s">
        <v>242</v>
      </c>
      <c r="M44" s="58" t="s">
        <v>216</v>
      </c>
      <c r="N44" s="58" t="s">
        <v>82</v>
      </c>
      <c r="O44" s="59" t="s">
        <v>243</v>
      </c>
      <c r="P44" s="60" t="s">
        <v>244</v>
      </c>
    </row>
    <row r="45" spans="1:16" ht="12.75" customHeight="1" thickBot="1" x14ac:dyDescent="0.25">
      <c r="A45" s="48" t="str">
        <f t="shared" si="0"/>
        <v>OEJV 0160 </v>
      </c>
      <c r="B45" s="16" t="str">
        <f t="shared" si="1"/>
        <v>I</v>
      </c>
      <c r="C45" s="48">
        <f t="shared" si="2"/>
        <v>56153.332419999999</v>
      </c>
      <c r="D45" s="12" t="str">
        <f t="shared" si="3"/>
        <v>vis</v>
      </c>
      <c r="E45" s="56">
        <f>VLOOKUP(C45,Active!C$21:E$973,3,FALSE)</f>
        <v>16065.025732126016</v>
      </c>
      <c r="F45" s="16" t="s">
        <v>90</v>
      </c>
      <c r="G45" s="12" t="str">
        <f t="shared" si="4"/>
        <v>56153.33242</v>
      </c>
      <c r="H45" s="48">
        <f t="shared" si="5"/>
        <v>16065</v>
      </c>
      <c r="I45" s="57" t="s">
        <v>245</v>
      </c>
      <c r="J45" s="58" t="s">
        <v>246</v>
      </c>
      <c r="K45" s="57" t="s">
        <v>247</v>
      </c>
      <c r="L45" s="57" t="s">
        <v>248</v>
      </c>
      <c r="M45" s="58" t="s">
        <v>216</v>
      </c>
      <c r="N45" s="58" t="s">
        <v>82</v>
      </c>
      <c r="O45" s="59" t="s">
        <v>249</v>
      </c>
      <c r="P45" s="60" t="s">
        <v>244</v>
      </c>
    </row>
    <row r="46" spans="1:16" ht="12.75" customHeight="1" thickBot="1" x14ac:dyDescent="0.25">
      <c r="A46" s="48" t="str">
        <f t="shared" si="0"/>
        <v> BBS 120 </v>
      </c>
      <c r="B46" s="16" t="str">
        <f t="shared" si="1"/>
        <v>I</v>
      </c>
      <c r="C46" s="48">
        <f t="shared" si="2"/>
        <v>51362.500999999997</v>
      </c>
      <c r="D46" s="12" t="str">
        <f t="shared" si="3"/>
        <v>vis</v>
      </c>
      <c r="E46" s="56">
        <f>VLOOKUP(C46,Active!C$21:E$973,3,FALSE)</f>
        <v>13369.033740139881</v>
      </c>
      <c r="F46" s="16" t="s">
        <v>90</v>
      </c>
      <c r="G46" s="12" t="str">
        <f t="shared" si="4"/>
        <v>51362.501</v>
      </c>
      <c r="H46" s="48">
        <f t="shared" si="5"/>
        <v>13369</v>
      </c>
      <c r="I46" s="57" t="s">
        <v>194</v>
      </c>
      <c r="J46" s="58" t="s">
        <v>195</v>
      </c>
      <c r="K46" s="57">
        <v>13369</v>
      </c>
      <c r="L46" s="57" t="s">
        <v>196</v>
      </c>
      <c r="M46" s="58" t="s">
        <v>96</v>
      </c>
      <c r="N46" s="58"/>
      <c r="O46" s="59" t="s">
        <v>97</v>
      </c>
      <c r="P46" s="59" t="s">
        <v>197</v>
      </c>
    </row>
    <row r="47" spans="1:16" ht="12.75" customHeight="1" thickBot="1" x14ac:dyDescent="0.25">
      <c r="A47" s="48" t="str">
        <f t="shared" si="0"/>
        <v> BBS 123 </v>
      </c>
      <c r="B47" s="16" t="str">
        <f t="shared" si="1"/>
        <v>I</v>
      </c>
      <c r="C47" s="48">
        <f t="shared" si="2"/>
        <v>51433.578000000001</v>
      </c>
      <c r="D47" s="12" t="str">
        <f t="shared" si="3"/>
        <v>vis</v>
      </c>
      <c r="E47" s="56">
        <f>VLOOKUP(C47,Active!C$21:E$973,3,FALSE)</f>
        <v>13409.031603979225</v>
      </c>
      <c r="F47" s="16" t="s">
        <v>90</v>
      </c>
      <c r="G47" s="12" t="str">
        <f t="shared" si="4"/>
        <v>51433.578</v>
      </c>
      <c r="H47" s="48">
        <f t="shared" si="5"/>
        <v>13409</v>
      </c>
      <c r="I47" s="57" t="s">
        <v>198</v>
      </c>
      <c r="J47" s="58" t="s">
        <v>199</v>
      </c>
      <c r="K47" s="57">
        <v>13409</v>
      </c>
      <c r="L47" s="57" t="s">
        <v>200</v>
      </c>
      <c r="M47" s="58" t="s">
        <v>96</v>
      </c>
      <c r="N47" s="58"/>
      <c r="O47" s="59" t="s">
        <v>201</v>
      </c>
      <c r="P47" s="59" t="s">
        <v>202</v>
      </c>
    </row>
    <row r="48" spans="1:16" ht="12.75" customHeight="1" thickBot="1" x14ac:dyDescent="0.25">
      <c r="A48" s="48" t="str">
        <f t="shared" si="0"/>
        <v> BBS 121 </v>
      </c>
      <c r="B48" s="16" t="str">
        <f t="shared" si="1"/>
        <v>I</v>
      </c>
      <c r="C48" s="48">
        <f t="shared" si="2"/>
        <v>51435.354299999999</v>
      </c>
      <c r="D48" s="12" t="str">
        <f t="shared" si="3"/>
        <v>vis</v>
      </c>
      <c r="E48" s="56">
        <f>VLOOKUP(C48,Active!C$21:E$973,3,FALSE)</f>
        <v>13410.031198862771</v>
      </c>
      <c r="F48" s="16" t="s">
        <v>90</v>
      </c>
      <c r="G48" s="12" t="str">
        <f t="shared" si="4"/>
        <v>51435.3543</v>
      </c>
      <c r="H48" s="48">
        <f t="shared" si="5"/>
        <v>13410</v>
      </c>
      <c r="I48" s="57" t="s">
        <v>203</v>
      </c>
      <c r="J48" s="58" t="s">
        <v>204</v>
      </c>
      <c r="K48" s="57">
        <v>13410</v>
      </c>
      <c r="L48" s="57" t="s">
        <v>205</v>
      </c>
      <c r="M48" s="58" t="s">
        <v>206</v>
      </c>
      <c r="N48" s="58" t="s">
        <v>207</v>
      </c>
      <c r="O48" s="59" t="s">
        <v>208</v>
      </c>
      <c r="P48" s="59" t="s">
        <v>209</v>
      </c>
    </row>
    <row r="49" spans="1:16" ht="12.75" customHeight="1" thickBot="1" x14ac:dyDescent="0.25">
      <c r="A49" s="48" t="str">
        <f t="shared" si="0"/>
        <v> BBS 123 </v>
      </c>
      <c r="B49" s="16" t="str">
        <f t="shared" si="1"/>
        <v>I</v>
      </c>
      <c r="C49" s="48">
        <f t="shared" si="2"/>
        <v>51719.68</v>
      </c>
      <c r="D49" s="12" t="str">
        <f t="shared" si="3"/>
        <v>vis</v>
      </c>
      <c r="E49" s="56">
        <f>VLOOKUP(C49,Active!C$21:E$973,3,FALSE)</f>
        <v>13570.032614716358</v>
      </c>
      <c r="F49" s="16" t="s">
        <v>90</v>
      </c>
      <c r="G49" s="12" t="str">
        <f t="shared" si="4"/>
        <v>51719.680</v>
      </c>
      <c r="H49" s="48">
        <f t="shared" si="5"/>
        <v>13570</v>
      </c>
      <c r="I49" s="57" t="s">
        <v>210</v>
      </c>
      <c r="J49" s="58" t="s">
        <v>211</v>
      </c>
      <c r="K49" s="57">
        <v>13570</v>
      </c>
      <c r="L49" s="57" t="s">
        <v>212</v>
      </c>
      <c r="M49" s="58" t="s">
        <v>96</v>
      </c>
      <c r="N49" s="58"/>
      <c r="O49" s="59" t="s">
        <v>201</v>
      </c>
      <c r="P49" s="59" t="s">
        <v>202</v>
      </c>
    </row>
    <row r="50" spans="1:16" ht="12.75" customHeight="1" thickBot="1" x14ac:dyDescent="0.25">
      <c r="A50" s="48" t="str">
        <f t="shared" si="0"/>
        <v> BBS 124 </v>
      </c>
      <c r="B50" s="16" t="str">
        <f t="shared" si="1"/>
        <v>I</v>
      </c>
      <c r="C50" s="48">
        <f t="shared" si="2"/>
        <v>51840.514999999999</v>
      </c>
      <c r="D50" s="12" t="str">
        <f t="shared" si="3"/>
        <v>vis</v>
      </c>
      <c r="E50" s="56">
        <f>VLOOKUP(C50,Active!C$21:E$973,3,FALSE)</f>
        <v>13638.031290476825</v>
      </c>
      <c r="F50" s="16" t="s">
        <v>90</v>
      </c>
      <c r="G50" s="12" t="str">
        <f t="shared" si="4"/>
        <v>51840.515</v>
      </c>
      <c r="H50" s="48">
        <f t="shared" si="5"/>
        <v>13638</v>
      </c>
      <c r="I50" s="57" t="s">
        <v>219</v>
      </c>
      <c r="J50" s="58" t="s">
        <v>220</v>
      </c>
      <c r="K50" s="57">
        <v>13638</v>
      </c>
      <c r="L50" s="57" t="s">
        <v>200</v>
      </c>
      <c r="M50" s="58" t="s">
        <v>96</v>
      </c>
      <c r="N50" s="58"/>
      <c r="O50" s="59" t="s">
        <v>201</v>
      </c>
      <c r="P50" s="59" t="s">
        <v>221</v>
      </c>
    </row>
    <row r="51" spans="1:16" x14ac:dyDescent="0.2">
      <c r="B51" s="16"/>
      <c r="F51" s="16"/>
    </row>
    <row r="52" spans="1:16" x14ac:dyDescent="0.2">
      <c r="B52" s="16"/>
      <c r="F52" s="16"/>
    </row>
    <row r="53" spans="1:16" x14ac:dyDescent="0.2">
      <c r="B53" s="16"/>
      <c r="F53" s="16"/>
    </row>
    <row r="54" spans="1:16" x14ac:dyDescent="0.2">
      <c r="B54" s="16"/>
      <c r="F54" s="16"/>
    </row>
    <row r="55" spans="1:16" x14ac:dyDescent="0.2">
      <c r="B55" s="16"/>
      <c r="F55" s="16"/>
    </row>
    <row r="56" spans="1:16" x14ac:dyDescent="0.2">
      <c r="B56" s="16"/>
      <c r="F56" s="16"/>
    </row>
    <row r="57" spans="1:16" x14ac:dyDescent="0.2">
      <c r="B57" s="16"/>
      <c r="F57" s="16"/>
    </row>
    <row r="58" spans="1:16" x14ac:dyDescent="0.2">
      <c r="B58" s="16"/>
      <c r="F58" s="16"/>
    </row>
    <row r="59" spans="1:16" x14ac:dyDescent="0.2">
      <c r="B59" s="16"/>
      <c r="F59" s="16"/>
    </row>
    <row r="60" spans="1:16" x14ac:dyDescent="0.2">
      <c r="B60" s="16"/>
      <c r="F60" s="16"/>
    </row>
    <row r="61" spans="1:16" x14ac:dyDescent="0.2">
      <c r="B61" s="16"/>
      <c r="F61" s="16"/>
    </row>
    <row r="62" spans="1:16" x14ac:dyDescent="0.2">
      <c r="B62" s="16"/>
      <c r="F62" s="16"/>
    </row>
    <row r="63" spans="1:16" x14ac:dyDescent="0.2">
      <c r="B63" s="16"/>
      <c r="F63" s="16"/>
    </row>
    <row r="64" spans="1:16" x14ac:dyDescent="0.2">
      <c r="B64" s="16"/>
      <c r="F64" s="16"/>
    </row>
    <row r="65" spans="2:6" x14ac:dyDescent="0.2">
      <c r="B65" s="16"/>
      <c r="F65" s="16"/>
    </row>
    <row r="66" spans="2:6" x14ac:dyDescent="0.2">
      <c r="B66" s="16"/>
      <c r="F66" s="16"/>
    </row>
    <row r="67" spans="2:6" x14ac:dyDescent="0.2">
      <c r="B67" s="16"/>
      <c r="F67" s="16"/>
    </row>
    <row r="68" spans="2:6" x14ac:dyDescent="0.2">
      <c r="B68" s="16"/>
      <c r="F68" s="16"/>
    </row>
    <row r="69" spans="2:6" x14ac:dyDescent="0.2">
      <c r="B69" s="16"/>
      <c r="F69" s="16"/>
    </row>
    <row r="70" spans="2:6" x14ac:dyDescent="0.2">
      <c r="B70" s="16"/>
      <c r="F70" s="16"/>
    </row>
    <row r="71" spans="2:6" x14ac:dyDescent="0.2">
      <c r="B71" s="16"/>
      <c r="F71" s="16"/>
    </row>
    <row r="72" spans="2:6" x14ac:dyDescent="0.2">
      <c r="B72" s="16"/>
      <c r="F72" s="16"/>
    </row>
    <row r="73" spans="2:6" x14ac:dyDescent="0.2">
      <c r="B73" s="16"/>
      <c r="F73" s="16"/>
    </row>
    <row r="74" spans="2:6" x14ac:dyDescent="0.2">
      <c r="B74" s="16"/>
      <c r="F74" s="16"/>
    </row>
    <row r="75" spans="2:6" x14ac:dyDescent="0.2">
      <c r="B75" s="16"/>
      <c r="F75" s="16"/>
    </row>
    <row r="76" spans="2:6" x14ac:dyDescent="0.2">
      <c r="B76" s="16"/>
      <c r="F76" s="16"/>
    </row>
    <row r="77" spans="2:6" x14ac:dyDescent="0.2">
      <c r="B77" s="16"/>
      <c r="F77" s="16"/>
    </row>
    <row r="78" spans="2:6" x14ac:dyDescent="0.2">
      <c r="B78" s="16"/>
      <c r="F78" s="16"/>
    </row>
    <row r="79" spans="2:6" x14ac:dyDescent="0.2">
      <c r="B79" s="16"/>
      <c r="F79" s="16"/>
    </row>
    <row r="80" spans="2:6" x14ac:dyDescent="0.2">
      <c r="B80" s="16"/>
      <c r="F80" s="16"/>
    </row>
    <row r="81" spans="2:6" x14ac:dyDescent="0.2">
      <c r="B81" s="16"/>
      <c r="F81" s="16"/>
    </row>
    <row r="82" spans="2:6" x14ac:dyDescent="0.2">
      <c r="B82" s="16"/>
      <c r="F82" s="16"/>
    </row>
    <row r="83" spans="2:6" x14ac:dyDescent="0.2">
      <c r="B83" s="16"/>
      <c r="F83" s="16"/>
    </row>
    <row r="84" spans="2:6" x14ac:dyDescent="0.2">
      <c r="B84" s="16"/>
      <c r="F84" s="16"/>
    </row>
    <row r="85" spans="2:6" x14ac:dyDescent="0.2">
      <c r="B85" s="16"/>
      <c r="F85" s="16"/>
    </row>
    <row r="86" spans="2:6" x14ac:dyDescent="0.2">
      <c r="B86" s="16"/>
      <c r="F86" s="16"/>
    </row>
    <row r="87" spans="2:6" x14ac:dyDescent="0.2">
      <c r="B87" s="16"/>
      <c r="F87" s="16"/>
    </row>
    <row r="88" spans="2:6" x14ac:dyDescent="0.2">
      <c r="B88" s="16"/>
      <c r="F88" s="16"/>
    </row>
    <row r="89" spans="2:6" x14ac:dyDescent="0.2">
      <c r="B89" s="16"/>
      <c r="F89" s="16"/>
    </row>
    <row r="90" spans="2:6" x14ac:dyDescent="0.2">
      <c r="B90" s="16"/>
      <c r="F90" s="16"/>
    </row>
    <row r="91" spans="2:6" x14ac:dyDescent="0.2">
      <c r="B91" s="16"/>
      <c r="F91" s="16"/>
    </row>
    <row r="92" spans="2:6" x14ac:dyDescent="0.2">
      <c r="B92" s="16"/>
      <c r="F92" s="16"/>
    </row>
    <row r="93" spans="2:6" x14ac:dyDescent="0.2">
      <c r="B93" s="16"/>
      <c r="F93" s="16"/>
    </row>
    <row r="94" spans="2:6" x14ac:dyDescent="0.2">
      <c r="B94" s="16"/>
      <c r="F94" s="16"/>
    </row>
    <row r="95" spans="2:6" x14ac:dyDescent="0.2">
      <c r="B95" s="16"/>
      <c r="F95" s="16"/>
    </row>
    <row r="96" spans="2: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</sheetData>
  <phoneticPr fontId="20" type="noConversion"/>
  <hyperlinks>
    <hyperlink ref="P42" r:id="rId1" display="http://var.astro.cz/oejv/issues/oejv0003.pdf"/>
    <hyperlink ref="P43" r:id="rId2" display="http://www.bav-astro.de/sfs/BAVM_link.php?BAVMnr=186"/>
    <hyperlink ref="P44" r:id="rId3" display="http://var.astro.cz/oejv/issues/oejv0160.pdf"/>
    <hyperlink ref="P45" r:id="rId4" display="http://var.astro.cz/oejv/issues/oejv0160.pdf"/>
    <hyperlink ref="P11" r:id="rId5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2002-07-31T07:10:52Z</dcterms:created>
  <dcterms:modified xsi:type="dcterms:W3CDTF">2024-02-12T04:50:46Z</dcterms:modified>
</cp:coreProperties>
</file>