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B2BF0CB-4DC6-482C-8393-6C75D01F2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8" i="1"/>
  <c r="F28" i="1" s="1"/>
  <c r="G28" i="1" s="1"/>
  <c r="K28" i="1" s="1"/>
  <c r="Q28" i="1"/>
  <c r="E29" i="1"/>
  <c r="F29" i="1"/>
  <c r="G29" i="1"/>
  <c r="K29" i="1" s="1"/>
  <c r="Q29" i="1"/>
  <c r="E30" i="1"/>
  <c r="F30" i="1"/>
  <c r="G30" i="1" s="1"/>
  <c r="K30" i="1" s="1"/>
  <c r="Q30" i="1"/>
  <c r="Q24" i="1"/>
  <c r="G13" i="2"/>
  <c r="C13" i="2"/>
  <c r="G12" i="2"/>
  <c r="C12" i="2"/>
  <c r="G14" i="2"/>
  <c r="C14" i="2"/>
  <c r="E14" i="2"/>
  <c r="G11" i="2"/>
  <c r="C11" i="2"/>
  <c r="H13" i="2"/>
  <c r="D13" i="2"/>
  <c r="B13" i="2"/>
  <c r="A13" i="2"/>
  <c r="H12" i="2"/>
  <c r="B12" i="2"/>
  <c r="D12" i="2"/>
  <c r="A12" i="2"/>
  <c r="H14" i="2"/>
  <c r="D14" i="2"/>
  <c r="B14" i="2"/>
  <c r="A14" i="2"/>
  <c r="H11" i="2"/>
  <c r="B11" i="2"/>
  <c r="D11" i="2"/>
  <c r="A11" i="2"/>
  <c r="C9" i="1"/>
  <c r="D9" i="1"/>
  <c r="F16" i="1"/>
  <c r="F17" i="1" s="1"/>
  <c r="Q26" i="1"/>
  <c r="C17" i="1"/>
  <c r="Q25" i="1"/>
  <c r="Q22" i="1"/>
  <c r="Q23" i="1"/>
  <c r="C7" i="1"/>
  <c r="E24" i="1"/>
  <c r="F24" i="1"/>
  <c r="C8" i="1"/>
  <c r="Q21" i="1"/>
  <c r="E11" i="2"/>
  <c r="E22" i="1"/>
  <c r="F22" i="1"/>
  <c r="G22" i="1"/>
  <c r="I22" i="1"/>
  <c r="G21" i="1"/>
  <c r="E25" i="1"/>
  <c r="F25" i="1"/>
  <c r="G25" i="1"/>
  <c r="K25" i="1"/>
  <c r="G23" i="1"/>
  <c r="I23" i="1"/>
  <c r="E21" i="1"/>
  <c r="F21" i="1"/>
  <c r="E23" i="1"/>
  <c r="F23" i="1"/>
  <c r="G24" i="1"/>
  <c r="I24" i="1"/>
  <c r="E26" i="1"/>
  <c r="F26" i="1"/>
  <c r="G26" i="1"/>
  <c r="J26" i="1"/>
  <c r="E13" i="2"/>
  <c r="H21" i="1"/>
  <c r="E12" i="2"/>
  <c r="C11" i="1"/>
  <c r="C12" i="1"/>
  <c r="O28" i="1" l="1"/>
  <c r="O30" i="1"/>
  <c r="O27" i="1"/>
  <c r="O29" i="1"/>
  <c r="C16" i="1"/>
  <c r="D18" i="1" s="1"/>
  <c r="C15" i="1"/>
  <c r="O26" i="1"/>
  <c r="O21" i="1"/>
  <c r="O22" i="1"/>
  <c r="O25" i="1"/>
  <c r="O23" i="1"/>
  <c r="O24" i="1"/>
  <c r="C18" i="1" l="1"/>
  <c r="F18" i="1"/>
  <c r="F19" i="1" s="1"/>
</calcChain>
</file>

<file path=xl/sharedStrings.xml><?xml version="1.0" encoding="utf-8"?>
<sst xmlns="http://schemas.openxmlformats.org/spreadsheetml/2006/main" count="113" uniqueCount="84">
  <si>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</si>
  <si>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</si>
  <si>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</si>
  <si>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</si>
  <si>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</si>
  <si>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</si>
  <si>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</si>
  <si>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</si>
  <si>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</si>
  <si>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</si>
  <si>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</si>
  <si>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</si>
  <si>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</si>
  <si>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</si>
  <si>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</si>
  <si>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</si>
  <si>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</si>
  <si>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</si>
  <si>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</si>
  <si>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</si>
  <si>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</si>
  <si>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</si>
  <si>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</si>
  <si>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</si>
  <si>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</si>
  <si>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</si>
  <si>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</si>
  <si>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</si>
  <si>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</si>
  <si>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Diethelm R</t>
  </si>
  <si>
    <t>BBSAG Bull.112</t>
  </si>
  <si>
    <t>B</t>
  </si>
  <si>
    <t>II</t>
  </si>
  <si>
    <t>IBVS 5603</t>
  </si>
  <si>
    <t>I</t>
  </si>
  <si>
    <t># of data points:</t>
  </si>
  <si>
    <t>EB/KE</t>
  </si>
  <si>
    <t>IBVS 6048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</si>
  <si>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</si>
  <si>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</si>
  <si>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</si>
  <si>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</si>
  <si>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</si>
  <si>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</si>
  <si>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</si>
  <si>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</si>
  <si>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</si>
  <si>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</si>
  <si>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</si>
  <si>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</si>
  <si>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</si>
  <si>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</si>
  <si>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</si>
  <si>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</si>
  <si>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</si>
  <si>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</si>
  <si>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</si>
  <si>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2450285.518 </t>
  </si>
  <si>
    <t> 21.07.1996 00:25 </t>
  </si>
  <si>
    <t> 0.076 </t>
  </si>
  <si>
    <t>E </t>
  </si>
  <si>
    <t>?</t>
  </si>
  <si>
    <t> R.Diethelm </t>
  </si>
  <si>
    <t> BBS 112 </t>
  </si>
  <si>
    <t>2452146.3420 </t>
  </si>
  <si>
    <t> 24.08.2001 20:12 </t>
  </si>
  <si>
    <t> 0.0211 </t>
  </si>
  <si>
    <t> E.Blättler </t>
  </si>
  <si>
    <t> BBS 126 </t>
  </si>
  <si>
    <t>2453281.590 </t>
  </si>
  <si>
    <t> 03.10.2004 02:09 </t>
  </si>
  <si>
    <t> 0.136 </t>
  </si>
  <si>
    <t> S.Dvorak </t>
  </si>
  <si>
    <t>IBVS 5603 </t>
  </si>
  <si>
    <t>2455705.5505 </t>
  </si>
  <si>
    <t> 24.05.2011 01:12 </t>
  </si>
  <si>
    <t> 0.2684 </t>
  </si>
  <si>
    <t>C </t>
  </si>
  <si>
    <t>o</t>
  </si>
  <si>
    <t> U.Schmidt </t>
  </si>
  <si>
    <t>BAVM 228 </t>
  </si>
  <si>
    <t>BAD?</t>
  </si>
  <si>
    <t>KL Her / GSC na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</si>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</sst>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8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4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KL Her - O-C Diagr.</a:t>
            </a:r>
          </a:p>
        </c:rich>
      </c:tx>
      <c:layout>
        <c:manualLayout>
          <c:xMode val="edge"/>
          <c:yMode val="edge"/>
          <c:x val="0.3733111654962048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2443717703921"/>
          <c:y val="0.14769252958613219"/>
          <c:w val="0.8125006701500723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3B-4569-B628-A28B3EC5D4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0.4182650000002468</c:v>
                </c:pt>
                <c:pt idx="2">
                  <c:v>0.4182650000002468</c:v>
                </c:pt>
                <c:pt idx="3">
                  <c:v>0.70514499999262625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3B-4569-B628-A28B3EC5D4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5">
                  <c:v>0.61037149999174289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3B-4569-B628-A28B3EC5D4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">
                  <c:v>0.47828499999013729</c:v>
                </c:pt>
                <c:pt idx="6">
                  <c:v>0.76210749999881955</c:v>
                </c:pt>
                <c:pt idx="7">
                  <c:v>0.78697449999162927</c:v>
                </c:pt>
                <c:pt idx="8">
                  <c:v>0.77641149999544723</c:v>
                </c:pt>
                <c:pt idx="9">
                  <c:v>0.8031459999983781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3B-4569-B628-A28B3EC5D4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3B-4569-B628-A28B3EC5D4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3B-4569-B628-A28B3EC5D4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4.0000000000000001E-3</c:v>
                  </c:pt>
                  <c:pt idx="2">
                    <c:v>4.0000000000000001E-3</c:v>
                  </c:pt>
                  <c:pt idx="3">
                    <c:v>0</c:v>
                  </c:pt>
                  <c:pt idx="4">
                    <c:v>2E-3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6.9999999999999999E-4</c:v>
                  </c:pt>
                  <c:pt idx="8">
                    <c:v>8.0000000000000004E-4</c:v>
                  </c:pt>
                  <c:pt idx="9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3B-4569-B628-A28B3EC5D4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-4.3729386786135138E-2</c:v>
                </c:pt>
                <c:pt idx="1">
                  <c:v>0.50593941367581585</c:v>
                </c:pt>
                <c:pt idx="2">
                  <c:v>0.50593941367581585</c:v>
                </c:pt>
                <c:pt idx="3">
                  <c:v>0.55411402741051885</c:v>
                </c:pt>
                <c:pt idx="4">
                  <c:v>0.58351471079272732</c:v>
                </c:pt>
                <c:pt idx="5">
                  <c:v>0.64627454306071253</c:v>
                </c:pt>
                <c:pt idx="6">
                  <c:v>0.75048756777210679</c:v>
                </c:pt>
                <c:pt idx="7">
                  <c:v>0.75178048939072195</c:v>
                </c:pt>
                <c:pt idx="8">
                  <c:v>0.75183362315587055</c:v>
                </c:pt>
                <c:pt idx="9">
                  <c:v>0.75281659781111909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3B-4569-B628-A28B3EC5D4D8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31035</c:v>
                </c:pt>
                <c:pt idx="2">
                  <c:v>31035</c:v>
                </c:pt>
                <c:pt idx="3">
                  <c:v>33755</c:v>
                </c:pt>
                <c:pt idx="4">
                  <c:v>35415</c:v>
                </c:pt>
                <c:pt idx="5">
                  <c:v>38958.5</c:v>
                </c:pt>
                <c:pt idx="6">
                  <c:v>44842.5</c:v>
                </c:pt>
                <c:pt idx="7">
                  <c:v>44915.5</c:v>
                </c:pt>
                <c:pt idx="8">
                  <c:v>44918.5</c:v>
                </c:pt>
                <c:pt idx="9">
                  <c:v>44974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3B-4569-B628-A28B3EC5D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167616"/>
        <c:axId val="1"/>
      </c:scatterChart>
      <c:valAx>
        <c:axId val="725167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7062495566434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64864864864864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5167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0677449102646"/>
          <c:y val="0.92000129214617399"/>
          <c:w val="0.8277034120734907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123825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7A8D06-C53A-5866-F023-FA7F17A5D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konkoly.hu/cgi-bin/IBVS?5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11"/>
  <sheetViews>
    <sheetView tabSelected="1" workbookViewId="0">
      <selection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82</v>
      </c>
    </row>
    <row r="2" spans="1:6">
      <c r="A2" t="s">
        <v>25</v>
      </c>
      <c r="B2" s="19" t="s">
        <v>36</v>
      </c>
    </row>
    <row r="4" spans="1:6" ht="14.25" thickTop="1" thickBot="1">
      <c r="A4" s="8" t="s">
        <v>0</v>
      </c>
      <c r="C4" s="3">
        <v>29056.508000000002</v>
      </c>
      <c r="D4" s="4">
        <v>0.68402099999999999</v>
      </c>
    </row>
    <row r="5" spans="1:6" ht="13.5" thickTop="1">
      <c r="A5" s="23" t="s">
        <v>38</v>
      </c>
      <c r="B5" s="24"/>
      <c r="C5" s="25">
        <v>-9.5</v>
      </c>
      <c r="D5" s="24" t="s">
        <v>39</v>
      </c>
    </row>
    <row r="6" spans="1:6">
      <c r="A6" s="8" t="s">
        <v>1</v>
      </c>
    </row>
    <row r="7" spans="1:6">
      <c r="A7" t="s">
        <v>2</v>
      </c>
      <c r="C7">
        <f>+C4</f>
        <v>29056.508000000002</v>
      </c>
    </row>
    <row r="8" spans="1:6">
      <c r="A8" t="s">
        <v>3</v>
      </c>
      <c r="C8">
        <f>+D4</f>
        <v>0.68402099999999999</v>
      </c>
    </row>
    <row r="9" spans="1:6">
      <c r="A9" s="26" t="s">
        <v>40</v>
      </c>
      <c r="B9" s="27">
        <v>21</v>
      </c>
      <c r="C9" s="28" t="str">
        <f>"F"&amp;B9</f>
        <v>F21</v>
      </c>
      <c r="D9" s="29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30">
        <f ca="1">INTERCEPT(INDIRECT($D$9):G992,INDIRECT($C$9):F992)</f>
        <v>-4.3729386786135138E-2</v>
      </c>
      <c r="D11" s="6"/>
    </row>
    <row r="12" spans="1:6">
      <c r="A12" t="s">
        <v>17</v>
      </c>
      <c r="C12" s="30">
        <f ca="1">SLOPE(INDIRECT($D$9):G992,INDIRECT($C$9):F992)</f>
        <v>1.7711255049523151E-5</v>
      </c>
      <c r="D12" s="6"/>
    </row>
    <row r="13" spans="1:6">
      <c r="A13" t="s">
        <v>19</v>
      </c>
      <c r="C13" s="6" t="s">
        <v>14</v>
      </c>
    </row>
    <row r="14" spans="1:6">
      <c r="A14" t="s">
        <v>24</v>
      </c>
    </row>
    <row r="15" spans="1:6">
      <c r="A15" s="5" t="s">
        <v>18</v>
      </c>
      <c r="C15" s="13">
        <f ca="1">(C7+C11)+(C8+C12)*INT(MAX(F21:F3533))</f>
        <v>59820.421270597813</v>
      </c>
      <c r="E15" s="31" t="s">
        <v>41</v>
      </c>
      <c r="F15" s="25">
        <v>1</v>
      </c>
    </row>
    <row r="16" spans="1:6">
      <c r="A16" s="8" t="s">
        <v>4</v>
      </c>
      <c r="C16" s="14">
        <f ca="1">+C8+C12</f>
        <v>0.68403871125504956</v>
      </c>
      <c r="E16" s="31" t="s">
        <v>42</v>
      </c>
      <c r="F16" s="32">
        <f ca="1">NOW()+15018.5+$C$5/24</f>
        <v>60352.767211458333</v>
      </c>
    </row>
    <row r="17" spans="1:31" ht="13.5" thickBot="1">
      <c r="A17" s="15" t="s">
        <v>35</v>
      </c>
      <c r="C17">
        <f>COUNT(C21:C2191)</f>
        <v>10</v>
      </c>
      <c r="E17" s="31" t="s">
        <v>43</v>
      </c>
      <c r="F17" s="32">
        <f ca="1">ROUND(2*(F16-$C$7)/$C$8,0)/2+F15</f>
        <v>45754.5</v>
      </c>
    </row>
    <row r="18" spans="1:31" ht="14.25" thickTop="1" thickBot="1">
      <c r="A18" s="8" t="s">
        <v>5</v>
      </c>
      <c r="C18" s="3">
        <f ca="1">+C15</f>
        <v>59820.421270597813</v>
      </c>
      <c r="D18" s="4">
        <f ca="1">+C16</f>
        <v>0.68403871125504956</v>
      </c>
      <c r="E18" s="31" t="s">
        <v>44</v>
      </c>
      <c r="F18" s="29">
        <f ca="1">ROUND(2*(F16-$C$15)/$C$16,0)/2+F15</f>
        <v>779</v>
      </c>
    </row>
    <row r="19" spans="1:31" ht="13.5" thickTop="1">
      <c r="E19" s="31" t="s">
        <v>45</v>
      </c>
      <c r="F19" s="33">
        <f ca="1">+$C$15+$C$16*F18-15018.5-$C$5/24</f>
        <v>45335.183259998834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53</v>
      </c>
      <c r="I20" s="10" t="s">
        <v>56</v>
      </c>
      <c r="J20" s="10" t="s">
        <v>50</v>
      </c>
      <c r="K20" s="10" t="s">
        <v>48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U20" s="50" t="s">
        <v>81</v>
      </c>
    </row>
    <row r="21" spans="1:31">
      <c r="A21" t="s">
        <v>12</v>
      </c>
      <c r="B21" s="6"/>
      <c r="C21" s="11">
        <v>29056.508000000002</v>
      </c>
      <c r="D21" s="11" t="s">
        <v>14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+C$11+C$12*F21</f>
        <v>-4.3729386786135138E-2</v>
      </c>
      <c r="Q21" s="2">
        <f t="shared" ref="Q21:Q26" si="3">+C21-15018.5</f>
        <v>14038.008000000002</v>
      </c>
    </row>
    <row r="22" spans="1:31">
      <c r="A22" t="s">
        <v>30</v>
      </c>
      <c r="B22" s="6" t="s">
        <v>32</v>
      </c>
      <c r="C22" s="16">
        <v>50285.517999999996</v>
      </c>
      <c r="D22" s="11">
        <v>4.0000000000000001E-3</v>
      </c>
      <c r="E22">
        <f t="shared" si="0"/>
        <v>31035.611479764502</v>
      </c>
      <c r="F22">
        <f>ROUND(2*E22,0)/2-0.5</f>
        <v>31035</v>
      </c>
      <c r="G22">
        <f t="shared" si="1"/>
        <v>0.4182650000002468</v>
      </c>
      <c r="I22">
        <f>+G22</f>
        <v>0.4182650000002468</v>
      </c>
      <c r="O22">
        <f t="shared" ca="1" si="2"/>
        <v>0.50593941367581585</v>
      </c>
      <c r="Q22" s="2">
        <f t="shared" si="3"/>
        <v>35267.017999999996</v>
      </c>
      <c r="AA22">
        <v>11</v>
      </c>
      <c r="AC22" t="s">
        <v>29</v>
      </c>
      <c r="AE22" t="s">
        <v>31</v>
      </c>
    </row>
    <row r="23" spans="1:31">
      <c r="A23" t="s">
        <v>30</v>
      </c>
      <c r="B23" s="6" t="s">
        <v>32</v>
      </c>
      <c r="C23" s="16">
        <v>50285.517999999996</v>
      </c>
      <c r="D23" s="11">
        <v>4.0000000000000001E-3</v>
      </c>
      <c r="E23">
        <f t="shared" si="0"/>
        <v>31035.611479764502</v>
      </c>
      <c r="F23">
        <f>ROUND(2*E23,0)/2-0.5</f>
        <v>31035</v>
      </c>
      <c r="G23">
        <f t="shared" si="1"/>
        <v>0.4182650000002468</v>
      </c>
      <c r="I23">
        <f>+G23</f>
        <v>0.4182650000002468</v>
      </c>
      <c r="O23">
        <f t="shared" ca="1" si="2"/>
        <v>0.50593941367581585</v>
      </c>
      <c r="Q23" s="2">
        <f t="shared" si="3"/>
        <v>35267.017999999996</v>
      </c>
      <c r="AA23">
        <v>11</v>
      </c>
      <c r="AC23" t="s">
        <v>29</v>
      </c>
      <c r="AE23" t="s">
        <v>31</v>
      </c>
    </row>
    <row r="24" spans="1:31">
      <c r="A24" s="47" t="s">
        <v>68</v>
      </c>
      <c r="B24" s="48" t="s">
        <v>34</v>
      </c>
      <c r="C24" s="49">
        <v>52146.341999999997</v>
      </c>
      <c r="D24" s="49" t="s">
        <v>56</v>
      </c>
      <c r="E24">
        <f t="shared" si="0"/>
        <v>33756.030882092797</v>
      </c>
      <c r="F24">
        <f>ROUND(2*E24,0)/2-1</f>
        <v>33755</v>
      </c>
      <c r="G24">
        <f t="shared" si="1"/>
        <v>0.70514499999262625</v>
      </c>
      <c r="I24">
        <f>+G24</f>
        <v>0.70514499999262625</v>
      </c>
      <c r="O24">
        <f t="shared" ca="1" si="2"/>
        <v>0.55411402741051885</v>
      </c>
      <c r="Q24" s="2">
        <f t="shared" si="3"/>
        <v>37127.841999999997</v>
      </c>
    </row>
    <row r="25" spans="1:31">
      <c r="A25" s="11" t="s">
        <v>33</v>
      </c>
      <c r="B25" s="12" t="s">
        <v>34</v>
      </c>
      <c r="C25" s="17">
        <v>53281.59</v>
      </c>
      <c r="D25" s="18">
        <v>2E-3</v>
      </c>
      <c r="E25">
        <f t="shared" si="0"/>
        <v>35415.699225608565</v>
      </c>
      <c r="F25">
        <f>ROUND(2*E25,0)/2-0.5</f>
        <v>35415</v>
      </c>
      <c r="G25">
        <f t="shared" si="1"/>
        <v>0.47828499999013729</v>
      </c>
      <c r="K25">
        <f>+G25</f>
        <v>0.47828499999013729</v>
      </c>
      <c r="O25">
        <f t="shared" ca="1" si="2"/>
        <v>0.58351471079272732</v>
      </c>
      <c r="Q25" s="2">
        <f t="shared" si="3"/>
        <v>38263.089999999997</v>
      </c>
    </row>
    <row r="26" spans="1:31">
      <c r="A26" s="20" t="s">
        <v>37</v>
      </c>
      <c r="B26" s="21" t="s">
        <v>32</v>
      </c>
      <c r="C26" s="22">
        <v>55705.550499999998</v>
      </c>
      <c r="D26" s="22">
        <v>3.5000000000000001E-3</v>
      </c>
      <c r="E26">
        <f t="shared" si="0"/>
        <v>38959.392328598093</v>
      </c>
      <c r="F26">
        <f>ROUND(2*E26,0)/2-1</f>
        <v>38958.5</v>
      </c>
      <c r="G26">
        <f t="shared" si="1"/>
        <v>0.61037149999174289</v>
      </c>
      <c r="J26">
        <f>+G26</f>
        <v>0.61037149999174289</v>
      </c>
      <c r="O26">
        <f t="shared" ca="1" si="2"/>
        <v>0.64627454306071253</v>
      </c>
      <c r="Q26" s="2">
        <f t="shared" si="3"/>
        <v>40687.050499999998</v>
      </c>
    </row>
    <row r="27" spans="1:31">
      <c r="A27" s="51" t="s">
        <v>83</v>
      </c>
      <c r="B27" s="52" t="s">
        <v>34</v>
      </c>
      <c r="C27" s="53">
        <v>59730.481800000001</v>
      </c>
      <c r="D27" s="54">
        <v>5.0000000000000001E-4</v>
      </c>
      <c r="E27">
        <f t="shared" ref="E27:E30" si="4">+(C27-C$7)/C$8</f>
        <v>44843.614158044853</v>
      </c>
      <c r="F27">
        <f t="shared" ref="F27:F30" si="5">ROUND(2*E27,0)/2-1</f>
        <v>44842.5</v>
      </c>
      <c r="G27">
        <f t="shared" ref="G27:G30" si="6">+C27-(C$7+F27*C$8)</f>
        <v>0.76210749999881955</v>
      </c>
      <c r="K27">
        <f>+G27</f>
        <v>0.76210749999881955</v>
      </c>
      <c r="O27">
        <f t="shared" ref="O27:O30" ca="1" si="7">+C$11+C$12*F27</f>
        <v>0.75048756777210679</v>
      </c>
      <c r="Q27" s="2">
        <f t="shared" ref="Q27:Q30" si="8">+C27-15018.5</f>
        <v>44711.981800000001</v>
      </c>
    </row>
    <row r="28" spans="1:31">
      <c r="A28" s="51" t="s">
        <v>83</v>
      </c>
      <c r="B28" s="52" t="s">
        <v>32</v>
      </c>
      <c r="C28" s="53">
        <v>59780.440199999997</v>
      </c>
      <c r="D28" s="54">
        <v>6.9999999999999999E-4</v>
      </c>
      <c r="E28">
        <f t="shared" si="4"/>
        <v>44916.650512191874</v>
      </c>
      <c r="F28">
        <f t="shared" si="5"/>
        <v>44915.5</v>
      </c>
      <c r="G28">
        <f t="shared" si="6"/>
        <v>0.78697449999162927</v>
      </c>
      <c r="K28">
        <f>+G28</f>
        <v>0.78697449999162927</v>
      </c>
      <c r="O28">
        <f t="shared" ca="1" si="7"/>
        <v>0.75178048939072195</v>
      </c>
      <c r="Q28" s="2">
        <f t="shared" si="8"/>
        <v>44761.940199999997</v>
      </c>
    </row>
    <row r="29" spans="1:31">
      <c r="A29" s="51" t="s">
        <v>83</v>
      </c>
      <c r="B29" s="52" t="s">
        <v>32</v>
      </c>
      <c r="C29" s="53">
        <v>59782.481699999997</v>
      </c>
      <c r="D29" s="54">
        <v>8.0000000000000004E-4</v>
      </c>
      <c r="E29">
        <f t="shared" si="4"/>
        <v>44919.635069683529</v>
      </c>
      <c r="F29">
        <f t="shared" si="5"/>
        <v>44918.5</v>
      </c>
      <c r="G29">
        <f t="shared" si="6"/>
        <v>0.77641149999544723</v>
      </c>
      <c r="K29">
        <f>+G29</f>
        <v>0.77641149999544723</v>
      </c>
      <c r="O29">
        <f t="shared" ca="1" si="7"/>
        <v>0.75183362315587055</v>
      </c>
      <c r="Q29" s="2">
        <f t="shared" si="8"/>
        <v>44763.981699999997</v>
      </c>
    </row>
    <row r="30" spans="1:31">
      <c r="A30" s="51" t="s">
        <v>83</v>
      </c>
      <c r="B30" s="52" t="s">
        <v>34</v>
      </c>
      <c r="C30" s="53">
        <v>59820.471599999997</v>
      </c>
      <c r="D30" s="54">
        <v>1.1999999999999999E-3</v>
      </c>
      <c r="E30">
        <f t="shared" si="4"/>
        <v>44975.174154009888</v>
      </c>
      <c r="F30">
        <f t="shared" si="5"/>
        <v>44974</v>
      </c>
      <c r="G30">
        <f t="shared" si="6"/>
        <v>0.8031459999983781</v>
      </c>
      <c r="K30">
        <f>+G30</f>
        <v>0.8031459999983781</v>
      </c>
      <c r="O30">
        <f t="shared" ca="1" si="7"/>
        <v>0.75281659781111909</v>
      </c>
      <c r="Q30" s="2">
        <f t="shared" si="8"/>
        <v>44801.971599999997</v>
      </c>
    </row>
    <row r="31" spans="1:31">
      <c r="C31" s="11"/>
      <c r="D31" s="11"/>
    </row>
    <row r="32" spans="1:31">
      <c r="C32" s="11"/>
      <c r="D32" s="11"/>
    </row>
    <row r="33" spans="3:4">
      <c r="C33" s="11"/>
      <c r="D33" s="11"/>
    </row>
    <row r="34" spans="3:4">
      <c r="C34" s="11"/>
      <c r="D34" s="11"/>
    </row>
    <row r="35" spans="3:4">
      <c r="C35" s="11"/>
      <c r="D35" s="11"/>
    </row>
    <row r="36" spans="3:4">
      <c r="C36" s="11"/>
      <c r="D36" s="11"/>
    </row>
    <row r="37" spans="3:4">
      <c r="C37" s="11"/>
      <c r="D37" s="11"/>
    </row>
    <row r="38" spans="3:4">
      <c r="C38" s="11"/>
      <c r="D38" s="11"/>
    </row>
    <row r="39" spans="3:4">
      <c r="C39" s="11"/>
      <c r="D39" s="11"/>
    </row>
    <row r="40" spans="3:4">
      <c r="C40" s="11"/>
      <c r="D40" s="11"/>
    </row>
    <row r="41" spans="3:4">
      <c r="C41" s="11"/>
      <c r="D41" s="11"/>
    </row>
    <row r="42" spans="3:4">
      <c r="C42" s="11"/>
      <c r="D42" s="11"/>
    </row>
    <row r="43" spans="3:4">
      <c r="C43" s="11"/>
      <c r="D43" s="11"/>
    </row>
    <row r="44" spans="3:4">
      <c r="C44" s="11"/>
      <c r="D44" s="11"/>
    </row>
    <row r="45" spans="3:4">
      <c r="C45" s="11"/>
      <c r="D45" s="11"/>
    </row>
    <row r="46" spans="3:4">
      <c r="C46" s="11"/>
      <c r="D46" s="11"/>
    </row>
    <row r="47" spans="3:4">
      <c r="C47" s="11"/>
      <c r="D47" s="11"/>
    </row>
    <row r="48" spans="3:4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6"/>
  <sheetViews>
    <sheetView workbookViewId="0">
      <selection activeCell="A14" sqref="A14:D14"/>
    </sheetView>
  </sheetViews>
  <sheetFormatPr defaultRowHeight="12.75"/>
  <cols>
    <col min="1" max="1" width="19.7109375" style="11" customWidth="1"/>
    <col min="2" max="2" width="4.42578125" style="24" customWidth="1"/>
    <col min="3" max="3" width="12.7109375" style="11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11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>
      <c r="A1" s="34" t="s">
        <v>46</v>
      </c>
      <c r="I1" s="35" t="s">
        <v>47</v>
      </c>
      <c r="J1" s="36" t="s">
        <v>48</v>
      </c>
    </row>
    <row r="2" spans="1:16">
      <c r="I2" s="37" t="s">
        <v>49</v>
      </c>
      <c r="J2" s="38" t="s">
        <v>50</v>
      </c>
    </row>
    <row r="3" spans="1:16">
      <c r="A3" s="39" t="s">
        <v>51</v>
      </c>
      <c r="I3" s="37" t="s">
        <v>52</v>
      </c>
      <c r="J3" s="38" t="s">
        <v>53</v>
      </c>
    </row>
    <row r="4" spans="1:16">
      <c r="I4" s="37" t="s">
        <v>54</v>
      </c>
      <c r="J4" s="38" t="s">
        <v>53</v>
      </c>
    </row>
    <row r="5" spans="1:16" ht="13.5" thickBot="1">
      <c r="I5" s="40" t="s">
        <v>55</v>
      </c>
      <c r="J5" s="41" t="s">
        <v>56</v>
      </c>
    </row>
    <row r="10" spans="1:16" ht="13.5" thickBot="1"/>
    <row r="11" spans="1:16" ht="12.75" customHeight="1" thickBot="1">
      <c r="A11" s="11" t="str">
        <f>P11</f>
        <v> BBS 112 </v>
      </c>
      <c r="B11" s="6" t="str">
        <f>IF(H11=INT(H11),"I","II")</f>
        <v>II</v>
      </c>
      <c r="C11" s="11">
        <f>1*G11</f>
        <v>50285.517999999996</v>
      </c>
      <c r="D11" s="24" t="str">
        <f>VLOOKUP(F11,I$1:J$5,2,FALSE)</f>
        <v>vis</v>
      </c>
      <c r="E11" s="42">
        <f>VLOOKUP(C11,Active!C$21:E$973,3,FALSE)</f>
        <v>31035.611479764502</v>
      </c>
      <c r="F11" s="6" t="s">
        <v>55</v>
      </c>
      <c r="G11" s="24" t="str">
        <f>MID(I11,3,LEN(I11)-3)</f>
        <v>50285.518</v>
      </c>
      <c r="H11" s="11">
        <f>1*K11</f>
        <v>31035.5</v>
      </c>
      <c r="I11" s="43" t="s">
        <v>57</v>
      </c>
      <c r="J11" s="44" t="s">
        <v>58</v>
      </c>
      <c r="K11" s="43">
        <v>31035.5</v>
      </c>
      <c r="L11" s="43" t="s">
        <v>59</v>
      </c>
      <c r="M11" s="44" t="s">
        <v>60</v>
      </c>
      <c r="N11" s="44" t="s">
        <v>61</v>
      </c>
      <c r="O11" s="45" t="s">
        <v>62</v>
      </c>
      <c r="P11" s="45" t="s">
        <v>63</v>
      </c>
    </row>
    <row r="12" spans="1:16" ht="12.75" customHeight="1" thickBot="1">
      <c r="A12" s="11" t="str">
        <f>P12</f>
        <v>IBVS 5603 </v>
      </c>
      <c r="B12" s="6" t="str">
        <f>IF(H12=INT(H12),"I","II")</f>
        <v>II</v>
      </c>
      <c r="C12" s="11">
        <f>1*G12</f>
        <v>53281.59</v>
      </c>
      <c r="D12" s="24" t="str">
        <f>VLOOKUP(F12,I$1:J$5,2,FALSE)</f>
        <v>vis</v>
      </c>
      <c r="E12" s="42">
        <f>VLOOKUP(C12,Active!C$21:E$973,3,FALSE)</f>
        <v>35415.699225608565</v>
      </c>
      <c r="F12" s="6" t="s">
        <v>55</v>
      </c>
      <c r="G12" s="24" t="str">
        <f>MID(I12,3,LEN(I12)-3)</f>
        <v>53281.590</v>
      </c>
      <c r="H12" s="11">
        <f>1*K12</f>
        <v>35415.5</v>
      </c>
      <c r="I12" s="43" t="s">
        <v>69</v>
      </c>
      <c r="J12" s="44" t="s">
        <v>70</v>
      </c>
      <c r="K12" s="43">
        <v>35415.5</v>
      </c>
      <c r="L12" s="43" t="s">
        <v>71</v>
      </c>
      <c r="M12" s="44" t="s">
        <v>60</v>
      </c>
      <c r="N12" s="44" t="s">
        <v>61</v>
      </c>
      <c r="O12" s="45" t="s">
        <v>72</v>
      </c>
      <c r="P12" s="46" t="s">
        <v>73</v>
      </c>
    </row>
    <row r="13" spans="1:16" ht="12.75" customHeight="1" thickBot="1">
      <c r="A13" s="11" t="str">
        <f>P13</f>
        <v>BAVM 228 </v>
      </c>
      <c r="B13" s="6" t="str">
        <f>IF(H13=INT(H13),"I","II")</f>
        <v>I</v>
      </c>
      <c r="C13" s="11">
        <f>1*G13</f>
        <v>55705.550499999998</v>
      </c>
      <c r="D13" s="24" t="str">
        <f>VLOOKUP(F13,I$1:J$5,2,FALSE)</f>
        <v>vis</v>
      </c>
      <c r="E13" s="42">
        <f>VLOOKUP(C13,Active!C$21:E$973,3,FALSE)</f>
        <v>38959.392328598093</v>
      </c>
      <c r="F13" s="6" t="s">
        <v>55</v>
      </c>
      <c r="G13" s="24" t="str">
        <f>MID(I13,3,LEN(I13)-3)</f>
        <v>55705.5505</v>
      </c>
      <c r="H13" s="11">
        <f>1*K13</f>
        <v>38959</v>
      </c>
      <c r="I13" s="43" t="s">
        <v>74</v>
      </c>
      <c r="J13" s="44" t="s">
        <v>75</v>
      </c>
      <c r="K13" s="43">
        <v>38959</v>
      </c>
      <c r="L13" s="43" t="s">
        <v>76</v>
      </c>
      <c r="M13" s="44" t="s">
        <v>77</v>
      </c>
      <c r="N13" s="44" t="s">
        <v>78</v>
      </c>
      <c r="O13" s="45" t="s">
        <v>79</v>
      </c>
      <c r="P13" s="46" t="s">
        <v>80</v>
      </c>
    </row>
    <row r="14" spans="1:16" ht="12.75" customHeight="1" thickBot="1">
      <c r="A14" s="11" t="str">
        <f>P14</f>
        <v> BBS 126 </v>
      </c>
      <c r="B14" s="6" t="str">
        <f>IF(H14=INT(H14),"I","II")</f>
        <v>I</v>
      </c>
      <c r="C14" s="11">
        <f>1*G14</f>
        <v>52146.341999999997</v>
      </c>
      <c r="D14" s="24" t="str">
        <f>VLOOKUP(F14,I$1:J$5,2,FALSE)</f>
        <v>vis</v>
      </c>
      <c r="E14" s="42">
        <f>VLOOKUP(C14,Active!C$21:E$973,3,FALSE)</f>
        <v>33756.030882092797</v>
      </c>
      <c r="F14" s="6" t="s">
        <v>55</v>
      </c>
      <c r="G14" s="24" t="str">
        <f>MID(I14,3,LEN(I14)-3)</f>
        <v>52146.3420</v>
      </c>
      <c r="H14" s="11">
        <f>1*K14</f>
        <v>33756</v>
      </c>
      <c r="I14" s="43" t="s">
        <v>64</v>
      </c>
      <c r="J14" s="44" t="s">
        <v>65</v>
      </c>
      <c r="K14" s="43">
        <v>33756</v>
      </c>
      <c r="L14" s="43" t="s">
        <v>66</v>
      </c>
      <c r="M14" s="44" t="s">
        <v>60</v>
      </c>
      <c r="N14" s="44" t="s">
        <v>61</v>
      </c>
      <c r="O14" s="45" t="s">
        <v>67</v>
      </c>
      <c r="P14" s="45" t="s">
        <v>68</v>
      </c>
    </row>
    <row r="15" spans="1:16">
      <c r="B15" s="6"/>
      <c r="E15" s="42"/>
      <c r="F15" s="6"/>
    </row>
    <row r="16" spans="1:16">
      <c r="B16" s="6"/>
      <c r="E16" s="42"/>
      <c r="F16" s="6"/>
    </row>
    <row r="17" spans="2:6">
      <c r="B17" s="6"/>
      <c r="E17" s="42"/>
      <c r="F17" s="6"/>
    </row>
    <row r="18" spans="2:6">
      <c r="B18" s="6"/>
      <c r="E18" s="42"/>
      <c r="F18" s="6"/>
    </row>
    <row r="19" spans="2:6">
      <c r="B19" s="6"/>
      <c r="E19" s="42"/>
      <c r="F19" s="6"/>
    </row>
    <row r="20" spans="2:6">
      <c r="B20" s="6"/>
      <c r="E20" s="42"/>
      <c r="F20" s="6"/>
    </row>
    <row r="21" spans="2:6">
      <c r="B21" s="6"/>
      <c r="E21" s="42"/>
      <c r="F21" s="6"/>
    </row>
    <row r="22" spans="2:6">
      <c r="B22" s="6"/>
      <c r="E22" s="42"/>
      <c r="F22" s="6"/>
    </row>
    <row r="23" spans="2:6">
      <c r="B23" s="6"/>
      <c r="E23" s="42"/>
      <c r="F23" s="6"/>
    </row>
    <row r="24" spans="2:6">
      <c r="B24" s="6"/>
      <c r="E24" s="42"/>
      <c r="F24" s="6"/>
    </row>
    <row r="25" spans="2:6">
      <c r="B25" s="6"/>
      <c r="E25" s="42"/>
      <c r="F25" s="6"/>
    </row>
    <row r="26" spans="2:6">
      <c r="B26" s="6"/>
      <c r="E26" s="42"/>
      <c r="F26" s="6"/>
    </row>
    <row r="27" spans="2:6">
      <c r="B27" s="6"/>
      <c r="E27" s="42"/>
      <c r="F27" s="6"/>
    </row>
    <row r="28" spans="2:6">
      <c r="B28" s="6"/>
      <c r="E28" s="42"/>
      <c r="F28" s="6"/>
    </row>
    <row r="29" spans="2:6">
      <c r="B29" s="6"/>
      <c r="F29" s="6"/>
    </row>
    <row r="30" spans="2:6">
      <c r="B30" s="6"/>
      <c r="F30" s="6"/>
    </row>
    <row r="31" spans="2:6">
      <c r="B31" s="6"/>
      <c r="F31" s="6"/>
    </row>
    <row r="32" spans="2: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</sheetData>
  <phoneticPr fontId="7" type="noConversion"/>
  <hyperlinks>
    <hyperlink ref="P12" r:id="rId1" display="http://www.konkoly.hu/cgi-bin/IBVS?5603" xr:uid="{00000000-0004-0000-0100-000000000000}"/>
    <hyperlink ref="P13" r:id="rId2" display="http://www.bav-astro.de/sfs/BAVM_link.php?BAVMnr=228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2024-02-12T05:24:47Z</dcterms:modified>
</cp:coreProperties>
</file>