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AA73988-8A8C-437A-9832-F775C6022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Q25" i="1"/>
  <c r="Q23" i="1"/>
  <c r="G13" i="2"/>
  <c r="C13" i="2"/>
  <c r="G15" i="2"/>
  <c r="C15" i="2"/>
  <c r="G12" i="2"/>
  <c r="C12" i="2"/>
  <c r="G14" i="2"/>
  <c r="C14" i="2"/>
  <c r="G11" i="2"/>
  <c r="C11" i="2"/>
  <c r="E11" i="2"/>
  <c r="H13" i="2"/>
  <c r="D13" i="2"/>
  <c r="B13" i="2"/>
  <c r="A13" i="2"/>
  <c r="H15" i="2"/>
  <c r="B15" i="2"/>
  <c r="D15" i="2"/>
  <c r="A15" i="2"/>
  <c r="H12" i="2"/>
  <c r="D12" i="2"/>
  <c r="B12" i="2"/>
  <c r="A12" i="2"/>
  <c r="H14" i="2"/>
  <c r="B14" i="2"/>
  <c r="D14" i="2"/>
  <c r="A14" i="2"/>
  <c r="H11" i="2"/>
  <c r="D11" i="2"/>
  <c r="B11" i="2"/>
  <c r="A11" i="2"/>
  <c r="F11" i="1"/>
  <c r="Q26" i="1"/>
  <c r="G11" i="1"/>
  <c r="E14" i="1"/>
  <c r="E15" i="1" s="1"/>
  <c r="C17" i="1"/>
  <c r="Q24" i="1"/>
  <c r="Q22" i="1"/>
  <c r="C7" i="1"/>
  <c r="E22" i="1"/>
  <c r="F22" i="1"/>
  <c r="C8" i="1"/>
  <c r="Q21" i="1"/>
  <c r="E14" i="2"/>
  <c r="E15" i="2"/>
  <c r="E13" i="2"/>
  <c r="G26" i="1"/>
  <c r="K26" i="1"/>
  <c r="E26" i="1"/>
  <c r="F26" i="1"/>
  <c r="E25" i="1"/>
  <c r="F25" i="1"/>
  <c r="G25" i="1"/>
  <c r="J25" i="1"/>
  <c r="E24" i="1"/>
  <c r="F24" i="1"/>
  <c r="G24" i="1"/>
  <c r="K24" i="1"/>
  <c r="E23" i="1"/>
  <c r="F23" i="1"/>
  <c r="G23" i="1"/>
  <c r="J23" i="1"/>
  <c r="G22" i="1"/>
  <c r="I22" i="1"/>
  <c r="E21" i="1"/>
  <c r="F21" i="1"/>
  <c r="E12" i="2"/>
  <c r="C11" i="1"/>
  <c r="C12" i="1" l="1"/>
  <c r="C15" i="1" l="1"/>
  <c r="C16" i="1"/>
  <c r="D18" i="1" s="1"/>
  <c r="O25" i="1"/>
  <c r="O26" i="1"/>
  <c r="O27" i="1"/>
  <c r="O22" i="1"/>
  <c r="O24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<sst xmlns="http://schemas.openxmlformats.org/spreadsheetml/2006/main" count="113" uniqueCount="89">
  <si>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</si>
  <si>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</si>
  <si>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</si>
  <si>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</si>
  <si>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</si>
  <si>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</si>
  <si>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</si>
  <si>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</si>
  <si>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</si>
  <si>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</si>
  <si>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</si>
  <si>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</si>
  <si>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</si>
  <si>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</si>
  <si>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</si>
  <si>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</si>
  <si>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</si>
  <si>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</si>
  <si>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</si>
  <si>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</si>
  <si>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</si>
  <si>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</si>
  <si>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</si>
  <si>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</si>
  <si>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</si>
  <si>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</si>
  <si>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</si>
  <si>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</si>
  <si>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</si>
  <si>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Diethelm R</t>
  </si>
  <si>
    <t>BBSAG Bull.114</t>
  </si>
  <si>
    <t>B</t>
  </si>
  <si>
    <t># of data points:</t>
  </si>
  <si>
    <t>IBVS 5653</t>
  </si>
  <si>
    <t>I</t>
  </si>
  <si>
    <t>EA/SD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</si>
  <si>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</si>
  <si>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</si>
  <si>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</si>
  <si>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</si>
  <si>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</si>
  <si>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</si>
  <si>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</si>
  <si>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</si>
  <si>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</si>
  <si>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6010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</si>
  <si>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</si>
  <si>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</si>
  <si>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</si>
  <si>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</si>
  <si>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</si>
  <si>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</si>
  <si>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</si>
  <si>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</si>
  <si>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</si>
  <si>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</si>
  <si>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</si>
  <si>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</si>
  <si>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2450525.66 </t>
  </si>
  <si>
    <t> 18.03.1997 03:50 </t>
  </si>
  <si>
    <t> 0.25 </t>
  </si>
  <si>
    <t>E </t>
  </si>
  <si>
    <t>?</t>
  </si>
  <si>
    <t> R.Diethelm </t>
  </si>
  <si>
    <t> BBS 114 </t>
  </si>
  <si>
    <t>2451305.4379 </t>
  </si>
  <si>
    <t> 06.05.1999 22:30 </t>
  </si>
  <si>
    <t> 0.2891 </t>
  </si>
  <si>
    <t> BBS 120 </t>
  </si>
  <si>
    <t>2453463.601 </t>
  </si>
  <si>
    <t> 03.04.2005 02:25 </t>
  </si>
  <si>
    <t> 0.336 </t>
  </si>
  <si>
    <t> R. Diethelm </t>
  </si>
  <si>
    <t>IBVS 5653 </t>
  </si>
  <si>
    <t>2455699.5882 </t>
  </si>
  <si>
    <t> 18.05.2011 02:07 </t>
  </si>
  <si>
    <t> 0.3831 </t>
  </si>
  <si>
    <t>C </t>
  </si>
  <si>
    <t>o</t>
  </si>
  <si>
    <t> U.Schmidt </t>
  </si>
  <si>
    <t>BAVM 225 </t>
  </si>
  <si>
    <t>2455747.4839 </t>
  </si>
  <si>
    <t> 04.07.2011 23:36 </t>
  </si>
  <si>
    <t> 0.3871 </t>
  </si>
  <si>
    <t> H.Jungbluth </t>
  </si>
  <si>
    <t>BAVM 220 </t>
  </si>
  <si>
    <t>BAD?</t>
  </si>
  <si>
    <t>JAAVSO, 48, 256</t>
  </si>
  <si>
    <t>V0490 Her / GSC 02075-00721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</si>
</sst>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1" fillId="2" borderId="0" xfId="0" applyFont="1" applyFill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3" borderId="0" xfId="0" applyFont="1" applyFill="1" applyAlignment="1"/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4" borderId="11" xfId="0" applyFont="1" applyFill="1" applyBorder="1" applyAlignment="1">
      <alignment horizontal="left" vertical="top" wrapText="1" indent="1"/>
    </xf>
    <xf numFmtId="0" fontId="5" fillId="4" borderId="11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right" vertical="top" wrapText="1"/>
    </xf>
    <xf numFmtId="0" fontId="18" fillId="4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/>
    </xf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Her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8-49DE-9D45-9C62C396C4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-0.32621394999296172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8-49DE-9D45-9C62C396C4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-0.35305810000136262</c:v>
                </c:pt>
                <c:pt idx="4">
                  <c:v>-0.44815430000016931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08-49DE-9D45-9C62C396C4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">
                  <c:v>-0.425528799991298</c:v>
                </c:pt>
                <c:pt idx="5">
                  <c:v>-0.57216464999510208</c:v>
                </c:pt>
                <c:pt idx="6">
                  <c:v>-0.45157654999638908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08-49DE-9D45-9C62C396C4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08-49DE-9D45-9C62C396C4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08-49DE-9D45-9C62C396C4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08-49DE-9D45-9C62C396C4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1.8593344260190714E-2</c:v>
                </c:pt>
                <c:pt idx="1">
                  <c:v>-0.36062734857536949</c:v>
                </c:pt>
                <c:pt idx="2">
                  <c:v>-0.37464470867278094</c:v>
                </c:pt>
                <c:pt idx="3">
                  <c:v>-0.41344001659633056</c:v>
                </c:pt>
                <c:pt idx="4">
                  <c:v>-0.4536333536342424</c:v>
                </c:pt>
                <c:pt idx="5">
                  <c:v>-0.45449653070106444</c:v>
                </c:pt>
                <c:pt idx="6">
                  <c:v>-0.51985439179749493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08-49DE-9D45-9C62C396C4D7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08-49DE-9D45-9C62C396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6936"/>
        <c:axId val="1"/>
      </c:scatterChart>
      <c:valAx>
        <c:axId val="837896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35558881586082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17</xdr:col>
      <xdr:colOff>247650</xdr:colOff>
      <xdr:row>18</xdr:row>
      <xdr:rowOff>161924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33B483-46F0-8D1F-DF22-C6435553F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workbookViewId="0">
      <selection activeCell="E7" sqref="E7"/>
    </sheetView>
  </sheetViews>
  <sheetFormatPr defaultColWidth="10.28515625" defaultRowHeight="12.75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88</v>
      </c>
    </row>
    <row r="2" spans="1:7">
      <c r="A2" t="s">
        <v>24</v>
      </c>
      <c r="B2" t="s">
        <v>35</v>
      </c>
    </row>
    <row r="4" spans="1:7">
      <c r="A4" s="6" t="s">
        <v>0</v>
      </c>
      <c r="C4" s="3">
        <v>29429.424999999999</v>
      </c>
      <c r="D4" s="4">
        <v>0.58919889999999997</v>
      </c>
    </row>
    <row r="6" spans="1:7">
      <c r="A6" s="6" t="s">
        <v>1</v>
      </c>
    </row>
    <row r="7" spans="1:7">
      <c r="A7" t="s">
        <v>2</v>
      </c>
      <c r="C7">
        <f>+C4</f>
        <v>29429.424999999999</v>
      </c>
    </row>
    <row r="8" spans="1:7">
      <c r="A8" t="s">
        <v>3</v>
      </c>
      <c r="C8">
        <f>+D4</f>
        <v>0.58919889999999997</v>
      </c>
    </row>
    <row r="9" spans="1:7">
      <c r="A9" s="15" t="s">
        <v>36</v>
      </c>
      <c r="B9" s="16"/>
      <c r="C9" s="17">
        <v>-9.5</v>
      </c>
      <c r="D9" s="16" t="s">
        <v>37</v>
      </c>
      <c r="E9" s="16"/>
    </row>
    <row r="10" spans="1:7" ht="13.5" thickBot="1">
      <c r="A10" s="16"/>
      <c r="B10" s="16"/>
      <c r="C10" s="5" t="s">
        <v>20</v>
      </c>
      <c r="D10" s="5" t="s">
        <v>21</v>
      </c>
      <c r="E10" s="16"/>
    </row>
    <row r="11" spans="1:7">
      <c r="A11" s="16" t="s">
        <v>16</v>
      </c>
      <c r="B11" s="16"/>
      <c r="C11" s="18">
        <f ca="1">INTERCEPT(INDIRECT($G$11):G992,INDIRECT($F$11):F992)</f>
        <v>1.8593344260190714E-2</v>
      </c>
      <c r="D11" s="19"/>
      <c r="E11" s="16"/>
      <c r="F11" s="20" t="str">
        <f>"F"&amp;E19</f>
        <v>F21</v>
      </c>
      <c r="G11" s="21" t="str">
        <f>"G"&amp;E19</f>
        <v>G21</v>
      </c>
    </row>
    <row r="12" spans="1:7">
      <c r="A12" s="16" t="s">
        <v>17</v>
      </c>
      <c r="B12" s="16"/>
      <c r="C12" s="18">
        <f ca="1">SLOPE(INDIRECT($G$11):G992,INDIRECT($F$11):F992)</f>
        <v>-1.059112965425871E-5</v>
      </c>
      <c r="D12" s="19"/>
      <c r="E12" s="16"/>
    </row>
    <row r="13" spans="1:7">
      <c r="A13" s="16" t="s">
        <v>19</v>
      </c>
      <c r="B13" s="16"/>
      <c r="C13" s="19" t="s">
        <v>14</v>
      </c>
      <c r="D13" s="22" t="s">
        <v>38</v>
      </c>
      <c r="E13" s="17">
        <v>1</v>
      </c>
    </row>
    <row r="14" spans="1:7">
      <c r="A14" s="16"/>
      <c r="B14" s="16"/>
      <c r="C14" s="16"/>
      <c r="D14" s="22" t="s">
        <v>39</v>
      </c>
      <c r="E14" s="23">
        <f ca="1">NOW()+15018.5+$C$9/24</f>
        <v>60354.632670254628</v>
      </c>
    </row>
    <row r="15" spans="1:7">
      <c r="A15" s="24" t="s">
        <v>18</v>
      </c>
      <c r="B15" s="16"/>
      <c r="C15" s="25">
        <f ca="1">(C7+C11)+(C8+C12)*INT(MAX(F21:F3533))</f>
        <v>59383.188028003759</v>
      </c>
      <c r="D15" s="22" t="s">
        <v>40</v>
      </c>
      <c r="E15" s="23">
        <f ca="1">ROUND(2*(E14-$C$7)/$C$8,0)/2+E13</f>
        <v>52488</v>
      </c>
    </row>
    <row r="16" spans="1:7">
      <c r="A16" s="26" t="s">
        <v>4</v>
      </c>
      <c r="B16" s="16"/>
      <c r="C16" s="27">
        <f ca="1">+C8+C12</f>
        <v>0.58918830887034568</v>
      </c>
      <c r="D16" s="22" t="s">
        <v>41</v>
      </c>
      <c r="E16" s="21">
        <f ca="1">ROUND(2*(E14-$C$15)/$C$16,0)/2+E13</f>
        <v>1650</v>
      </c>
    </row>
    <row r="17" spans="1:31" ht="13.5" thickBot="1">
      <c r="A17" s="22" t="s">
        <v>32</v>
      </c>
      <c r="B17" s="16"/>
      <c r="C17" s="16">
        <f>COUNT(C21:C2191)</f>
        <v>7</v>
      </c>
      <c r="D17" s="22" t="s">
        <v>42</v>
      </c>
      <c r="E17" s="28">
        <f ca="1">+$C$15+$C$16*E16-15018.5-$C$9/24</f>
        <v>45337.244570973162</v>
      </c>
    </row>
    <row r="18" spans="1:31">
      <c r="A18" s="26" t="s">
        <v>5</v>
      </c>
      <c r="B18" s="16"/>
      <c r="C18" s="29">
        <f ca="1">+C15</f>
        <v>59383.188028003759</v>
      </c>
      <c r="D18" s="30">
        <f ca="1">+C16</f>
        <v>0.58918830887034568</v>
      </c>
      <c r="E18" s="31" t="s">
        <v>43</v>
      </c>
    </row>
    <row r="19" spans="1:31" ht="13.5" thickTop="1">
      <c r="A19" s="32" t="s">
        <v>44</v>
      </c>
      <c r="E19" s="33">
        <v>21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57</v>
      </c>
      <c r="K20" s="8" t="s">
        <v>49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4" t="s">
        <v>86</v>
      </c>
    </row>
    <row r="21" spans="1:31">
      <c r="A21" t="s">
        <v>12</v>
      </c>
      <c r="C21" s="12">
        <v>29429.424999999999</v>
      </c>
      <c r="D21" s="12" t="s">
        <v>14</v>
      </c>
      <c r="E21">
        <f t="shared" ref="E21:E26" si="0">+(C21-C$7)/C$8</f>
        <v>0</v>
      </c>
      <c r="F21">
        <f>ROUND(2*E21,0)/2</f>
        <v>0</v>
      </c>
      <c r="H21">
        <v>0</v>
      </c>
      <c r="O21">
        <f t="shared" ref="O21:O26" ca="1" si="1">+C$11+C$12*F21</f>
        <v>1.8593344260190714E-2</v>
      </c>
      <c r="Q21" s="2">
        <f t="shared" ref="Q21:Q26" si="2">+C21-15018.5</f>
        <v>14410.924999999999</v>
      </c>
    </row>
    <row r="22" spans="1:31">
      <c r="A22" t="s">
        <v>30</v>
      </c>
      <c r="C22" s="13">
        <v>50525.66</v>
      </c>
      <c r="D22" s="12">
        <v>1.4999999999999999E-2</v>
      </c>
      <c r="E22">
        <f t="shared" si="0"/>
        <v>35804.946343246746</v>
      </c>
      <c r="F22" s="14">
        <f>ROUND(2*E22,0)/2+0.5</f>
        <v>35805.5</v>
      </c>
      <c r="G22">
        <f t="shared" ref="G22:G27" si="3">+C22-(C$7+F22*C$8)</f>
        <v>-0.32621394999296172</v>
      </c>
      <c r="I22">
        <f>+G22</f>
        <v>-0.32621394999296172</v>
      </c>
      <c r="O22">
        <f t="shared" ca="1" si="1"/>
        <v>-0.36062734857536949</v>
      </c>
      <c r="Q22" s="2">
        <f t="shared" si="2"/>
        <v>35507.160000000003</v>
      </c>
      <c r="AA22">
        <v>15</v>
      </c>
      <c r="AC22" t="s">
        <v>29</v>
      </c>
      <c r="AE22" t="s">
        <v>31</v>
      </c>
    </row>
    <row r="23" spans="1:31">
      <c r="A23" s="50" t="s">
        <v>68</v>
      </c>
      <c r="B23" s="53" t="s">
        <v>34</v>
      </c>
      <c r="C23" s="51">
        <v>51305.437899999997</v>
      </c>
      <c r="D23" s="52" t="s">
        <v>57</v>
      </c>
      <c r="E23">
        <f t="shared" si="0"/>
        <v>37128.400782825629</v>
      </c>
      <c r="F23" s="14">
        <f>ROUND(2*E23,0)/2+0.5</f>
        <v>37129</v>
      </c>
      <c r="G23">
        <f t="shared" si="3"/>
        <v>-0.35305810000136262</v>
      </c>
      <c r="J23">
        <f>+G23</f>
        <v>-0.35305810000136262</v>
      </c>
      <c r="O23">
        <f t="shared" ca="1" si="1"/>
        <v>-0.37464470867278094</v>
      </c>
      <c r="Q23" s="2">
        <f t="shared" si="2"/>
        <v>36286.937899999997</v>
      </c>
    </row>
    <row r="24" spans="1:31">
      <c r="A24" s="9" t="s">
        <v>33</v>
      </c>
      <c r="B24" s="10" t="s">
        <v>34</v>
      </c>
      <c r="C24" s="11">
        <v>53463.601000000002</v>
      </c>
      <c r="D24" s="11">
        <v>6.0000000000000001E-3</v>
      </c>
      <c r="E24">
        <f t="shared" si="0"/>
        <v>40791.2777841235</v>
      </c>
      <c r="F24" s="14">
        <f>ROUND(2*E24,0)/2+0.5</f>
        <v>40792</v>
      </c>
      <c r="G24">
        <f t="shared" si="3"/>
        <v>-0.425528799991298</v>
      </c>
      <c r="K24">
        <f>+G24</f>
        <v>-0.425528799991298</v>
      </c>
      <c r="O24">
        <f t="shared" ca="1" si="1"/>
        <v>-0.41344001659633056</v>
      </c>
      <c r="Q24" s="2">
        <f t="shared" si="2"/>
        <v>38445.101000000002</v>
      </c>
    </row>
    <row r="25" spans="1:31" ht="12" customHeight="1">
      <c r="A25" s="50" t="s">
        <v>80</v>
      </c>
      <c r="B25" s="53" t="s">
        <v>34</v>
      </c>
      <c r="C25" s="52">
        <v>55699.588199999998</v>
      </c>
      <c r="D25" s="52" t="s">
        <v>57</v>
      </c>
      <c r="E25">
        <f t="shared" si="0"/>
        <v>44586.239383678418</v>
      </c>
      <c r="F25" s="36">
        <f>ROUND(2*E25,0)/2+1</f>
        <v>44587</v>
      </c>
      <c r="G25">
        <f t="shared" si="3"/>
        <v>-0.44815430000016931</v>
      </c>
      <c r="J25">
        <f>+G25</f>
        <v>-0.44815430000016931</v>
      </c>
      <c r="O25">
        <f t="shared" ca="1" si="1"/>
        <v>-0.4536333536342424</v>
      </c>
      <c r="Q25" s="2">
        <f t="shared" si="2"/>
        <v>40681.088199999998</v>
      </c>
    </row>
    <row r="26" spans="1:31" ht="12" customHeight="1">
      <c r="A26" s="34" t="s">
        <v>45</v>
      </c>
      <c r="B26" s="35" t="s">
        <v>46</v>
      </c>
      <c r="C26" s="34">
        <v>55747.483899999999</v>
      </c>
      <c r="D26" s="57">
        <v>1E-3</v>
      </c>
      <c r="E26">
        <f t="shared" si="0"/>
        <v>44667.528910865243</v>
      </c>
      <c r="F26" s="36">
        <f>ROUND(2*E26,0)/2+1</f>
        <v>44668.5</v>
      </c>
      <c r="G26">
        <f t="shared" si="3"/>
        <v>-0.57216464999510208</v>
      </c>
      <c r="K26">
        <f>+G26</f>
        <v>-0.57216464999510208</v>
      </c>
      <c r="O26">
        <f t="shared" ca="1" si="1"/>
        <v>-0.45449653070106444</v>
      </c>
      <c r="Q26" s="2">
        <f t="shared" si="2"/>
        <v>40728.983899999999</v>
      </c>
    </row>
    <row r="27" spans="1:31" ht="12" customHeight="1">
      <c r="A27" s="55" t="s">
        <v>87</v>
      </c>
      <c r="B27" s="56" t="s">
        <v>46</v>
      </c>
      <c r="C27" s="58">
        <v>59383.550900000002</v>
      </c>
      <c r="D27" s="59">
        <v>1E-3</v>
      </c>
      <c r="E27">
        <f t="shared" ref="E27" si="4">+(C27-C$7)/C$8</f>
        <v>50838.733575368191</v>
      </c>
      <c r="F27" s="36">
        <f>ROUND(2*E27,0)/2+1</f>
        <v>50839.5</v>
      </c>
      <c r="G27">
        <f t="shared" si="3"/>
        <v>-0.45157654999638908</v>
      </c>
      <c r="K27">
        <f>+G27</f>
        <v>-0.45157654999638908</v>
      </c>
      <c r="O27">
        <f t="shared" ref="O27" ca="1" si="5">+C$11+C$12*F27</f>
        <v>-0.51985439179749493</v>
      </c>
      <c r="Q27" s="2">
        <f t="shared" ref="Q27" si="6">+C27-15018.5</f>
        <v>44365.050900000002</v>
      </c>
    </row>
    <row r="28" spans="1:31" ht="12" customHeight="1">
      <c r="C28" s="12"/>
      <c r="D28" s="12"/>
    </row>
    <row r="29" spans="1:31" ht="12" customHeight="1">
      <c r="C29" s="12"/>
      <c r="D29" s="12"/>
    </row>
    <row r="30" spans="1:31">
      <c r="C30" s="12"/>
      <c r="D30" s="12"/>
    </row>
    <row r="31" spans="1:31">
      <c r="C31" s="12"/>
      <c r="D31" s="12"/>
    </row>
    <row r="32" spans="1:31">
      <c r="C32" s="12"/>
      <c r="D32" s="12"/>
    </row>
    <row r="33" spans="3:4">
      <c r="C33" s="12"/>
      <c r="D33" s="12"/>
    </row>
    <row r="34" spans="3:4">
      <c r="C34" s="12"/>
      <c r="D34" s="12"/>
    </row>
    <row r="35" spans="3:4">
      <c r="C35" s="12"/>
      <c r="D35" s="12"/>
    </row>
    <row r="36" spans="3:4">
      <c r="C36" s="12"/>
      <c r="D36" s="12"/>
    </row>
    <row r="37" spans="3:4">
      <c r="C37" s="12"/>
      <c r="D37" s="12"/>
    </row>
    <row r="38" spans="3:4">
      <c r="C38" s="12"/>
      <c r="D38" s="12"/>
    </row>
    <row r="39" spans="3:4">
      <c r="C39" s="12"/>
      <c r="D39" s="12"/>
    </row>
    <row r="40" spans="3:4">
      <c r="C40" s="12"/>
      <c r="D40" s="12"/>
    </row>
    <row r="41" spans="3:4">
      <c r="C41" s="12"/>
      <c r="D41" s="12"/>
    </row>
    <row r="42" spans="3:4">
      <c r="C42" s="12"/>
      <c r="D42" s="12"/>
    </row>
    <row r="43" spans="3:4">
      <c r="C43" s="12"/>
      <c r="D43" s="12"/>
    </row>
    <row r="44" spans="3:4">
      <c r="C44" s="12"/>
      <c r="D44" s="12"/>
    </row>
    <row r="45" spans="3:4">
      <c r="C45" s="12"/>
      <c r="D45" s="12"/>
    </row>
    <row r="46" spans="3:4">
      <c r="C46" s="12"/>
      <c r="D46" s="12"/>
    </row>
    <row r="47" spans="3:4">
      <c r="C47" s="12"/>
      <c r="D47" s="12"/>
    </row>
    <row r="48" spans="3:4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0"/>
  <sheetViews>
    <sheetView workbookViewId="0">
      <selection activeCell="A14" sqref="A14:D15"/>
    </sheetView>
  </sheetViews>
  <sheetFormatPr defaultRowHeight="12.75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7" t="s">
        <v>47</v>
      </c>
      <c r="I1" s="38" t="s">
        <v>48</v>
      </c>
      <c r="J1" s="39" t="s">
        <v>49</v>
      </c>
    </row>
    <row r="2" spans="1:16">
      <c r="I2" s="40" t="s">
        <v>50</v>
      </c>
      <c r="J2" s="41" t="s">
        <v>51</v>
      </c>
    </row>
    <row r="3" spans="1:16">
      <c r="A3" s="42" t="s">
        <v>52</v>
      </c>
      <c r="I3" s="40" t="s">
        <v>53</v>
      </c>
      <c r="J3" s="41" t="s">
        <v>54</v>
      </c>
    </row>
    <row r="4" spans="1:16">
      <c r="I4" s="40" t="s">
        <v>55</v>
      </c>
      <c r="J4" s="41" t="s">
        <v>54</v>
      </c>
    </row>
    <row r="5" spans="1:16" ht="13.5" thickBot="1">
      <c r="I5" s="43" t="s">
        <v>56</v>
      </c>
      <c r="J5" s="44" t="s">
        <v>57</v>
      </c>
    </row>
    <row r="10" spans="1:16" ht="13.5" thickBot="1"/>
    <row r="11" spans="1:16" ht="12.75" customHeight="1" thickBot="1">
      <c r="A11" s="12" t="str">
        <f>P11</f>
        <v> BBS 114 </v>
      </c>
      <c r="B11" s="19" t="str">
        <f>IF(H11=INT(H11),"I","II")</f>
        <v>I</v>
      </c>
      <c r="C11" s="12">
        <f>1*G11</f>
        <v>50525.66</v>
      </c>
      <c r="D11" s="16" t="str">
        <f>VLOOKUP(F11,I$1:J$5,2,FALSE)</f>
        <v>vis</v>
      </c>
      <c r="E11" s="45">
        <f>VLOOKUP(C11,Active!C$21:E$973,3,FALSE)</f>
        <v>35804.946343246746</v>
      </c>
      <c r="F11" s="19" t="s">
        <v>56</v>
      </c>
      <c r="G11" s="16" t="str">
        <f>MID(I11,3,LEN(I11)-3)</f>
        <v>50525.66</v>
      </c>
      <c r="H11" s="12">
        <f>1*K11</f>
        <v>15356</v>
      </c>
      <c r="I11" s="46" t="s">
        <v>58</v>
      </c>
      <c r="J11" s="47" t="s">
        <v>59</v>
      </c>
      <c r="K11" s="46">
        <v>15356</v>
      </c>
      <c r="L11" s="46" t="s">
        <v>60</v>
      </c>
      <c r="M11" s="47" t="s">
        <v>61</v>
      </c>
      <c r="N11" s="47" t="s">
        <v>62</v>
      </c>
      <c r="O11" s="48" t="s">
        <v>63</v>
      </c>
      <c r="P11" s="48" t="s">
        <v>64</v>
      </c>
    </row>
    <row r="12" spans="1:16" ht="12.75" customHeight="1" thickBot="1">
      <c r="A12" s="12" t="str">
        <f>P12</f>
        <v>IBVS 5653 </v>
      </c>
      <c r="B12" s="19" t="str">
        <f>IF(H12=INT(H12),"I","II")</f>
        <v>I</v>
      </c>
      <c r="C12" s="12">
        <f>1*G12</f>
        <v>53463.601000000002</v>
      </c>
      <c r="D12" s="16" t="str">
        <f>VLOOKUP(F12,I$1:J$5,2,FALSE)</f>
        <v>vis</v>
      </c>
      <c r="E12" s="45">
        <f>VLOOKUP(C12,Active!C$21:E$973,3,FALSE)</f>
        <v>40791.2777841235</v>
      </c>
      <c r="F12" s="19" t="s">
        <v>56</v>
      </c>
      <c r="G12" s="16" t="str">
        <f>MID(I12,3,LEN(I12)-3)</f>
        <v>53463.601</v>
      </c>
      <c r="H12" s="12">
        <f>1*K12</f>
        <v>17319</v>
      </c>
      <c r="I12" s="46" t="s">
        <v>69</v>
      </c>
      <c r="J12" s="47" t="s">
        <v>70</v>
      </c>
      <c r="K12" s="46">
        <v>17319</v>
      </c>
      <c r="L12" s="46" t="s">
        <v>71</v>
      </c>
      <c r="M12" s="47" t="s">
        <v>61</v>
      </c>
      <c r="N12" s="47" t="s">
        <v>62</v>
      </c>
      <c r="O12" s="48" t="s">
        <v>72</v>
      </c>
      <c r="P12" s="49" t="s">
        <v>73</v>
      </c>
    </row>
    <row r="13" spans="1:16" ht="12.75" customHeight="1" thickBot="1">
      <c r="A13" s="12" t="str">
        <f>P13</f>
        <v>BAVM 220 </v>
      </c>
      <c r="B13" s="19" t="str">
        <f>IF(H13=INT(H13),"I","II")</f>
        <v>I</v>
      </c>
      <c r="C13" s="12">
        <f>1*G13</f>
        <v>55747.483899999999</v>
      </c>
      <c r="D13" s="16" t="str">
        <f>VLOOKUP(F13,I$1:J$5,2,FALSE)</f>
        <v>vis</v>
      </c>
      <c r="E13" s="45">
        <f>VLOOKUP(C13,Active!C$21:E$973,3,FALSE)</f>
        <v>44667.528910865243</v>
      </c>
      <c r="F13" s="19" t="s">
        <v>56</v>
      </c>
      <c r="G13" s="16" t="str">
        <f>MID(I13,3,LEN(I13)-3)</f>
        <v>55747.4839</v>
      </c>
      <c r="H13" s="12">
        <f>1*K13</f>
        <v>18845</v>
      </c>
      <c r="I13" s="46" t="s">
        <v>81</v>
      </c>
      <c r="J13" s="47" t="s">
        <v>82</v>
      </c>
      <c r="K13" s="46">
        <v>18845</v>
      </c>
      <c r="L13" s="46" t="s">
        <v>83</v>
      </c>
      <c r="M13" s="47" t="s">
        <v>77</v>
      </c>
      <c r="N13" s="47" t="s">
        <v>78</v>
      </c>
      <c r="O13" s="48" t="s">
        <v>84</v>
      </c>
      <c r="P13" s="49" t="s">
        <v>85</v>
      </c>
    </row>
    <row r="14" spans="1:16" ht="12.75" customHeight="1" thickBot="1">
      <c r="A14" s="12" t="str">
        <f>P14</f>
        <v> BBS 120 </v>
      </c>
      <c r="B14" s="19" t="str">
        <f>IF(H14=INT(H14),"I","II")</f>
        <v>I</v>
      </c>
      <c r="C14" s="12">
        <f>1*G14</f>
        <v>51305.437899999997</v>
      </c>
      <c r="D14" s="16" t="str">
        <f>VLOOKUP(F14,I$1:J$5,2,FALSE)</f>
        <v>vis</v>
      </c>
      <c r="E14" s="45">
        <f>VLOOKUP(C14,Active!C$21:E$973,3,FALSE)</f>
        <v>37128.400782825629</v>
      </c>
      <c r="F14" s="19" t="s">
        <v>56</v>
      </c>
      <c r="G14" s="16" t="str">
        <f>MID(I14,3,LEN(I14)-3)</f>
        <v>51305.4379</v>
      </c>
      <c r="H14" s="12">
        <f>1*K14</f>
        <v>15877</v>
      </c>
      <c r="I14" s="46" t="s">
        <v>65</v>
      </c>
      <c r="J14" s="47" t="s">
        <v>66</v>
      </c>
      <c r="K14" s="46">
        <v>15877</v>
      </c>
      <c r="L14" s="46" t="s">
        <v>67</v>
      </c>
      <c r="M14" s="47" t="s">
        <v>61</v>
      </c>
      <c r="N14" s="47" t="s">
        <v>62</v>
      </c>
      <c r="O14" s="48" t="s">
        <v>63</v>
      </c>
      <c r="P14" s="48" t="s">
        <v>68</v>
      </c>
    </row>
    <row r="15" spans="1:16" ht="12.75" customHeight="1" thickBot="1">
      <c r="A15" s="12" t="str">
        <f>P15</f>
        <v>BAVM 225 </v>
      </c>
      <c r="B15" s="19" t="str">
        <f>IF(H15=INT(H15),"I","II")</f>
        <v>I</v>
      </c>
      <c r="C15" s="12">
        <f>1*G15</f>
        <v>55699.588199999998</v>
      </c>
      <c r="D15" s="16" t="str">
        <f>VLOOKUP(F15,I$1:J$5,2,FALSE)</f>
        <v>vis</v>
      </c>
      <c r="E15" s="45">
        <f>VLOOKUP(C15,Active!C$21:E$973,3,FALSE)</f>
        <v>44586.239383678418</v>
      </c>
      <c r="F15" s="19" t="s">
        <v>56</v>
      </c>
      <c r="G15" s="16" t="str">
        <f>MID(I15,3,LEN(I15)-3)</f>
        <v>55699.5882</v>
      </c>
      <c r="H15" s="12">
        <f>1*K15</f>
        <v>18813</v>
      </c>
      <c r="I15" s="46" t="s">
        <v>74</v>
      </c>
      <c r="J15" s="47" t="s">
        <v>75</v>
      </c>
      <c r="K15" s="46">
        <v>18813</v>
      </c>
      <c r="L15" s="46" t="s">
        <v>76</v>
      </c>
      <c r="M15" s="47" t="s">
        <v>77</v>
      </c>
      <c r="N15" s="47" t="s">
        <v>78</v>
      </c>
      <c r="O15" s="48" t="s">
        <v>79</v>
      </c>
      <c r="P15" s="49" t="s">
        <v>80</v>
      </c>
    </row>
    <row r="16" spans="1:16">
      <c r="B16" s="19"/>
      <c r="E16" s="45"/>
      <c r="F16" s="19"/>
    </row>
    <row r="17" spans="2:6">
      <c r="B17" s="19"/>
      <c r="E17" s="45"/>
      <c r="F17" s="19"/>
    </row>
    <row r="18" spans="2:6">
      <c r="B18" s="19"/>
      <c r="E18" s="45"/>
      <c r="F18" s="19"/>
    </row>
    <row r="19" spans="2:6">
      <c r="B19" s="19"/>
      <c r="E19" s="45"/>
      <c r="F19" s="19"/>
    </row>
    <row r="20" spans="2:6">
      <c r="B20" s="19"/>
      <c r="E20" s="45"/>
      <c r="F20" s="19"/>
    </row>
    <row r="21" spans="2:6">
      <c r="B21" s="19"/>
      <c r="E21" s="45"/>
      <c r="F21" s="19"/>
    </row>
    <row r="22" spans="2:6">
      <c r="B22" s="19"/>
      <c r="E22" s="45"/>
      <c r="F22" s="19"/>
    </row>
    <row r="23" spans="2:6">
      <c r="B23" s="19"/>
      <c r="E23" s="45"/>
      <c r="F23" s="19"/>
    </row>
    <row r="24" spans="2:6">
      <c r="B24" s="19"/>
      <c r="E24" s="45"/>
      <c r="F24" s="19"/>
    </row>
    <row r="25" spans="2:6">
      <c r="B25" s="19"/>
      <c r="E25" s="45"/>
      <c r="F25" s="19"/>
    </row>
    <row r="26" spans="2:6">
      <c r="B26" s="19"/>
      <c r="E26" s="45"/>
      <c r="F26" s="19"/>
    </row>
    <row r="27" spans="2:6">
      <c r="B27" s="19"/>
      <c r="E27" s="45"/>
      <c r="F27" s="19"/>
    </row>
    <row r="28" spans="2:6">
      <c r="B28" s="19"/>
      <c r="E28" s="45"/>
      <c r="F28" s="19"/>
    </row>
    <row r="29" spans="2:6">
      <c r="B29" s="19"/>
      <c r="E29" s="45"/>
      <c r="F29" s="19"/>
    </row>
    <row r="30" spans="2:6">
      <c r="B30" s="19"/>
      <c r="E30" s="45"/>
      <c r="F30" s="19"/>
    </row>
    <row r="31" spans="2:6">
      <c r="B31" s="19"/>
      <c r="E31" s="45"/>
      <c r="F31" s="19"/>
    </row>
    <row r="32" spans="2:6">
      <c r="B32" s="19"/>
      <c r="E32" s="45"/>
      <c r="F32" s="19"/>
    </row>
    <row r="33" spans="2:6">
      <c r="B33" s="19"/>
      <c r="F33" s="19"/>
    </row>
    <row r="34" spans="2:6">
      <c r="B34" s="19"/>
      <c r="F34" s="19"/>
    </row>
    <row r="35" spans="2:6">
      <c r="B35" s="19"/>
      <c r="F35" s="19"/>
    </row>
    <row r="36" spans="2:6">
      <c r="B36" s="19"/>
      <c r="F36" s="19"/>
    </row>
    <row r="37" spans="2:6">
      <c r="B37" s="19"/>
      <c r="F37" s="19"/>
    </row>
    <row r="38" spans="2:6">
      <c r="B38" s="19"/>
      <c r="F38" s="19"/>
    </row>
    <row r="39" spans="2:6">
      <c r="B39" s="19"/>
      <c r="F39" s="19"/>
    </row>
    <row r="40" spans="2:6">
      <c r="B40" s="19"/>
      <c r="F40" s="19"/>
    </row>
    <row r="41" spans="2:6">
      <c r="B41" s="19"/>
      <c r="F41" s="19"/>
    </row>
    <row r="42" spans="2:6">
      <c r="B42" s="19"/>
      <c r="F42" s="19"/>
    </row>
    <row r="43" spans="2:6">
      <c r="B43" s="19"/>
      <c r="F43" s="19"/>
    </row>
    <row r="44" spans="2:6">
      <c r="B44" s="19"/>
      <c r="F44" s="19"/>
    </row>
    <row r="45" spans="2:6">
      <c r="B45" s="19"/>
      <c r="F45" s="19"/>
    </row>
    <row r="46" spans="2:6">
      <c r="B46" s="19"/>
      <c r="F46" s="19"/>
    </row>
    <row r="47" spans="2:6">
      <c r="B47" s="19"/>
      <c r="F47" s="19"/>
    </row>
    <row r="48" spans="2:6">
      <c r="B48" s="19"/>
      <c r="F48" s="19"/>
    </row>
    <row r="49" spans="2:6">
      <c r="B49" s="19"/>
      <c r="F49" s="19"/>
    </row>
    <row r="50" spans="2:6">
      <c r="B50" s="19"/>
      <c r="F50" s="19"/>
    </row>
    <row r="51" spans="2:6">
      <c r="B51" s="19"/>
      <c r="F51" s="19"/>
    </row>
    <row r="52" spans="2:6">
      <c r="B52" s="19"/>
      <c r="F52" s="19"/>
    </row>
    <row r="53" spans="2:6">
      <c r="B53" s="19"/>
      <c r="F53" s="19"/>
    </row>
    <row r="54" spans="2:6">
      <c r="B54" s="19"/>
      <c r="F54" s="19"/>
    </row>
    <row r="55" spans="2:6">
      <c r="B55" s="19"/>
      <c r="F55" s="19"/>
    </row>
    <row r="56" spans="2:6">
      <c r="B56" s="19"/>
      <c r="F56" s="19"/>
    </row>
    <row r="57" spans="2:6">
      <c r="B57" s="19"/>
      <c r="F57" s="19"/>
    </row>
    <row r="58" spans="2:6">
      <c r="B58" s="19"/>
      <c r="F58" s="19"/>
    </row>
    <row r="59" spans="2:6">
      <c r="B59" s="19"/>
      <c r="F59" s="19"/>
    </row>
    <row r="60" spans="2:6">
      <c r="B60" s="19"/>
      <c r="F60" s="19"/>
    </row>
    <row r="61" spans="2:6">
      <c r="B61" s="19"/>
      <c r="F61" s="19"/>
    </row>
    <row r="62" spans="2:6">
      <c r="B62" s="19"/>
      <c r="F62" s="19"/>
    </row>
    <row r="63" spans="2:6">
      <c r="B63" s="19"/>
      <c r="F63" s="19"/>
    </row>
    <row r="64" spans="2:6">
      <c r="B64" s="19"/>
      <c r="F64" s="19"/>
    </row>
    <row r="65" spans="2:6">
      <c r="B65" s="19"/>
      <c r="F65" s="19"/>
    </row>
    <row r="66" spans="2:6">
      <c r="B66" s="19"/>
      <c r="F66" s="19"/>
    </row>
    <row r="67" spans="2:6">
      <c r="B67" s="19"/>
      <c r="F67" s="19"/>
    </row>
    <row r="68" spans="2:6">
      <c r="B68" s="19"/>
      <c r="F68" s="19"/>
    </row>
    <row r="69" spans="2:6">
      <c r="B69" s="19"/>
      <c r="F69" s="19"/>
    </row>
    <row r="70" spans="2:6">
      <c r="B70" s="19"/>
      <c r="F70" s="19"/>
    </row>
    <row r="71" spans="2:6">
      <c r="B71" s="19"/>
      <c r="F71" s="19"/>
    </row>
    <row r="72" spans="2:6">
      <c r="B72" s="19"/>
      <c r="F72" s="19"/>
    </row>
    <row r="73" spans="2:6">
      <c r="B73" s="19"/>
      <c r="F73" s="19"/>
    </row>
    <row r="74" spans="2:6">
      <c r="B74" s="19"/>
      <c r="F74" s="19"/>
    </row>
    <row r="75" spans="2:6">
      <c r="B75" s="19"/>
      <c r="F75" s="19"/>
    </row>
    <row r="76" spans="2:6">
      <c r="B76" s="19"/>
      <c r="F76" s="19"/>
    </row>
    <row r="77" spans="2:6">
      <c r="B77" s="19"/>
      <c r="F77" s="19"/>
    </row>
    <row r="78" spans="2:6">
      <c r="B78" s="19"/>
      <c r="F78" s="19"/>
    </row>
    <row r="79" spans="2:6">
      <c r="B79" s="19"/>
      <c r="F79" s="19"/>
    </row>
    <row r="80" spans="2: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</sheetData>
  <phoneticPr fontId="7" type="noConversion"/>
  <hyperlinks>
    <hyperlink ref="P12" r:id="rId1" display="http://www.konkoly.hu/cgi-bin/IBVS?5653" xr:uid="{00000000-0004-0000-0100-000000000000}"/>
    <hyperlink ref="P15" r:id="rId2" display="http://www.bav-astro.de/sfs/BAVM_link.php?BAVMnr=225" xr:uid="{00000000-0004-0000-0100-000001000000}"/>
    <hyperlink ref="P13" r:id="rId3" display="http://www.bav-astro.de/sfs/BAVM_link.php?BAVMnr=220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2024-02-14T02:11:02Z</dcterms:modified>
</cp:coreProperties>
</file>