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432FE9-612C-4E24-A17D-DE0441ABD1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F27" i="2" l="1"/>
  <c r="G27" i="2" s="1"/>
  <c r="K27" i="2" s="1"/>
  <c r="E27" i="2"/>
  <c r="Q27" i="2"/>
  <c r="C27" i="2"/>
  <c r="C17" i="2" s="1"/>
  <c r="A27" i="2"/>
  <c r="E31" i="2"/>
  <c r="F31" i="2" s="1"/>
  <c r="G31" i="2" s="1"/>
  <c r="K31" i="2" s="1"/>
  <c r="Q31" i="2"/>
  <c r="Q26" i="2"/>
  <c r="Q25" i="2"/>
  <c r="Q23" i="2"/>
  <c r="G15" i="3"/>
  <c r="C15" i="3"/>
  <c r="G14" i="3"/>
  <c r="C14" i="3"/>
  <c r="G13" i="3"/>
  <c r="C13" i="3"/>
  <c r="G18" i="3"/>
  <c r="C18" i="3"/>
  <c r="G17" i="3"/>
  <c r="C17" i="3"/>
  <c r="E17" i="3"/>
  <c r="G12" i="3"/>
  <c r="C12" i="3"/>
  <c r="G16" i="3"/>
  <c r="C16" i="3"/>
  <c r="G11" i="3"/>
  <c r="C11" i="3"/>
  <c r="H15" i="3"/>
  <c r="B15" i="3"/>
  <c r="D15" i="3"/>
  <c r="A15" i="3"/>
  <c r="H14" i="3"/>
  <c r="B14" i="3"/>
  <c r="D14" i="3"/>
  <c r="A14" i="3"/>
  <c r="H13" i="3"/>
  <c r="B13" i="3"/>
  <c r="D13" i="3"/>
  <c r="A13" i="3"/>
  <c r="H18" i="3"/>
  <c r="B18" i="3"/>
  <c r="D18" i="3"/>
  <c r="A18" i="3"/>
  <c r="H17" i="3"/>
  <c r="B17" i="3"/>
  <c r="D17" i="3"/>
  <c r="A17" i="3"/>
  <c r="H12" i="3"/>
  <c r="B12" i="3"/>
  <c r="D12" i="3"/>
  <c r="A12" i="3"/>
  <c r="H16" i="3"/>
  <c r="B16" i="3"/>
  <c r="D16" i="3"/>
  <c r="A16" i="3"/>
  <c r="H11" i="3"/>
  <c r="B11" i="3"/>
  <c r="D11" i="3"/>
  <c r="A11" i="3"/>
  <c r="F11" i="1"/>
  <c r="D9" i="2"/>
  <c r="C9" i="2"/>
  <c r="F16" i="2"/>
  <c r="F17" i="2" s="1"/>
  <c r="Q21" i="2"/>
  <c r="Q22" i="2"/>
  <c r="Q24" i="2"/>
  <c r="Q28" i="2"/>
  <c r="Q29" i="2"/>
  <c r="Q30" i="2"/>
  <c r="Q26" i="1"/>
  <c r="Q25" i="1"/>
  <c r="G11" i="1"/>
  <c r="E14" i="1"/>
  <c r="E15" i="1" s="1"/>
  <c r="C17" i="1"/>
  <c r="C8" i="1"/>
  <c r="C7" i="1"/>
  <c r="G21" i="1"/>
  <c r="H21" i="1"/>
  <c r="E22" i="1"/>
  <c r="F22" i="1"/>
  <c r="G22" i="1"/>
  <c r="I22" i="1"/>
  <c r="E24" i="1"/>
  <c r="F24" i="1"/>
  <c r="Q24" i="1"/>
  <c r="Q23" i="1"/>
  <c r="Q22" i="1"/>
  <c r="E21" i="1"/>
  <c r="F21" i="1"/>
  <c r="Q21" i="1"/>
  <c r="E25" i="1"/>
  <c r="F25" i="1"/>
  <c r="E28" i="2"/>
  <c r="E13" i="3" s="1"/>
  <c r="F28" i="2"/>
  <c r="G28" i="2" s="1"/>
  <c r="K28" i="2" s="1"/>
  <c r="E23" i="2"/>
  <c r="F23" i="2" s="1"/>
  <c r="E24" i="2"/>
  <c r="E12" i="3" s="1"/>
  <c r="E22" i="2"/>
  <c r="F22" i="2" s="1"/>
  <c r="G22" i="2" s="1"/>
  <c r="I22" i="2" s="1"/>
  <c r="E25" i="2"/>
  <c r="F25" i="2"/>
  <c r="E26" i="2"/>
  <c r="F26" i="2" s="1"/>
  <c r="E21" i="2"/>
  <c r="F21" i="2" s="1"/>
  <c r="G21" i="2" s="1"/>
  <c r="I21" i="2" s="1"/>
  <c r="E29" i="2"/>
  <c r="F29" i="2" s="1"/>
  <c r="G29" i="2" s="1"/>
  <c r="K29" i="2" s="1"/>
  <c r="E30" i="2"/>
  <c r="E15" i="3" s="1"/>
  <c r="F30" i="2"/>
  <c r="G30" i="2" s="1"/>
  <c r="K30" i="2" s="1"/>
  <c r="E23" i="1"/>
  <c r="F23" i="1"/>
  <c r="G23" i="1"/>
  <c r="E26" i="1"/>
  <c r="F26" i="1"/>
  <c r="G26" i="1"/>
  <c r="K26" i="1"/>
  <c r="G24" i="1"/>
  <c r="J24" i="1"/>
  <c r="G25" i="1"/>
  <c r="J25" i="1"/>
  <c r="J23" i="1"/>
  <c r="E14" i="3"/>
  <c r="C11" i="1"/>
  <c r="E18" i="3" l="1"/>
  <c r="E16" i="3"/>
  <c r="F24" i="2"/>
  <c r="G24" i="2" s="1"/>
  <c r="E11" i="3"/>
  <c r="C12" i="2"/>
  <c r="C11" i="2"/>
  <c r="C12" i="1"/>
  <c r="O27" i="2" l="1"/>
  <c r="S27" i="2" s="1"/>
  <c r="O28" i="2"/>
  <c r="S28" i="2" s="1"/>
  <c r="C15" i="2"/>
  <c r="C18" i="2" s="1"/>
  <c r="O26" i="2"/>
  <c r="S26" i="2" s="1"/>
  <c r="O31" i="2"/>
  <c r="S31" i="2" s="1"/>
  <c r="O29" i="2"/>
  <c r="S29" i="2" s="1"/>
  <c r="O24" i="2"/>
  <c r="S24" i="2" s="1"/>
  <c r="O23" i="2"/>
  <c r="S23" i="2" s="1"/>
  <c r="O25" i="2"/>
  <c r="S25" i="2" s="1"/>
  <c r="O30" i="2"/>
  <c r="S30" i="2" s="1"/>
  <c r="O22" i="2"/>
  <c r="S22" i="2" s="1"/>
  <c r="O21" i="2"/>
  <c r="C16" i="2"/>
  <c r="D18" i="2" s="1"/>
  <c r="J24" i="2"/>
  <c r="C16" i="1"/>
  <c r="D18" i="1" s="1"/>
  <c r="O23" i="1"/>
  <c r="S23" i="1" s="1"/>
  <c r="O24" i="1"/>
  <c r="S24" i="1" s="1"/>
  <c r="O22" i="1"/>
  <c r="S22" i="1" s="1"/>
  <c r="C15" i="1"/>
  <c r="O26" i="1"/>
  <c r="S26" i="1" s="1"/>
  <c r="O21" i="1"/>
  <c r="S21" i="1" s="1"/>
  <c r="O25" i="1"/>
  <c r="S25" i="1" s="1"/>
  <c r="S19" i="2" l="1"/>
  <c r="F18" i="2"/>
  <c r="F19" i="2" s="1"/>
  <c r="C18" i="1"/>
  <c r="E16" i="1"/>
  <c r="E17" i="1" s="1"/>
  <c r="S19" i="1"/>
</calcChain>
</file>

<file path=xl/sharedStrings.xml><?xml version="1.0" encoding="utf-8"?>
<sst xmlns="http://schemas.openxmlformats.org/spreadsheetml/2006/main" count="213" uniqueCount="117">
  <si>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</si>
  <si>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</si>
  <si>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</si>
  <si>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</si>
  <si>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</si>
  <si>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</si>
  <si>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</si>
  <si>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</si>
  <si>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</si>
  <si>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</si>
  <si>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</si>
  <si>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</si>
  <si>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</si>
  <si>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</si>
  <si>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</si>
  <si>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</si>
  <si>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</si>
  <si>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</si>
  <si>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</si>
  <si>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</si>
  <si>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</si>
  <si>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</si>
  <si>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</si>
  <si>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</si>
  <si>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</si>
  <si>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</si>
  <si>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</si>
  <si>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</si>
  <si>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</si>
  <si>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Bull.115</t>
  </si>
  <si>
    <t>B</t>
  </si>
  <si>
    <t>II</t>
  </si>
  <si>
    <t>BBSAG</t>
  </si>
  <si>
    <t>IBVS 5484</t>
  </si>
  <si>
    <t>I</t>
  </si>
  <si>
    <t>IBVS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</si>
  <si>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</si>
  <si>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</si>
  <si>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</si>
  <si>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</si>
  <si>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</si>
  <si>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</si>
  <si>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</si>
  <si>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</si>
  <si>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IBVS 5894</t>
  </si>
  <si>
    <t>EW/KW</t>
  </si>
  <si>
    <t>Add cycle</t>
  </si>
  <si>
    <t>Old Cycle</t>
  </si>
  <si>
    <t>IBVS 5992</t>
  </si>
  <si>
    <t>Also period???</t>
  </si>
  <si>
    <t>OEJV 0160</t>
  </si>
  <si>
    <t>OEJV</t>
  </si>
  <si>
    <t>V0718 Her / GSC 3501-0432</t>
  </si>
  <si>
    <t>std dev</t>
  </si>
  <si>
    <t>This is not the right period</t>
  </si>
  <si>
    <t>New period found by ToMcat 2014-01-11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</si>
  <si>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</si>
  <si>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</si>
  <si>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</si>
  <si>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</si>
  <si>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</si>
  <si>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</si>
  <si>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</si>
  <si>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</si>
  <si>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</si>
  <si>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</si>
  <si>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</si>
  <si>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2450570.385 </t>
  </si>
  <si>
    <t> 01.05.1997 21:14 </t>
  </si>
  <si>
    <t> 0.100 </t>
  </si>
  <si>
    <t>E </t>
  </si>
  <si>
    <t>?</t>
  </si>
  <si>
    <t> R.Diethelm </t>
  </si>
  <si>
    <t> BBS 115 </t>
  </si>
  <si>
    <t>2452026.421 </t>
  </si>
  <si>
    <t> 26.04.2001 22:06 </t>
  </si>
  <si>
    <t> 0.114 </t>
  </si>
  <si>
    <t> BBS 125 </t>
  </si>
  <si>
    <t>2452408.4615 </t>
  </si>
  <si>
    <t> 13.05.2002 23:04 </t>
  </si>
  <si>
    <t> -0.0918 </t>
  </si>
  <si>
    <t>-I</t>
  </si>
  <si>
    <t> F.Agerer </t>
  </si>
  <si>
    <t>BAVM 158 </t>
  </si>
  <si>
    <t>2452427.542 </t>
  </si>
  <si>
    <t> 02.06.2002 01:00 </t>
  </si>
  <si>
    <t>23586.5</t>
  </si>
  <si>
    <t> -0.055 </t>
  </si>
  <si>
    <t> BBS 128 </t>
  </si>
  <si>
    <t>2452475.516 </t>
  </si>
  <si>
    <t> 20.07.2002 00:23 </t>
  </si>
  <si>
    <t>23691</t>
  </si>
  <si>
    <t> -0.034 </t>
  </si>
  <si>
    <t> E.Blättler </t>
  </si>
  <si>
    <t>2454957.9124 </t>
  </si>
  <si>
    <t> 06.05.2009 09:53 </t>
  </si>
  <si>
    <t>29101</t>
  </si>
  <si>
    <t> -0.1716 </t>
  </si>
  <si>
    <t>C </t>
  </si>
  <si>
    <t>IBVS 5894 </t>
  </si>
  <si>
    <t>2455723.7782 </t>
  </si>
  <si>
    <t> 11.06.2011 06:40 </t>
  </si>
  <si>
    <t>30770</t>
  </si>
  <si>
    <t> -0.1745 </t>
  </si>
  <si>
    <t>IBVS 5992 </t>
  </si>
  <si>
    <t>2456047.42849 </t>
  </si>
  <si>
    <t> 29.04.2012 22:17 </t>
  </si>
  <si>
    <t>31475.5</t>
  </si>
  <si>
    <t> -0.26318 </t>
  </si>
  <si>
    <t> M.Audejean </t>
  </si>
  <si>
    <t>OEJV 0160 </t>
  </si>
  <si>
    <t>BAD?</t>
  </si>
  <si>
    <t>JAVSO..43..238</t>
  </si>
  <si>
    <t>s5</t>
  </si>
  <si>
    <t>s6</t>
  </si>
  <si>
    <t>s7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</si>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</sst>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12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0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0" applyFont="1" applyFill="1" applyAlignment="1">
      <alignment vertical="center"/>
    </xf>
    <xf numFmtId="0" fontId="23" fillId="0" borderId="0" xfId="0" applyFont="1" applyAlignme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V0718 Her - O-C Diagr.</a:t>
            </a:r>
          </a:p>
        </c:rich>
      </c:tx>
      <c:layout>
        <c:manualLayout>
          <c:xMode val="edge"/>
          <c:yMode val="edge"/>
          <c:x val="0.3505160050869929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6657096785561"/>
          <c:y val="0.14723926380368099"/>
          <c:w val="0.798970412791312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D-402D-8430-9A09DEA848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-7.9770000011194497E-3</c:v>
                </c:pt>
                <c:pt idx="1">
                  <c:v>-1.1586000000534113E-2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1D-402D-8430-9A09DEA848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-4.2262000002665445E-2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1D-402D-8430-9A09DEA848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">
                  <c:v>0</c:v>
                </c:pt>
                <c:pt idx="7">
                  <c:v>-4.1247000001021661E-2</c:v>
                </c:pt>
                <c:pt idx="8">
                  <c:v>-0.20244049999746494</c:v>
                </c:pt>
                <c:pt idx="9">
                  <c:v>-0.18775250000180677</c:v>
                </c:pt>
                <c:pt idx="10">
                  <c:v>-0.19571750000613974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1D-402D-8430-9A09DEA848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1D-402D-8430-9A09DEA848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1D-402D-8430-9A09DEA848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0</c:v>
                  </c:pt>
                  <c:pt idx="5">
                    <c:v>0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1D-402D-8430-9A09DEA848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0.32638839497869554</c:v>
                </c:pt>
                <c:pt idx="1">
                  <c:v>2.7039577106759013E-2</c:v>
                </c:pt>
                <c:pt idx="2">
                  <c:v>-2.157338942770045E-2</c:v>
                </c:pt>
                <c:pt idx="3">
                  <c:v>-3.4328572214678971E-2</c:v>
                </c:pt>
                <c:pt idx="4">
                  <c:v>-3.496533640997275E-2</c:v>
                </c:pt>
                <c:pt idx="5">
                  <c:v>-3.6567196338758663E-2</c:v>
                </c:pt>
                <c:pt idx="6">
                  <c:v>-5.9540454572092047E-2</c:v>
                </c:pt>
                <c:pt idx="7">
                  <c:v>-0.11944603613246463</c:v>
                </c:pt>
                <c:pt idx="8">
                  <c:v>-0.1450210730700062</c:v>
                </c:pt>
                <c:pt idx="9">
                  <c:v>-0.1558261655088975</c:v>
                </c:pt>
                <c:pt idx="10">
                  <c:v>-0.19388277561825229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1D-402D-8430-9A09DEA848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-38789</c:v>
                </c:pt>
                <c:pt idx="1">
                  <c:v>-8702</c:v>
                </c:pt>
                <c:pt idx="2">
                  <c:v>-3816</c:v>
                </c:pt>
                <c:pt idx="3">
                  <c:v>-2534</c:v>
                </c:pt>
                <c:pt idx="4">
                  <c:v>-2470</c:v>
                </c:pt>
                <c:pt idx="5">
                  <c:v>-2309</c:v>
                </c:pt>
                <c:pt idx="6">
                  <c:v>0</c:v>
                </c:pt>
                <c:pt idx="7">
                  <c:v>6021</c:v>
                </c:pt>
                <c:pt idx="8">
                  <c:v>8591.5</c:v>
                </c:pt>
                <c:pt idx="9">
                  <c:v>9677.5</c:v>
                </c:pt>
                <c:pt idx="10">
                  <c:v>13502.5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1.3254999998025596E-2</c:v>
                </c:pt>
                <c:pt idx="4">
                  <c:v>0.1546539999981178</c:v>
                </c:pt>
                <c:pt idx="5">
                  <c:v>-0.10672499999782303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1D-402D-8430-9A09DEA8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78880"/>
        <c:axId val="1"/>
      </c:scatterChart>
      <c:valAx>
        <c:axId val="562278880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558847669815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278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828178694158079E-2"/>
          <c:y val="0.92024539877300615"/>
          <c:w val="0.9433005925805666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V0718 Her - O-C Diagr.</a:t>
            </a:r>
          </a:p>
        </c:rich>
      </c:tx>
      <c:layout>
        <c:manualLayout>
          <c:xMode val="edge"/>
          <c:yMode val="edge"/>
          <c:x val="0.3505160050869929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6657096785561"/>
          <c:y val="0.14769252958613219"/>
          <c:w val="0.7989704127913123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0-4344-BE35-09219033E24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0.10012680000363616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10-4344-BE35-09219033E24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-9.1846000002988148E-2</c:v>
                </c:pt>
                <c:pt idx="3">
                  <c:v>5.7880599997588433E-2</c:v>
                </c:pt>
                <c:pt idx="4">
                  <c:v>5.4963400005362928E-2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10-4344-BE35-09219033E24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5">
                  <c:v>-3.3739999998942949E-2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10-4344-BE35-09219033E24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10-4344-BE35-09219033E24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10-4344-BE35-09219033E24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1.6999999999999999E-3</c:v>
                  </c:pt>
                  <c:pt idx="3">
                    <c:v>8.0000000000000004E-4</c:v>
                  </c:pt>
                  <c:pt idx="4">
                    <c:v>1.1999999999999999E-3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10-4344-BE35-09219033E24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19539</c:v>
                </c:pt>
                <c:pt idx="2">
                  <c:v>23545</c:v>
                </c:pt>
                <c:pt idx="3">
                  <c:v>29100.5</c:v>
                </c:pt>
                <c:pt idx="4">
                  <c:v>30769.5</c:v>
                </c:pt>
                <c:pt idx="5">
                  <c:v>31475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9.8335422305476858E-3</c:v>
                </c:pt>
                <c:pt idx="1">
                  <c:v>1.3959036859198904E-2</c:v>
                </c:pt>
                <c:pt idx="2">
                  <c:v>1.4804869884552136E-2</c:v>
                </c:pt>
                <c:pt idx="3">
                  <c:v>1.5977866732367882E-2</c:v>
                </c:pt>
                <c:pt idx="4">
                  <c:v>1.6330261969341058E-2</c:v>
                </c:pt>
                <c:pt idx="5">
                  <c:v>1.6479222328648773E-2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10-4344-BE35-09219033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922656"/>
        <c:axId val="1"/>
      </c:scatterChart>
      <c:valAx>
        <c:axId val="55892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558847669815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922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73901200494268"/>
          <c:y val="0.92000129214617399"/>
          <c:w val="0.835052989510331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1114424</xdr:colOff>
      <xdr:row>0</xdr:row>
      <xdr:rowOff>0</xdr:rowOff>
    </xdr:from>
    <xdr:to>
      <xdr:col>17</xdr:col>
      <xdr:colOff>295274</xdr:colOff>
      <xdr:row>18</xdr:row>
      <xdr:rowOff>114300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5F812255-090A-86EE-047D-6BFF70D8F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390525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164D702-EFC2-071A-6B2D-6C3EFE089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bav-astro.de/sfs/BAVM_link.php?BAVMnr=158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46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24</v>
      </c>
      <c r="B2" s="28" t="s">
        <v>45</v>
      </c>
    </row>
    <row r="3" spans="1:6" ht="13.5" thickBot="1" x14ac:dyDescent="0.25"/>
    <row r="4" spans="1:6" ht="14.25" thickTop="1" thickBot="1" x14ac:dyDescent="0.25">
      <c r="A4" s="6" t="s">
        <v>0</v>
      </c>
      <c r="C4" s="2">
        <v>41604.252</v>
      </c>
      <c r="D4" s="3">
        <v>0.45887879999999998</v>
      </c>
    </row>
    <row r="5" spans="1:6" ht="13.5" thickTop="1" x14ac:dyDescent="0.2">
      <c r="A5" s="10" t="s">
        <v>36</v>
      </c>
      <c r="B5" s="11"/>
      <c r="C5" s="12">
        <v>-9.5</v>
      </c>
      <c r="D5" s="11" t="s">
        <v>37</v>
      </c>
    </row>
    <row r="6" spans="1:6" x14ac:dyDescent="0.2">
      <c r="A6" s="6" t="s">
        <v>1</v>
      </c>
      <c r="C6" s="40" t="s">
        <v>55</v>
      </c>
    </row>
    <row r="7" spans="1:6" x14ac:dyDescent="0.2">
      <c r="A7" t="s">
        <v>2</v>
      </c>
      <c r="C7">
        <v>53163.6535</v>
      </c>
      <c r="D7" s="62" t="s">
        <v>116</v>
      </c>
    </row>
    <row r="8" spans="1:6" x14ac:dyDescent="0.2">
      <c r="A8" t="s">
        <v>3</v>
      </c>
      <c r="C8" s="62">
        <v>0.29800700000000002</v>
      </c>
      <c r="D8" s="62" t="s">
        <v>116</v>
      </c>
    </row>
    <row r="9" spans="1:6" x14ac:dyDescent="0.2">
      <c r="A9" s="26" t="s">
        <v>43</v>
      </c>
      <c r="B9" s="27">
        <v>22</v>
      </c>
      <c r="C9" s="14" t="str">
        <f>"F"&amp;B9</f>
        <v>F22</v>
      </c>
      <c r="D9" s="15" t="str">
        <f>"G"&amp;B9</f>
        <v>G22</v>
      </c>
    </row>
    <row r="10" spans="1:6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6" x14ac:dyDescent="0.2">
      <c r="A11" s="11" t="s">
        <v>16</v>
      </c>
      <c r="B11" s="11"/>
      <c r="C11" s="13">
        <f ca="1">INTERCEPT(INDIRECT($D$9):G992,INDIRECT($C$9):F992)</f>
        <v>-5.9540454572092047E-2</v>
      </c>
      <c r="D11" s="4"/>
      <c r="E11" s="11"/>
    </row>
    <row r="12" spans="1:6" x14ac:dyDescent="0.2">
      <c r="A12" s="11" t="s">
        <v>17</v>
      </c>
      <c r="B12" s="11"/>
      <c r="C12" s="13">
        <f ca="1">SLOPE(INDIRECT($D$9):G992,INDIRECT($C$9):F992)</f>
        <v>-9.9494405514653025E-6</v>
      </c>
      <c r="D12" s="4"/>
      <c r="E12" s="11"/>
    </row>
    <row r="13" spans="1:6" x14ac:dyDescent="0.2">
      <c r="A13" s="11" t="s">
        <v>19</v>
      </c>
      <c r="B13" s="11"/>
      <c r="C13" s="4" t="s">
        <v>14</v>
      </c>
    </row>
    <row r="14" spans="1:6" x14ac:dyDescent="0.2">
      <c r="A14" s="11"/>
      <c r="B14" s="11"/>
      <c r="C14" s="11"/>
    </row>
    <row r="15" spans="1:6" x14ac:dyDescent="0.2">
      <c r="A15" s="16" t="s">
        <v>18</v>
      </c>
      <c r="B15" s="11"/>
      <c r="C15" s="17">
        <f ca="1">(C7+C11)+(C8+C12)*INT(MAX(F21:F3533))</f>
        <v>57187.150136199103</v>
      </c>
      <c r="E15" s="18" t="s">
        <v>46</v>
      </c>
      <c r="F15" s="12">
        <v>1</v>
      </c>
    </row>
    <row r="16" spans="1:6" x14ac:dyDescent="0.2">
      <c r="A16" s="20" t="s">
        <v>4</v>
      </c>
      <c r="B16" s="11"/>
      <c r="C16" s="21">
        <f ca="1">+C8+C12</f>
        <v>0.29799705055944858</v>
      </c>
      <c r="E16" s="18" t="s">
        <v>38</v>
      </c>
      <c r="F16" s="19">
        <f ca="1">NOW()+15018.5+$C$5/24</f>
        <v>60354.683733796293</v>
      </c>
    </row>
    <row r="17" spans="1:31" ht="13.5" thickBot="1" x14ac:dyDescent="0.25">
      <c r="A17" s="18" t="s">
        <v>40</v>
      </c>
      <c r="B17" s="11"/>
      <c r="C17" s="11">
        <f>COUNT(C21:C2191)</f>
        <v>11</v>
      </c>
      <c r="E17" s="18" t="s">
        <v>47</v>
      </c>
      <c r="F17" s="19">
        <f ca="1">ROUND(2*(F16-$C$7)/$C$8,0)/2+F15</f>
        <v>24131.5</v>
      </c>
    </row>
    <row r="18" spans="1:31" ht="14.25" thickTop="1" thickBot="1" x14ac:dyDescent="0.25">
      <c r="A18" s="20" t="s">
        <v>5</v>
      </c>
      <c r="B18" s="11"/>
      <c r="C18" s="23">
        <f ca="1">+C15</f>
        <v>57187.150136199103</v>
      </c>
      <c r="D18" s="24">
        <f ca="1">+C16</f>
        <v>0.29799705055944858</v>
      </c>
      <c r="E18" s="18" t="s">
        <v>39</v>
      </c>
      <c r="F18" s="15">
        <f ca="1">ROUND(2*(F16-$C$15)/$C$16,0)/2+F15</f>
        <v>10630.5</v>
      </c>
      <c r="S18" t="s">
        <v>53</v>
      </c>
    </row>
    <row r="19" spans="1:31" ht="13.5" thickTop="1" x14ac:dyDescent="0.2">
      <c r="E19" s="18" t="s">
        <v>41</v>
      </c>
      <c r="F19" s="22">
        <f ca="1">+$C$15+$C$16*F18-15018.5-$C$5/24</f>
        <v>45336.903615504656</v>
      </c>
      <c r="S19">
        <f ca="1">SQRT(SUM(S21:S42)/(COUNT(S21:S42)-1))</f>
        <v>4.5411480232335578E-2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63</v>
      </c>
      <c r="I20" s="8" t="s">
        <v>66</v>
      </c>
      <c r="J20" s="8" t="s">
        <v>60</v>
      </c>
      <c r="K20" s="8" t="s">
        <v>58</v>
      </c>
      <c r="L20" s="8" t="s">
        <v>113</v>
      </c>
      <c r="M20" s="8" t="s">
        <v>114</v>
      </c>
      <c r="N20" s="8" t="s">
        <v>115</v>
      </c>
      <c r="O20" s="8" t="s">
        <v>23</v>
      </c>
      <c r="P20" s="7" t="s">
        <v>22</v>
      </c>
      <c r="Q20" s="5" t="s">
        <v>15</v>
      </c>
      <c r="U20" s="57" t="s">
        <v>111</v>
      </c>
    </row>
    <row r="21" spans="1:31" s="29" customFormat="1" ht="12.75" customHeight="1" x14ac:dyDescent="0.2">
      <c r="A21" s="33" t="s">
        <v>12</v>
      </c>
      <c r="B21" s="33"/>
      <c r="C21" s="34">
        <v>41604.252</v>
      </c>
      <c r="D21" s="34" t="s">
        <v>14</v>
      </c>
      <c r="E21" s="29">
        <f>+(C21-C$7)/C$8</f>
        <v>-38789.0267678276</v>
      </c>
      <c r="F21" s="29">
        <f>ROUND(2*E21,0)/2</f>
        <v>-38789</v>
      </c>
      <c r="G21" s="29">
        <f>+C21-(C$7+F21*C$8)</f>
        <v>-7.9770000011194497E-3</v>
      </c>
      <c r="I21" s="29">
        <f>+G21</f>
        <v>-7.9770000011194497E-3</v>
      </c>
      <c r="O21" s="29">
        <f ca="1">+C$11+C$12*F21</f>
        <v>0.32638839497869554</v>
      </c>
      <c r="Q21" s="30">
        <f>+C21-15018.5</f>
        <v>26585.752</v>
      </c>
    </row>
    <row r="22" spans="1:31" s="29" customFormat="1" ht="12.75" customHeight="1" x14ac:dyDescent="0.2">
      <c r="A22" s="33" t="s">
        <v>29</v>
      </c>
      <c r="B22" s="35" t="s">
        <v>31</v>
      </c>
      <c r="C22" s="34">
        <v>50570.385000000002</v>
      </c>
      <c r="D22" s="34">
        <v>2E-3</v>
      </c>
      <c r="E22" s="29">
        <f>+(C22-C$7)/C$8</f>
        <v>-8702.038878281377</v>
      </c>
      <c r="F22" s="29">
        <f>ROUND(2*E22,0)/2</f>
        <v>-8702</v>
      </c>
      <c r="G22" s="29">
        <f>+C22-(C$7+F22*C$8)</f>
        <v>-1.1586000000534113E-2</v>
      </c>
      <c r="I22" s="29">
        <f>+G22</f>
        <v>-1.1586000000534113E-2</v>
      </c>
      <c r="O22" s="29">
        <f ca="1">+C$11+C$12*F22</f>
        <v>2.7039577106759013E-2</v>
      </c>
      <c r="Q22" s="30">
        <f>+C22-15018.5</f>
        <v>35551.885000000002</v>
      </c>
      <c r="S22" s="29">
        <f ca="1">+(O22-G22)^2</f>
        <v>1.4919352068714468E-3</v>
      </c>
      <c r="AA22" s="29">
        <v>13</v>
      </c>
      <c r="AC22" s="29" t="s">
        <v>28</v>
      </c>
      <c r="AE22" s="29" t="s">
        <v>30</v>
      </c>
    </row>
    <row r="23" spans="1:31" s="29" customFormat="1" x14ac:dyDescent="0.2">
      <c r="A23" s="55" t="s">
        <v>77</v>
      </c>
      <c r="B23" s="56" t="s">
        <v>34</v>
      </c>
      <c r="C23" s="55">
        <v>52026.421000000002</v>
      </c>
      <c r="D23" s="55" t="s">
        <v>66</v>
      </c>
      <c r="E23" s="29">
        <f>+(C23-C$7)/C$8</f>
        <v>-3816.1268023905418</v>
      </c>
      <c r="F23" s="29">
        <f>ROUND(2*E23,0)/2</f>
        <v>-3816</v>
      </c>
      <c r="O23" s="29">
        <f ca="1">+C$11+C$12*F23</f>
        <v>-2.157338942770045E-2</v>
      </c>
      <c r="Q23" s="30">
        <f>+C23-15018.5</f>
        <v>37007.921000000002</v>
      </c>
      <c r="S23" s="29">
        <f ca="1">+(O23-G23)^2</f>
        <v>4.6541113139921756E-4</v>
      </c>
      <c r="U23" s="29">
        <v>1.3254999998025596E-2</v>
      </c>
    </row>
    <row r="24" spans="1:31" s="29" customFormat="1" ht="12.75" customHeight="1" x14ac:dyDescent="0.2">
      <c r="A24" s="33" t="s">
        <v>33</v>
      </c>
      <c r="B24" s="35" t="s">
        <v>34</v>
      </c>
      <c r="C24" s="34">
        <v>52408.461499999998</v>
      </c>
      <c r="D24" s="34">
        <v>1.6999999999999999E-3</v>
      </c>
      <c r="E24" s="29">
        <f>+(C24-C$7)/C$8</f>
        <v>-2534.1418154607195</v>
      </c>
      <c r="F24" s="29">
        <f>ROUND(2*E24,0)/2</f>
        <v>-2534</v>
      </c>
      <c r="G24" s="29">
        <f>+C24-(C$7+F24*C$8)</f>
        <v>-4.2262000002665445E-2</v>
      </c>
      <c r="J24" s="29">
        <f>+G24</f>
        <v>-4.2262000002665445E-2</v>
      </c>
      <c r="O24" s="29">
        <f ca="1">+C$11+C$12*F24</f>
        <v>-3.4328572214678971E-2</v>
      </c>
      <c r="Q24" s="30">
        <f>+C24-15018.5</f>
        <v>37389.961499999998</v>
      </c>
      <c r="S24" s="29">
        <f ca="1">+(O24-G24)^2</f>
        <v>6.2939276467195967E-5</v>
      </c>
    </row>
    <row r="25" spans="1:31" s="29" customFormat="1" x14ac:dyDescent="0.2">
      <c r="A25" s="55" t="s">
        <v>88</v>
      </c>
      <c r="B25" s="56" t="s">
        <v>31</v>
      </c>
      <c r="C25" s="55">
        <v>52427.542000000001</v>
      </c>
      <c r="D25" s="55" t="s">
        <v>66</v>
      </c>
      <c r="E25" s="29">
        <f>+(C25-C$7)/C$8</f>
        <v>-2470.1147959611653</v>
      </c>
      <c r="F25" s="29">
        <f>ROUND(2*E25,0)/2</f>
        <v>-2470</v>
      </c>
      <c r="O25" s="29">
        <f ca="1">+C$11+C$12*F25</f>
        <v>-3.496533640997275E-2</v>
      </c>
      <c r="Q25" s="30">
        <f>+C25-15018.5</f>
        <v>37409.042000000001</v>
      </c>
      <c r="S25" s="29">
        <f ca="1">+(O25-G25)^2</f>
        <v>1.222574750262566E-3</v>
      </c>
      <c r="U25" s="29">
        <v>0.1546539999981178</v>
      </c>
    </row>
    <row r="26" spans="1:31" s="29" customFormat="1" x14ac:dyDescent="0.2">
      <c r="A26" s="55" t="s">
        <v>88</v>
      </c>
      <c r="B26" s="56" t="s">
        <v>34</v>
      </c>
      <c r="C26" s="55">
        <v>52475.516000000003</v>
      </c>
      <c r="D26" s="55" t="s">
        <v>66</v>
      </c>
      <c r="E26" s="29">
        <f>+(C26-C$7)/C$8</f>
        <v>-2309.1320002550178</v>
      </c>
      <c r="F26" s="29">
        <f>ROUND(2*E26,0)/2</f>
        <v>-2309</v>
      </c>
      <c r="O26" s="29">
        <f ca="1">+C$11+C$12*F26</f>
        <v>-3.6567196338758663E-2</v>
      </c>
      <c r="Q26" s="30">
        <f>+C26-15018.5</f>
        <v>37457.016000000003</v>
      </c>
      <c r="S26" s="29">
        <f ca="1">+(O26-G26)^2</f>
        <v>1.337159848077325E-3</v>
      </c>
      <c r="U26" s="29">
        <v>-0.10672499999782303</v>
      </c>
    </row>
    <row r="27" spans="1:31" s="29" customFormat="1" x14ac:dyDescent="0.2">
      <c r="A27" t="str">
        <f>$D$7</f>
        <v>VSX</v>
      </c>
      <c r="B27"/>
      <c r="C27">
        <f>$C$7</f>
        <v>53163.6535</v>
      </c>
      <c r="D27" s="4"/>
      <c r="E27" s="29">
        <f>+(C27-C$7)/C$8</f>
        <v>0</v>
      </c>
      <c r="F27" s="29">
        <f>ROUND(2*E27,0)/2</f>
        <v>0</v>
      </c>
      <c r="G27" s="29">
        <f>+C27-(C$7+F27*C$8)</f>
        <v>0</v>
      </c>
      <c r="K27" s="29">
        <f>+G27</f>
        <v>0</v>
      </c>
      <c r="O27" s="29">
        <f ca="1">+C$11+C$12*F27</f>
        <v>-5.9540454572092047E-2</v>
      </c>
      <c r="Q27" s="30">
        <f>+C27-15018.5</f>
        <v>38145.1535</v>
      </c>
      <c r="S27" s="29">
        <f ca="1">+(O27-G27)^2</f>
        <v>3.5450657306513567E-3</v>
      </c>
      <c r="T27"/>
      <c r="U27"/>
    </row>
    <row r="28" spans="1:31" s="29" customFormat="1" x14ac:dyDescent="0.2">
      <c r="A28" s="34" t="s">
        <v>44</v>
      </c>
      <c r="B28" s="35" t="s">
        <v>34</v>
      </c>
      <c r="C28" s="34">
        <v>54957.912400000001</v>
      </c>
      <c r="D28" s="34">
        <v>8.0000000000000004E-4</v>
      </c>
      <c r="E28" s="29">
        <f>+(C28-C$7)/C$8</f>
        <v>6020.861590499554</v>
      </c>
      <c r="F28" s="29">
        <f>ROUND(2*E28,0)/2</f>
        <v>6021</v>
      </c>
      <c r="G28" s="29">
        <f>+C28-(C$7+F28*C$8)</f>
        <v>-4.1247000001021661E-2</v>
      </c>
      <c r="K28" s="29">
        <f>+G28</f>
        <v>-4.1247000001021661E-2</v>
      </c>
      <c r="O28" s="29">
        <f ca="1">+C$11+C$12*F28</f>
        <v>-0.11944603613246463</v>
      </c>
      <c r="Q28" s="30">
        <f>+C28-15018.5</f>
        <v>39939.412400000001</v>
      </c>
      <c r="S28" s="29">
        <f ca="1">+(O28-G28)^2</f>
        <v>6.1150892518867231E-3</v>
      </c>
    </row>
    <row r="29" spans="1:31" s="29" customFormat="1" x14ac:dyDescent="0.2">
      <c r="A29" s="34" t="s">
        <v>48</v>
      </c>
      <c r="B29" s="35" t="s">
        <v>34</v>
      </c>
      <c r="C29" s="34">
        <v>55723.778200000001</v>
      </c>
      <c r="D29" s="34">
        <v>1.1999999999999999E-3</v>
      </c>
      <c r="E29" s="29">
        <f>+(C29-C$7)/C$8</f>
        <v>8590.8206854201417</v>
      </c>
      <c r="F29" s="39">
        <f>ROUND(2*E29,0)/2+0.5</f>
        <v>8591.5</v>
      </c>
      <c r="G29" s="29">
        <f>+C29-(C$7+F29*C$8)</f>
        <v>-0.20244049999746494</v>
      </c>
      <c r="K29" s="29">
        <f>+G29</f>
        <v>-0.20244049999746494</v>
      </c>
      <c r="O29" s="29">
        <f ca="1">+C$11+C$12*F29</f>
        <v>-0.1450210730700062</v>
      </c>
      <c r="Q29" s="30">
        <f>+C29-15018.5</f>
        <v>40705.278200000001</v>
      </c>
      <c r="S29" s="29">
        <f ca="1">+(O29-G29)^2</f>
        <v>3.2969905886777741E-3</v>
      </c>
    </row>
    <row r="30" spans="1:31" s="29" customFormat="1" x14ac:dyDescent="0.2">
      <c r="A30" s="58" t="s">
        <v>50</v>
      </c>
      <c r="B30" s="59" t="s">
        <v>34</v>
      </c>
      <c r="C30" s="60">
        <v>56047.428489999998</v>
      </c>
      <c r="D30" s="60">
        <v>1E-3</v>
      </c>
      <c r="E30" s="29">
        <f>+(C30-C$7)/C$8</f>
        <v>9676.8699728529791</v>
      </c>
      <c r="F30" s="39">
        <f>ROUND(2*E30,0)/2+0.5</f>
        <v>9677.5</v>
      </c>
      <c r="G30" s="29">
        <f>+C30-(C$7+F30*C$8)</f>
        <v>-0.18775250000180677</v>
      </c>
      <c r="K30" s="29">
        <f>+G30</f>
        <v>-0.18775250000180677</v>
      </c>
      <c r="O30" s="29">
        <f ca="1">+C$11+C$12*F30</f>
        <v>-0.1558261655088975</v>
      </c>
      <c r="Q30" s="30">
        <f>+C30-15018.5</f>
        <v>41028.928489999998</v>
      </c>
      <c r="S30" s="29">
        <f ca="1">+(O30-G30)^2</f>
        <v>1.0192908341531283E-3</v>
      </c>
    </row>
    <row r="31" spans="1:31" s="62" customFormat="1" x14ac:dyDescent="0.2">
      <c r="A31" s="63" t="s">
        <v>112</v>
      </c>
      <c r="B31" s="64" t="s">
        <v>34</v>
      </c>
      <c r="C31" s="65">
        <v>57187.297299999998</v>
      </c>
      <c r="D31" s="65">
        <v>2.0000000000000001E-4</v>
      </c>
      <c r="E31" s="66">
        <f>+(C31-C$7)/C$8</f>
        <v>13501.843245292888</v>
      </c>
      <c r="F31" s="61">
        <f>ROUND(2*E31,0)/2+0.5</f>
        <v>13502.5</v>
      </c>
      <c r="G31" s="66">
        <f>+C31-(C$7+F31*C$8)</f>
        <v>-0.19571750000613974</v>
      </c>
      <c r="H31" s="66"/>
      <c r="I31" s="66"/>
      <c r="J31" s="66"/>
      <c r="K31" s="66">
        <f>+G31</f>
        <v>-0.19571750000613974</v>
      </c>
      <c r="L31" s="66"/>
      <c r="M31" s="66"/>
      <c r="N31" s="66"/>
      <c r="O31" s="66">
        <f ca="1">+C$11+C$12*F31</f>
        <v>-0.19388277561825229</v>
      </c>
      <c r="P31" s="66"/>
      <c r="Q31" s="67">
        <f>+C31-15018.5</f>
        <v>42168.797299999998</v>
      </c>
      <c r="R31" s="66"/>
      <c r="S31" s="66">
        <f ca="1">+(O31-G31)^2</f>
        <v>3.3662135795089934E-6</v>
      </c>
      <c r="T31" s="66"/>
      <c r="U31" s="66"/>
    </row>
    <row r="32" spans="1:31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  <row r="36" spans="4:4" x14ac:dyDescent="0.2">
      <c r="D36" s="4"/>
    </row>
    <row r="37" spans="4:4" x14ac:dyDescent="0.2">
      <c r="D37" s="4"/>
    </row>
    <row r="38" spans="4:4" x14ac:dyDescent="0.2">
      <c r="D38" s="4"/>
    </row>
    <row r="39" spans="4:4" x14ac:dyDescent="0.2">
      <c r="D39" s="4"/>
    </row>
    <row r="40" spans="4:4" x14ac:dyDescent="0.2">
      <c r="D40" s="4"/>
    </row>
    <row r="41" spans="4:4" x14ac:dyDescent="0.2">
      <c r="D41" s="4"/>
    </row>
    <row r="42" spans="4:4" x14ac:dyDescent="0.2">
      <c r="D42" s="4"/>
    </row>
    <row r="43" spans="4:4" x14ac:dyDescent="0.2">
      <c r="D43" s="4"/>
    </row>
    <row r="44" spans="4:4" x14ac:dyDescent="0.2">
      <c r="D44" s="4"/>
    </row>
    <row r="45" spans="4:4" x14ac:dyDescent="0.2">
      <c r="D45" s="4"/>
    </row>
    <row r="46" spans="4:4" x14ac:dyDescent="0.2">
      <c r="D46" s="4"/>
    </row>
  </sheetData>
  <sortState xmlns:xlrd2="http://schemas.microsoft.com/office/spreadsheetml/2017/richdata2" ref="A21:U33">
    <sortCondition ref="C21:C33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C3" sqref="C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24</v>
      </c>
      <c r="B2" s="28" t="s">
        <v>45</v>
      </c>
    </row>
    <row r="3" spans="1:7" ht="13.5" thickBot="1" x14ac:dyDescent="0.25">
      <c r="C3" s="9" t="s">
        <v>54</v>
      </c>
    </row>
    <row r="4" spans="1:7" ht="14.25" thickTop="1" thickBot="1" x14ac:dyDescent="0.25">
      <c r="A4" s="6" t="s">
        <v>0</v>
      </c>
      <c r="C4" s="2">
        <v>41604.252</v>
      </c>
      <c r="D4" s="3">
        <v>0.45887879999999998</v>
      </c>
    </row>
    <row r="5" spans="1:7" x14ac:dyDescent="0.2">
      <c r="C5" s="32" t="s">
        <v>49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41604.252</v>
      </c>
    </row>
    <row r="8" spans="1:7" x14ac:dyDescent="0.2">
      <c r="A8" t="s">
        <v>3</v>
      </c>
      <c r="C8">
        <f>+D4</f>
        <v>0.45887879999999998</v>
      </c>
    </row>
    <row r="9" spans="1:7" x14ac:dyDescent="0.2">
      <c r="A9" s="10" t="s">
        <v>36</v>
      </c>
      <c r="B9" s="11"/>
      <c r="C9" s="12">
        <v>8</v>
      </c>
      <c r="D9" s="11" t="s">
        <v>37</v>
      </c>
      <c r="E9" s="11"/>
    </row>
    <row r="10" spans="1:7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7" x14ac:dyDescent="0.2">
      <c r="A11" s="11" t="s">
        <v>16</v>
      </c>
      <c r="B11" s="11"/>
      <c r="C11" s="13">
        <f ca="1">INTERCEPT(INDIRECT($G$11):G992,INDIRECT($F$11):F992)</f>
        <v>9.8335422305476858E-3</v>
      </c>
      <c r="D11" s="4"/>
      <c r="E11" s="11"/>
      <c r="F11" s="14" t="str">
        <f>"F"&amp;E19</f>
        <v>F21</v>
      </c>
      <c r="G11" s="15" t="str">
        <f>"G"&amp;E19</f>
        <v>G21</v>
      </c>
    </row>
    <row r="12" spans="1:7" x14ac:dyDescent="0.2">
      <c r="A12" s="11" t="s">
        <v>17</v>
      </c>
      <c r="B12" s="11"/>
      <c r="C12" s="13">
        <f ca="1">SLOPE(INDIRECT($G$11):G992,INDIRECT($F$11):F992)</f>
        <v>2.1114154402227438E-7</v>
      </c>
      <c r="D12" s="4"/>
      <c r="E12" s="11"/>
    </row>
    <row r="13" spans="1:7" x14ac:dyDescent="0.2">
      <c r="A13" s="11" t="s">
        <v>19</v>
      </c>
      <c r="B13" s="11"/>
      <c r="C13" s="4" t="s">
        <v>14</v>
      </c>
      <c r="D13" s="18" t="s">
        <v>46</v>
      </c>
      <c r="E13" s="12">
        <v>1</v>
      </c>
    </row>
    <row r="14" spans="1:7" x14ac:dyDescent="0.2">
      <c r="A14" s="11"/>
      <c r="B14" s="11"/>
      <c r="C14" s="11"/>
      <c r="D14" s="18" t="s">
        <v>38</v>
      </c>
      <c r="E14" s="19">
        <f ca="1">NOW()+15018.5+$C$9/24</f>
        <v>60355.412900462965</v>
      </c>
    </row>
    <row r="15" spans="1:7" x14ac:dyDescent="0.2">
      <c r="A15" s="16" t="s">
        <v>18</v>
      </c>
      <c r="B15" s="11"/>
      <c r="C15" s="17">
        <f ca="1">(C7+C11)+(C8+C12)*INT(MAX(F21:F3533))</f>
        <v>56047.478709222327</v>
      </c>
      <c r="D15" s="18" t="s">
        <v>47</v>
      </c>
      <c r="E15" s="19">
        <f ca="1">ROUND(2*(E14-$C$7)/$C$8,0)/2+E13</f>
        <v>40864</v>
      </c>
    </row>
    <row r="16" spans="1:7" x14ac:dyDescent="0.2">
      <c r="A16" s="20" t="s">
        <v>4</v>
      </c>
      <c r="B16" s="11"/>
      <c r="C16" s="21">
        <f ca="1">+C8+C12</f>
        <v>0.458879011141544</v>
      </c>
      <c r="D16" s="18" t="s">
        <v>39</v>
      </c>
      <c r="E16" s="15">
        <f ca="1">ROUND(2*(E14-$C$15)/$C$16,0)/2+E13</f>
        <v>9389</v>
      </c>
    </row>
    <row r="17" spans="1:31" ht="13.5" thickBot="1" x14ac:dyDescent="0.25">
      <c r="A17" s="18" t="s">
        <v>40</v>
      </c>
      <c r="B17" s="11"/>
      <c r="C17" s="11">
        <f>COUNT(C21:C2191)</f>
        <v>6</v>
      </c>
      <c r="D17" s="18" t="s">
        <v>41</v>
      </c>
      <c r="E17" s="22">
        <f ca="1">+$C$15+$C$16*E16-15018.5-$C$9/24</f>
        <v>45337.060411496946</v>
      </c>
    </row>
    <row r="18" spans="1:31" ht="14.25" thickTop="1" thickBot="1" x14ac:dyDescent="0.25">
      <c r="A18" s="20" t="s">
        <v>5</v>
      </c>
      <c r="B18" s="11"/>
      <c r="C18" s="23">
        <f ca="1">+C15</f>
        <v>56047.478709222327</v>
      </c>
      <c r="D18" s="24">
        <f ca="1">+C16</f>
        <v>0.458879011141544</v>
      </c>
      <c r="E18" s="25" t="s">
        <v>42</v>
      </c>
      <c r="S18" t="s">
        <v>53</v>
      </c>
    </row>
    <row r="19" spans="1:31" ht="13.5" thickTop="1" x14ac:dyDescent="0.2">
      <c r="A19" s="26" t="s">
        <v>43</v>
      </c>
      <c r="E19" s="27">
        <v>21</v>
      </c>
      <c r="S19">
        <f ca="1">SQRT(SUM(S21:S42)/(COUNT(S21:S42)-1))</f>
        <v>7.0237196280431749E-2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32</v>
      </c>
      <c r="J20" s="8" t="s">
        <v>35</v>
      </c>
      <c r="K20" s="8" t="s">
        <v>51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s="29" customFormat="1" ht="12.75" customHeight="1" x14ac:dyDescent="0.2">
      <c r="A21" s="33" t="s">
        <v>12</v>
      </c>
      <c r="B21" s="33"/>
      <c r="C21" s="34">
        <v>41604.252</v>
      </c>
      <c r="D21" s="34" t="s">
        <v>14</v>
      </c>
      <c r="E21" s="29">
        <f t="shared" ref="E21:E26" si="0">+(C21-C$7)/C$8</f>
        <v>0</v>
      </c>
      <c r="F21" s="29">
        <f t="shared" ref="F21:F26" si="1">ROUND(2*E21,0)/2</f>
        <v>0</v>
      </c>
      <c r="G21" s="29">
        <f t="shared" ref="G21:G26" si="2">+C21-(C$7+F21*C$8)</f>
        <v>0</v>
      </c>
      <c r="H21" s="29">
        <f>+G21</f>
        <v>0</v>
      </c>
      <c r="O21" s="29">
        <f t="shared" ref="O21:O26" ca="1" si="3">+C$11+C$12*F21</f>
        <v>9.8335422305476858E-3</v>
      </c>
      <c r="Q21" s="30">
        <f t="shared" ref="Q21:Q26" si="4">+C21-15018.5</f>
        <v>26585.752</v>
      </c>
      <c r="S21" s="29">
        <f t="shared" ref="S21:S26" ca="1" si="5">+(O21-G21)^2</f>
        <v>9.6698552799964754E-5</v>
      </c>
    </row>
    <row r="22" spans="1:31" s="29" customFormat="1" ht="12.75" customHeight="1" x14ac:dyDescent="0.2">
      <c r="A22" s="33" t="s">
        <v>29</v>
      </c>
      <c r="B22" s="35" t="s">
        <v>31</v>
      </c>
      <c r="C22" s="34">
        <v>50570.385000000002</v>
      </c>
      <c r="D22" s="34">
        <v>2E-3</v>
      </c>
      <c r="E22" s="29">
        <f t="shared" si="0"/>
        <v>19539.218198792365</v>
      </c>
      <c r="F22" s="29">
        <f t="shared" si="1"/>
        <v>19539</v>
      </c>
      <c r="G22" s="29">
        <f t="shared" si="2"/>
        <v>0.10012680000363616</v>
      </c>
      <c r="I22" s="29">
        <f>+G22</f>
        <v>0.10012680000363616</v>
      </c>
      <c r="O22" s="29">
        <f t="shared" ca="1" si="3"/>
        <v>1.3959036859198904E-2</v>
      </c>
      <c r="Q22" s="30">
        <f t="shared" si="4"/>
        <v>35551.885000000002</v>
      </c>
      <c r="S22" s="29">
        <f t="shared" ca="1" si="5"/>
        <v>7.424883405315841E-3</v>
      </c>
      <c r="AA22" s="29">
        <v>13</v>
      </c>
      <c r="AC22" s="29" t="s">
        <v>28</v>
      </c>
      <c r="AE22" s="29" t="s">
        <v>30</v>
      </c>
    </row>
    <row r="23" spans="1:31" s="29" customFormat="1" ht="12.75" customHeight="1" x14ac:dyDescent="0.2">
      <c r="A23" s="33" t="s">
        <v>33</v>
      </c>
      <c r="B23" s="35" t="s">
        <v>34</v>
      </c>
      <c r="C23" s="34">
        <v>52408.461499999998</v>
      </c>
      <c r="D23" s="34">
        <v>1.6999999999999999E-3</v>
      </c>
      <c r="E23" s="29">
        <f t="shared" si="0"/>
        <v>23544.799846931255</v>
      </c>
      <c r="F23" s="29">
        <f t="shared" si="1"/>
        <v>23545</v>
      </c>
      <c r="G23" s="29">
        <f t="shared" si="2"/>
        <v>-9.1846000002988148E-2</v>
      </c>
      <c r="J23" s="29">
        <f>+G23</f>
        <v>-9.1846000002988148E-2</v>
      </c>
      <c r="O23" s="29">
        <f t="shared" ca="1" si="3"/>
        <v>1.4804869884552136E-2</v>
      </c>
      <c r="Q23" s="30">
        <f t="shared" si="4"/>
        <v>37389.961499999998</v>
      </c>
      <c r="S23" s="29">
        <f t="shared" ca="1" si="5"/>
        <v>1.1374408047769048E-2</v>
      </c>
    </row>
    <row r="24" spans="1:31" s="29" customFormat="1" x14ac:dyDescent="0.2">
      <c r="A24" s="34" t="s">
        <v>44</v>
      </c>
      <c r="B24" s="35" t="s">
        <v>34</v>
      </c>
      <c r="C24" s="34">
        <v>54957.912400000001</v>
      </c>
      <c r="D24" s="34">
        <v>8.0000000000000004E-4</v>
      </c>
      <c r="E24" s="29">
        <f t="shared" si="0"/>
        <v>29100.626134831247</v>
      </c>
      <c r="F24" s="29">
        <f t="shared" si="1"/>
        <v>29100.5</v>
      </c>
      <c r="G24" s="29">
        <f t="shared" si="2"/>
        <v>5.7880599997588433E-2</v>
      </c>
      <c r="J24" s="29">
        <f>+G24</f>
        <v>5.7880599997588433E-2</v>
      </c>
      <c r="O24" s="29">
        <f t="shared" ca="1" si="3"/>
        <v>1.5977866732367882E-2</v>
      </c>
      <c r="Q24" s="30">
        <f t="shared" si="4"/>
        <v>39939.412400000001</v>
      </c>
      <c r="S24" s="29">
        <f t="shared" ca="1" si="5"/>
        <v>1.7558390550962209E-3</v>
      </c>
    </row>
    <row r="25" spans="1:31" s="29" customFormat="1" x14ac:dyDescent="0.2">
      <c r="A25" s="34" t="s">
        <v>48</v>
      </c>
      <c r="B25" s="35" t="s">
        <v>34</v>
      </c>
      <c r="C25" s="34">
        <v>55723.778200000001</v>
      </c>
      <c r="D25" s="34">
        <v>1.1999999999999999E-3</v>
      </c>
      <c r="E25" s="29">
        <f t="shared" si="0"/>
        <v>30769.61977759705</v>
      </c>
      <c r="F25" s="29">
        <f t="shared" si="1"/>
        <v>30769.5</v>
      </c>
      <c r="G25" s="29">
        <f t="shared" si="2"/>
        <v>5.4963400005362928E-2</v>
      </c>
      <c r="J25" s="29">
        <f>+G25</f>
        <v>5.4963400005362928E-2</v>
      </c>
      <c r="O25" s="29">
        <f t="shared" ca="1" si="3"/>
        <v>1.6330261969341058E-2</v>
      </c>
      <c r="Q25" s="30">
        <f t="shared" si="4"/>
        <v>40705.278200000001</v>
      </c>
      <c r="S25" s="29">
        <f t="shared" ca="1" si="5"/>
        <v>1.4925193545103198E-3</v>
      </c>
    </row>
    <row r="26" spans="1:31" s="29" customFormat="1" x14ac:dyDescent="0.2">
      <c r="A26" s="36" t="s">
        <v>50</v>
      </c>
      <c r="B26" s="37" t="s">
        <v>34</v>
      </c>
      <c r="C26" s="38">
        <v>56047.428489999998</v>
      </c>
      <c r="D26" s="38">
        <v>1E-3</v>
      </c>
      <c r="E26" s="29">
        <f t="shared" si="0"/>
        <v>31474.926472959742</v>
      </c>
      <c r="F26" s="29">
        <f t="shared" si="1"/>
        <v>31475</v>
      </c>
      <c r="G26" s="29">
        <f t="shared" si="2"/>
        <v>-3.3739999998942949E-2</v>
      </c>
      <c r="K26" s="29">
        <f>+G26</f>
        <v>-3.3739999998942949E-2</v>
      </c>
      <c r="O26" s="29">
        <f t="shared" ca="1" si="3"/>
        <v>1.6479222328648773E-2</v>
      </c>
      <c r="Q26" s="30">
        <f t="shared" si="4"/>
        <v>41028.928489999998</v>
      </c>
      <c r="S26" s="29">
        <f t="shared" ca="1" si="5"/>
        <v>2.5219702911880872E-3</v>
      </c>
    </row>
    <row r="27" spans="1:31" s="29" customFormat="1" x14ac:dyDescent="0.2">
      <c r="D27" s="31"/>
      <c r="Q27" s="30"/>
    </row>
    <row r="28" spans="1:31" s="29" customFormat="1" x14ac:dyDescent="0.2">
      <c r="D28" s="31"/>
    </row>
    <row r="29" spans="1:31" s="29" customFormat="1" x14ac:dyDescent="0.2">
      <c r="D29" s="31"/>
    </row>
    <row r="30" spans="1:31" s="29" customFormat="1" x14ac:dyDescent="0.2">
      <c r="D30" s="31"/>
    </row>
    <row r="31" spans="1:31" x14ac:dyDescent="0.2">
      <c r="D31" s="4"/>
    </row>
    <row r="32" spans="1:31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  <row r="36" spans="4:4" x14ac:dyDescent="0.2">
      <c r="D36" s="4"/>
    </row>
    <row r="37" spans="4:4" x14ac:dyDescent="0.2">
      <c r="D37" s="4"/>
    </row>
    <row r="38" spans="4:4" x14ac:dyDescent="0.2">
      <c r="D38" s="4"/>
    </row>
    <row r="39" spans="4:4" x14ac:dyDescent="0.2">
      <c r="D39" s="4"/>
    </row>
    <row r="40" spans="4:4" x14ac:dyDescent="0.2">
      <c r="D40" s="4"/>
    </row>
    <row r="41" spans="4:4" x14ac:dyDescent="0.2">
      <c r="D41" s="4"/>
    </row>
    <row r="42" spans="4:4" x14ac:dyDescent="0.2">
      <c r="D42" s="4"/>
    </row>
    <row r="43" spans="4:4" x14ac:dyDescent="0.2">
      <c r="D43" s="4"/>
    </row>
    <row r="44" spans="4:4" x14ac:dyDescent="0.2">
      <c r="D44" s="4"/>
    </row>
    <row r="45" spans="4:4" x14ac:dyDescent="0.2">
      <c r="D45" s="4"/>
    </row>
    <row r="46" spans="4:4" x14ac:dyDescent="0.2">
      <c r="D46" s="4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workbookViewId="0">
      <selection activeCell="A16" sqref="A16:D18"/>
    </sheetView>
  </sheetViews>
  <sheetFormatPr defaultRowHeight="12.75" x14ac:dyDescent="0.2"/>
  <cols>
    <col min="1" max="1" width="19.7109375" style="42" customWidth="1"/>
    <col min="2" max="2" width="4.42578125" style="11" customWidth="1"/>
    <col min="3" max="3" width="12.7109375" style="4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4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1" t="s">
        <v>56</v>
      </c>
      <c r="I1" s="43" t="s">
        <v>57</v>
      </c>
      <c r="J1" s="44" t="s">
        <v>58</v>
      </c>
    </row>
    <row r="2" spans="1:16" x14ac:dyDescent="0.2">
      <c r="I2" s="45" t="s">
        <v>59</v>
      </c>
      <c r="J2" s="46" t="s">
        <v>60</v>
      </c>
    </row>
    <row r="3" spans="1:16" x14ac:dyDescent="0.2">
      <c r="A3" s="47" t="s">
        <v>61</v>
      </c>
      <c r="I3" s="45" t="s">
        <v>62</v>
      </c>
      <c r="J3" s="46" t="s">
        <v>63</v>
      </c>
    </row>
    <row r="4" spans="1:16" x14ac:dyDescent="0.2">
      <c r="I4" s="45" t="s">
        <v>64</v>
      </c>
      <c r="J4" s="46" t="s">
        <v>63</v>
      </c>
    </row>
    <row r="5" spans="1:16" ht="13.5" thickBot="1" x14ac:dyDescent="0.25">
      <c r="I5" s="48" t="s">
        <v>65</v>
      </c>
      <c r="J5" s="49" t="s">
        <v>66</v>
      </c>
    </row>
    <row r="10" spans="1:16" ht="13.5" thickBot="1" x14ac:dyDescent="0.25"/>
    <row r="11" spans="1:16" ht="12.75" customHeight="1" thickBot="1" x14ac:dyDescent="0.25">
      <c r="A11" s="42" t="str">
        <f t="shared" ref="A11:A18" si="0">P11</f>
        <v> BBS 115 </v>
      </c>
      <c r="B11" s="4" t="str">
        <f t="shared" ref="B11:B18" si="1">IF(H11=INT(H11),"I","II")</f>
        <v>I</v>
      </c>
      <c r="C11" s="42">
        <f t="shared" ref="C11:C18" si="2">1*G11</f>
        <v>50570.385000000002</v>
      </c>
      <c r="D11" s="11" t="str">
        <f t="shared" ref="D11:D18" si="3">VLOOKUP(F11,I$1:J$5,2,FALSE)</f>
        <v>vis</v>
      </c>
      <c r="E11" s="50">
        <f>VLOOKUP(C11,Active!C$21:E$973,3,FALSE)</f>
        <v>-8702.038878281377</v>
      </c>
      <c r="F11" s="4" t="s">
        <v>65</v>
      </c>
      <c r="G11" s="11" t="str">
        <f t="shared" ref="G11:G18" si="4">MID(I11,3,LEN(I11)-3)</f>
        <v>50570.385</v>
      </c>
      <c r="H11" s="42">
        <f t="shared" ref="H11:H18" si="5">1*K11</f>
        <v>19539</v>
      </c>
      <c r="I11" s="51" t="s">
        <v>67</v>
      </c>
      <c r="J11" s="52" t="s">
        <v>68</v>
      </c>
      <c r="K11" s="51">
        <v>19539</v>
      </c>
      <c r="L11" s="51" t="s">
        <v>69</v>
      </c>
      <c r="M11" s="52" t="s">
        <v>70</v>
      </c>
      <c r="N11" s="52" t="s">
        <v>71</v>
      </c>
      <c r="O11" s="53" t="s">
        <v>72</v>
      </c>
      <c r="P11" s="53" t="s">
        <v>73</v>
      </c>
    </row>
    <row r="12" spans="1:16" ht="12.75" customHeight="1" thickBot="1" x14ac:dyDescent="0.25">
      <c r="A12" s="42" t="str">
        <f t="shared" si="0"/>
        <v>BAVM 158 </v>
      </c>
      <c r="B12" s="4" t="str">
        <f t="shared" si="1"/>
        <v>I</v>
      </c>
      <c r="C12" s="42">
        <f t="shared" si="2"/>
        <v>52408.461499999998</v>
      </c>
      <c r="D12" s="11" t="str">
        <f t="shared" si="3"/>
        <v>vis</v>
      </c>
      <c r="E12" s="50">
        <f>VLOOKUP(C12,Active!C$21:E$973,3,FALSE)</f>
        <v>-2534.1418154607195</v>
      </c>
      <c r="F12" s="4" t="s">
        <v>65</v>
      </c>
      <c r="G12" s="11" t="str">
        <f t="shared" si="4"/>
        <v>52408.4615</v>
      </c>
      <c r="H12" s="42">
        <f t="shared" si="5"/>
        <v>23545</v>
      </c>
      <c r="I12" s="51" t="s">
        <v>78</v>
      </c>
      <c r="J12" s="52" t="s">
        <v>79</v>
      </c>
      <c r="K12" s="51">
        <v>23545</v>
      </c>
      <c r="L12" s="51" t="s">
        <v>80</v>
      </c>
      <c r="M12" s="52" t="s">
        <v>70</v>
      </c>
      <c r="N12" s="52" t="s">
        <v>81</v>
      </c>
      <c r="O12" s="53" t="s">
        <v>82</v>
      </c>
      <c r="P12" s="54" t="s">
        <v>83</v>
      </c>
    </row>
    <row r="13" spans="1:16" ht="12.75" customHeight="1" thickBot="1" x14ac:dyDescent="0.25">
      <c r="A13" s="42" t="str">
        <f t="shared" si="0"/>
        <v>IBVS 5894 </v>
      </c>
      <c r="B13" s="4" t="str">
        <f t="shared" si="1"/>
        <v>I</v>
      </c>
      <c r="C13" s="42">
        <f t="shared" si="2"/>
        <v>54957.912400000001</v>
      </c>
      <c r="D13" s="11" t="str">
        <f t="shared" si="3"/>
        <v>vis</v>
      </c>
      <c r="E13" s="50">
        <f>VLOOKUP(C13,Active!C$21:E$973,3,FALSE)</f>
        <v>6020.861590499554</v>
      </c>
      <c r="F13" s="4" t="s">
        <v>65</v>
      </c>
      <c r="G13" s="11" t="str">
        <f t="shared" si="4"/>
        <v>54957.9124</v>
      </c>
      <c r="H13" s="42">
        <f t="shared" si="5"/>
        <v>29101</v>
      </c>
      <c r="I13" s="51" t="s">
        <v>94</v>
      </c>
      <c r="J13" s="52" t="s">
        <v>95</v>
      </c>
      <c r="K13" s="51" t="s">
        <v>96</v>
      </c>
      <c r="L13" s="51" t="s">
        <v>97</v>
      </c>
      <c r="M13" s="52" t="s">
        <v>98</v>
      </c>
      <c r="N13" s="52" t="s">
        <v>65</v>
      </c>
      <c r="O13" s="53" t="s">
        <v>72</v>
      </c>
      <c r="P13" s="54" t="s">
        <v>99</v>
      </c>
    </row>
    <row r="14" spans="1:16" ht="12.75" customHeight="1" thickBot="1" x14ac:dyDescent="0.25">
      <c r="A14" s="42" t="str">
        <f t="shared" si="0"/>
        <v>IBVS 5992 </v>
      </c>
      <c r="B14" s="4" t="str">
        <f t="shared" si="1"/>
        <v>I</v>
      </c>
      <c r="C14" s="42">
        <f t="shared" si="2"/>
        <v>55723.778200000001</v>
      </c>
      <c r="D14" s="11" t="str">
        <f t="shared" si="3"/>
        <v>vis</v>
      </c>
      <c r="E14" s="50">
        <f>VLOOKUP(C14,Active!C$21:E$973,3,FALSE)</f>
        <v>8590.8206854201417</v>
      </c>
      <c r="F14" s="4" t="s">
        <v>65</v>
      </c>
      <c r="G14" s="11" t="str">
        <f t="shared" si="4"/>
        <v>55723.7782</v>
      </c>
      <c r="H14" s="42">
        <f t="shared" si="5"/>
        <v>30770</v>
      </c>
      <c r="I14" s="51" t="s">
        <v>100</v>
      </c>
      <c r="J14" s="52" t="s">
        <v>101</v>
      </c>
      <c r="K14" s="51" t="s">
        <v>102</v>
      </c>
      <c r="L14" s="51" t="s">
        <v>103</v>
      </c>
      <c r="M14" s="52" t="s">
        <v>98</v>
      </c>
      <c r="N14" s="52" t="s">
        <v>65</v>
      </c>
      <c r="O14" s="53" t="s">
        <v>72</v>
      </c>
      <c r="P14" s="54" t="s">
        <v>104</v>
      </c>
    </row>
    <row r="15" spans="1:16" ht="12.75" customHeight="1" thickBot="1" x14ac:dyDescent="0.25">
      <c r="A15" s="42" t="str">
        <f t="shared" si="0"/>
        <v>OEJV 0160 </v>
      </c>
      <c r="B15" s="4" t="str">
        <f t="shared" si="1"/>
        <v>II</v>
      </c>
      <c r="C15" s="42">
        <f t="shared" si="2"/>
        <v>56047.428489999998</v>
      </c>
      <c r="D15" s="11" t="str">
        <f t="shared" si="3"/>
        <v>vis</v>
      </c>
      <c r="E15" s="50">
        <f>VLOOKUP(C15,Active!C$21:E$973,3,FALSE)</f>
        <v>9676.8699728529791</v>
      </c>
      <c r="F15" s="4" t="s">
        <v>65</v>
      </c>
      <c r="G15" s="11" t="str">
        <f t="shared" si="4"/>
        <v>56047.42849</v>
      </c>
      <c r="H15" s="42">
        <f t="shared" si="5"/>
        <v>31475.5</v>
      </c>
      <c r="I15" s="51" t="s">
        <v>105</v>
      </c>
      <c r="J15" s="52" t="s">
        <v>106</v>
      </c>
      <c r="K15" s="51" t="s">
        <v>107</v>
      </c>
      <c r="L15" s="51" t="s">
        <v>108</v>
      </c>
      <c r="M15" s="52" t="s">
        <v>98</v>
      </c>
      <c r="N15" s="52" t="s">
        <v>57</v>
      </c>
      <c r="O15" s="53" t="s">
        <v>109</v>
      </c>
      <c r="P15" s="54" t="s">
        <v>110</v>
      </c>
    </row>
    <row r="16" spans="1:16" ht="12.75" customHeight="1" thickBot="1" x14ac:dyDescent="0.25">
      <c r="A16" s="42" t="str">
        <f t="shared" si="0"/>
        <v> BBS 125 </v>
      </c>
      <c r="B16" s="4" t="str">
        <f t="shared" si="1"/>
        <v>I</v>
      </c>
      <c r="C16" s="42">
        <f t="shared" si="2"/>
        <v>52026.421000000002</v>
      </c>
      <c r="D16" s="11" t="str">
        <f t="shared" si="3"/>
        <v>vis</v>
      </c>
      <c r="E16" s="50">
        <f>VLOOKUP(C16,Active!C$21:E$973,3,FALSE)</f>
        <v>-3816.1268023905418</v>
      </c>
      <c r="F16" s="4" t="s">
        <v>65</v>
      </c>
      <c r="G16" s="11" t="str">
        <f t="shared" si="4"/>
        <v>52026.421</v>
      </c>
      <c r="H16" s="42">
        <f t="shared" si="5"/>
        <v>22712</v>
      </c>
      <c r="I16" s="51" t="s">
        <v>74</v>
      </c>
      <c r="J16" s="52" t="s">
        <v>75</v>
      </c>
      <c r="K16" s="51">
        <v>22712</v>
      </c>
      <c r="L16" s="51" t="s">
        <v>76</v>
      </c>
      <c r="M16" s="52" t="s">
        <v>70</v>
      </c>
      <c r="N16" s="52" t="s">
        <v>71</v>
      </c>
      <c r="O16" s="53" t="s">
        <v>72</v>
      </c>
      <c r="P16" s="53" t="s">
        <v>77</v>
      </c>
    </row>
    <row r="17" spans="1:16" ht="12.75" customHeight="1" thickBot="1" x14ac:dyDescent="0.25">
      <c r="A17" s="42" t="str">
        <f t="shared" si="0"/>
        <v> BBS 128 </v>
      </c>
      <c r="B17" s="4" t="str">
        <f t="shared" si="1"/>
        <v>II</v>
      </c>
      <c r="C17" s="42">
        <f t="shared" si="2"/>
        <v>52427.542000000001</v>
      </c>
      <c r="D17" s="11" t="str">
        <f t="shared" si="3"/>
        <v>vis</v>
      </c>
      <c r="E17" s="50">
        <f>VLOOKUP(C17,Active!C$21:E$973,3,FALSE)</f>
        <v>-2470.1147959611653</v>
      </c>
      <c r="F17" s="4" t="s">
        <v>65</v>
      </c>
      <c r="G17" s="11" t="str">
        <f t="shared" si="4"/>
        <v>52427.542</v>
      </c>
      <c r="H17" s="42">
        <f t="shared" si="5"/>
        <v>23586.5</v>
      </c>
      <c r="I17" s="51" t="s">
        <v>84</v>
      </c>
      <c r="J17" s="52" t="s">
        <v>85</v>
      </c>
      <c r="K17" s="51" t="s">
        <v>86</v>
      </c>
      <c r="L17" s="51" t="s">
        <v>87</v>
      </c>
      <c r="M17" s="52" t="s">
        <v>70</v>
      </c>
      <c r="N17" s="52" t="s">
        <v>71</v>
      </c>
      <c r="O17" s="53" t="s">
        <v>72</v>
      </c>
      <c r="P17" s="53" t="s">
        <v>88</v>
      </c>
    </row>
    <row r="18" spans="1:16" ht="12.75" customHeight="1" thickBot="1" x14ac:dyDescent="0.25">
      <c r="A18" s="42" t="str">
        <f t="shared" si="0"/>
        <v> BBS 128 </v>
      </c>
      <c r="B18" s="4" t="str">
        <f t="shared" si="1"/>
        <v>I</v>
      </c>
      <c r="C18" s="42">
        <f t="shared" si="2"/>
        <v>52475.516000000003</v>
      </c>
      <c r="D18" s="11" t="str">
        <f t="shared" si="3"/>
        <v>vis</v>
      </c>
      <c r="E18" s="50">
        <f>VLOOKUP(C18,Active!C$21:E$973,3,FALSE)</f>
        <v>-2309.1320002550178</v>
      </c>
      <c r="F18" s="4" t="s">
        <v>65</v>
      </c>
      <c r="G18" s="11" t="str">
        <f t="shared" si="4"/>
        <v>52475.516</v>
      </c>
      <c r="H18" s="42">
        <f t="shared" si="5"/>
        <v>23691</v>
      </c>
      <c r="I18" s="51" t="s">
        <v>89</v>
      </c>
      <c r="J18" s="52" t="s">
        <v>90</v>
      </c>
      <c r="K18" s="51" t="s">
        <v>91</v>
      </c>
      <c r="L18" s="51" t="s">
        <v>92</v>
      </c>
      <c r="M18" s="52" t="s">
        <v>70</v>
      </c>
      <c r="N18" s="52" t="s">
        <v>71</v>
      </c>
      <c r="O18" s="53" t="s">
        <v>93</v>
      </c>
      <c r="P18" s="53" t="s">
        <v>88</v>
      </c>
    </row>
    <row r="19" spans="1:16" x14ac:dyDescent="0.2">
      <c r="B19" s="4"/>
      <c r="E19" s="50"/>
      <c r="F19" s="4"/>
    </row>
    <row r="20" spans="1:16" x14ac:dyDescent="0.2">
      <c r="B20" s="4"/>
      <c r="E20" s="50"/>
      <c r="F20" s="4"/>
    </row>
    <row r="21" spans="1:16" x14ac:dyDescent="0.2">
      <c r="B21" s="4"/>
      <c r="E21" s="50"/>
      <c r="F21" s="4"/>
    </row>
    <row r="22" spans="1:16" x14ac:dyDescent="0.2">
      <c r="B22" s="4"/>
      <c r="E22" s="50"/>
      <c r="F22" s="4"/>
    </row>
    <row r="23" spans="1:16" x14ac:dyDescent="0.2">
      <c r="B23" s="4"/>
      <c r="E23" s="50"/>
      <c r="F23" s="4"/>
    </row>
    <row r="24" spans="1:16" x14ac:dyDescent="0.2">
      <c r="B24" s="4"/>
      <c r="E24" s="50"/>
      <c r="F24" s="4"/>
    </row>
    <row r="25" spans="1:16" x14ac:dyDescent="0.2">
      <c r="B25" s="4"/>
      <c r="E25" s="50"/>
      <c r="F25" s="4"/>
    </row>
    <row r="26" spans="1:16" x14ac:dyDescent="0.2">
      <c r="B26" s="4"/>
      <c r="E26" s="50"/>
      <c r="F26" s="4"/>
    </row>
    <row r="27" spans="1:16" x14ac:dyDescent="0.2">
      <c r="B27" s="4"/>
      <c r="E27" s="50"/>
      <c r="F27" s="4"/>
    </row>
    <row r="28" spans="1:16" x14ac:dyDescent="0.2">
      <c r="B28" s="4"/>
      <c r="E28" s="50"/>
      <c r="F28" s="4"/>
    </row>
    <row r="29" spans="1:16" x14ac:dyDescent="0.2">
      <c r="B29" s="4"/>
      <c r="E29" s="50"/>
      <c r="F29" s="4"/>
    </row>
    <row r="30" spans="1:16" x14ac:dyDescent="0.2">
      <c r="B30" s="4"/>
      <c r="E30" s="50"/>
      <c r="F30" s="4"/>
    </row>
    <row r="31" spans="1:16" x14ac:dyDescent="0.2">
      <c r="B31" s="4"/>
      <c r="E31" s="50"/>
      <c r="F31" s="4"/>
    </row>
    <row r="32" spans="1:16" x14ac:dyDescent="0.2">
      <c r="B32" s="4"/>
      <c r="E32" s="50"/>
      <c r="F32" s="4"/>
    </row>
    <row r="33" spans="2:6" x14ac:dyDescent="0.2">
      <c r="B33" s="4"/>
      <c r="E33" s="50"/>
      <c r="F33" s="4"/>
    </row>
    <row r="34" spans="2:6" x14ac:dyDescent="0.2">
      <c r="B34" s="4"/>
      <c r="E34" s="50"/>
      <c r="F34" s="4"/>
    </row>
    <row r="35" spans="2:6" x14ac:dyDescent="0.2">
      <c r="B35" s="4"/>
      <c r="E35" s="50"/>
      <c r="F35" s="4"/>
    </row>
    <row r="36" spans="2:6" x14ac:dyDescent="0.2">
      <c r="B36" s="4"/>
      <c r="E36" s="50"/>
      <c r="F36" s="4"/>
    </row>
    <row r="37" spans="2:6" x14ac:dyDescent="0.2">
      <c r="B37" s="4"/>
      <c r="E37" s="50"/>
      <c r="F37" s="4"/>
    </row>
    <row r="38" spans="2:6" x14ac:dyDescent="0.2">
      <c r="B38" s="4"/>
      <c r="E38" s="50"/>
      <c r="F38" s="4"/>
    </row>
    <row r="39" spans="2:6" x14ac:dyDescent="0.2">
      <c r="B39" s="4"/>
      <c r="E39" s="50"/>
      <c r="F39" s="4"/>
    </row>
    <row r="40" spans="2:6" x14ac:dyDescent="0.2">
      <c r="B40" s="4"/>
      <c r="E40" s="50"/>
      <c r="F40" s="4"/>
    </row>
    <row r="41" spans="2:6" x14ac:dyDescent="0.2">
      <c r="B41" s="4"/>
      <c r="E41" s="50"/>
      <c r="F41" s="4"/>
    </row>
    <row r="42" spans="2:6" x14ac:dyDescent="0.2">
      <c r="B42" s="4"/>
      <c r="E42" s="50"/>
      <c r="F42" s="4"/>
    </row>
    <row r="43" spans="2:6" x14ac:dyDescent="0.2">
      <c r="B43" s="4"/>
      <c r="E43" s="50"/>
      <c r="F43" s="4"/>
    </row>
    <row r="44" spans="2:6" x14ac:dyDescent="0.2">
      <c r="B44" s="4"/>
      <c r="E44" s="50"/>
      <c r="F44" s="4"/>
    </row>
    <row r="45" spans="2:6" x14ac:dyDescent="0.2">
      <c r="B45" s="4"/>
      <c r="E45" s="50"/>
      <c r="F45" s="4"/>
    </row>
    <row r="46" spans="2:6" x14ac:dyDescent="0.2">
      <c r="B46" s="4"/>
      <c r="E46" s="50"/>
      <c r="F46" s="4"/>
    </row>
    <row r="47" spans="2:6" x14ac:dyDescent="0.2">
      <c r="B47" s="4"/>
      <c r="E47" s="50"/>
      <c r="F47" s="4"/>
    </row>
    <row r="48" spans="2:6" x14ac:dyDescent="0.2">
      <c r="B48" s="4"/>
      <c r="E48" s="50"/>
      <c r="F48" s="4"/>
    </row>
    <row r="49" spans="2:6" x14ac:dyDescent="0.2">
      <c r="B49" s="4"/>
      <c r="E49" s="50"/>
      <c r="F49" s="4"/>
    </row>
    <row r="50" spans="2:6" x14ac:dyDescent="0.2">
      <c r="B50" s="4"/>
      <c r="E50" s="50"/>
      <c r="F50" s="4"/>
    </row>
    <row r="51" spans="2:6" x14ac:dyDescent="0.2">
      <c r="B51" s="4"/>
      <c r="E51" s="50"/>
      <c r="F51" s="4"/>
    </row>
    <row r="52" spans="2:6" x14ac:dyDescent="0.2">
      <c r="B52" s="4"/>
      <c r="E52" s="50"/>
      <c r="F52" s="4"/>
    </row>
    <row r="53" spans="2:6" x14ac:dyDescent="0.2">
      <c r="B53" s="4"/>
      <c r="E53" s="50"/>
      <c r="F53" s="4"/>
    </row>
    <row r="54" spans="2:6" x14ac:dyDescent="0.2">
      <c r="B54" s="4"/>
      <c r="E54" s="50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</sheetData>
  <phoneticPr fontId="7" type="noConversion"/>
  <hyperlinks>
    <hyperlink ref="P12" r:id="rId1" display="http://www.bav-astro.de/sfs/BAVM_link.php?BAVMnr=158"/>
    <hyperlink ref="P13" r:id="rId2" display="http://www.konkoly.hu/cgi-bin/IBVS?5894"/>
    <hyperlink ref="P14" r:id="rId3" display="http://www.konkoly.hu/cgi-bin/IBVS?5992"/>
    <hyperlink ref="P15" r:id="rId4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2024-02-14T03:24:34Z</dcterms:modified>
</cp:coreProperties>
</file>