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47F4D2D-9972-4898-80E9-56356F144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14" r:id="rId2"/>
    <sheet name="Q_fit" sheetId="8" r:id="rId3"/>
    <sheet name="Q_fit_old" sheetId="5" r:id="rId4"/>
    <sheet name="A (2)" sheetId="6" r:id="rId5"/>
    <sheet name="Q_fit (2)" sheetId="7" r:id="rId6"/>
    <sheet name="A (3)" sheetId="9" r:id="rId7"/>
    <sheet name="A (4)" sheetId="10" r:id="rId8"/>
    <sheet name="BAV" sheetId="12" r:id="rId9"/>
    <sheet name="O-C Gateway" sheetId="11" r:id="rId10"/>
    <sheet name="A (old)" sheetId="13" r:id="rId11"/>
  </sheets>
  <definedNames>
    <definedName name="solver_adj" localSheetId="4" hidden="1">'A (2)'!$E$11:$E$13</definedName>
    <definedName name="solver_adj" localSheetId="6" hidden="1">'A (3)'!$E$11:$E$13</definedName>
    <definedName name="solver_adj" localSheetId="7" hidden="1">'A (4)'!$U$2:$U$5</definedName>
    <definedName name="solver_adj" localSheetId="10" hidden="1">'A (old)'!$E$11:$E$13</definedName>
    <definedName name="solver_adj" localSheetId="0" hidden="1">'Active 1'!$E$11:$E$13</definedName>
    <definedName name="solver_cvg" localSheetId="4" hidden="1">0.001</definedName>
    <definedName name="solver_cvg" localSheetId="6" hidden="1">0.001</definedName>
    <definedName name="solver_cvg" localSheetId="7" hidden="1">0.001</definedName>
    <definedName name="solver_cvg" localSheetId="10" hidden="1">0.001</definedName>
    <definedName name="solver_cvg" localSheetId="0" hidden="1">0.001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drv" localSheetId="10" hidden="1">1</definedName>
    <definedName name="solver_drv" localSheetId="0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est" localSheetId="10" hidden="1">1</definedName>
    <definedName name="solver_est" localSheetId="0" hidden="1">1</definedName>
    <definedName name="solver_itr" localSheetId="4" hidden="1">100</definedName>
    <definedName name="solver_itr" localSheetId="6" hidden="1">100</definedName>
    <definedName name="solver_itr" localSheetId="7" hidden="1">100</definedName>
    <definedName name="solver_itr" localSheetId="10" hidden="1">100</definedName>
    <definedName name="solver_itr" localSheetId="0" hidden="1">100</definedName>
    <definedName name="solver_lin" localSheetId="4" hidden="1">2</definedName>
    <definedName name="solver_lin" localSheetId="6" hidden="1">2</definedName>
    <definedName name="solver_lin" localSheetId="7" hidden="1">2</definedName>
    <definedName name="solver_lin" localSheetId="10" hidden="1">2</definedName>
    <definedName name="solver_lin" localSheetId="0" hidden="1">2</definedName>
    <definedName name="solver_neg" localSheetId="4" hidden="1">2</definedName>
    <definedName name="solver_neg" localSheetId="6" hidden="1">2</definedName>
    <definedName name="solver_neg" localSheetId="7" hidden="1">2</definedName>
    <definedName name="solver_neg" localSheetId="10" hidden="1">2</definedName>
    <definedName name="solver_neg" localSheetId="0" hidden="1">2</definedName>
    <definedName name="solver_num" localSheetId="4" hidden="1">0</definedName>
    <definedName name="solver_num" localSheetId="6" hidden="1">0</definedName>
    <definedName name="solver_num" localSheetId="7" hidden="1">0</definedName>
    <definedName name="solver_num" localSheetId="10" hidden="1">0</definedName>
    <definedName name="solver_num" localSheetId="0" hidden="1">0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nwt" localSheetId="10" hidden="1">1</definedName>
    <definedName name="solver_nwt" localSheetId="0" hidden="1">1</definedName>
    <definedName name="solver_opt" localSheetId="4" hidden="1">'A (2)'!$E$14</definedName>
    <definedName name="solver_opt" localSheetId="6" hidden="1">'A (3)'!$E$14</definedName>
    <definedName name="solver_opt" localSheetId="7" hidden="1">'A (4)'!$U$6</definedName>
    <definedName name="solver_opt" localSheetId="10" hidden="1">'A (old)'!$E$14</definedName>
    <definedName name="solver_opt" localSheetId="0" hidden="1">'Active 1'!$E$14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pre" localSheetId="10" hidden="1">0.000001</definedName>
    <definedName name="solver_pre" localSheetId="0" hidden="1">0.000001</definedName>
    <definedName name="solver_scl" localSheetId="4" hidden="1">2</definedName>
    <definedName name="solver_scl" localSheetId="6" hidden="1">2</definedName>
    <definedName name="solver_scl" localSheetId="7" hidden="1">2</definedName>
    <definedName name="solver_scl" localSheetId="10" hidden="1">2</definedName>
    <definedName name="solver_scl" localSheetId="0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ho" localSheetId="10" hidden="1">2</definedName>
    <definedName name="solver_sho" localSheetId="0" hidden="1">2</definedName>
    <definedName name="solver_tim" localSheetId="4" hidden="1">100</definedName>
    <definedName name="solver_tim" localSheetId="6" hidden="1">100</definedName>
    <definedName name="solver_tim" localSheetId="7" hidden="1">100</definedName>
    <definedName name="solver_tim" localSheetId="10" hidden="1">100</definedName>
    <definedName name="solver_tim" localSheetId="0" hidden="1">100</definedName>
    <definedName name="solver_tol" localSheetId="4" hidden="1">0.05</definedName>
    <definedName name="solver_tol" localSheetId="6" hidden="1">0.05</definedName>
    <definedName name="solver_tol" localSheetId="7" hidden="1">0.05</definedName>
    <definedName name="solver_tol" localSheetId="10" hidden="1">0.05</definedName>
    <definedName name="solver_tol" localSheetId="0" hidden="1">0.05</definedName>
    <definedName name="solver_typ" localSheetId="4" hidden="1">2</definedName>
    <definedName name="solver_typ" localSheetId="6" hidden="1">2</definedName>
    <definedName name="solver_typ" localSheetId="7" hidden="1">2</definedName>
    <definedName name="solver_typ" localSheetId="10" hidden="1">2</definedName>
    <definedName name="solver_typ" localSheetId="0" hidden="1">2</definedName>
    <definedName name="solver_val" localSheetId="4" hidden="1">0</definedName>
    <definedName name="solver_val" localSheetId="6" hidden="1">0</definedName>
    <definedName name="solver_val" localSheetId="7" hidden="1">0</definedName>
    <definedName name="solver_val" localSheetId="10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66" i="4" l="1"/>
  <c r="F266" i="4" s="1"/>
  <c r="Q266" i="4"/>
  <c r="E261" i="4"/>
  <c r="F261" i="4" s="1"/>
  <c r="Q261" i="4"/>
  <c r="E258" i="4"/>
  <c r="F258" i="4" s="1"/>
  <c r="G258" i="4" s="1"/>
  <c r="Q258" i="4"/>
  <c r="E260" i="4"/>
  <c r="F260" i="4" s="1"/>
  <c r="Q260" i="4"/>
  <c r="E263" i="4"/>
  <c r="F263" i="4" s="1"/>
  <c r="Q263" i="4"/>
  <c r="E264" i="4"/>
  <c r="F264" i="4" s="1"/>
  <c r="G264" i="4" s="1"/>
  <c r="Q264" i="4"/>
  <c r="E265" i="4"/>
  <c r="F265" i="4"/>
  <c r="G265" i="4" s="1"/>
  <c r="Q265" i="4"/>
  <c r="E262" i="4"/>
  <c r="F262" i="4" s="1"/>
  <c r="Q262" i="4"/>
  <c r="E259" i="4"/>
  <c r="F259" i="4" s="1"/>
  <c r="G259" i="4" s="1"/>
  <c r="D9" i="4"/>
  <c r="C9" i="4"/>
  <c r="D11" i="4"/>
  <c r="D12" i="4"/>
  <c r="X33" i="4" s="1"/>
  <c r="D13" i="4"/>
  <c r="Q259" i="4"/>
  <c r="E248" i="4"/>
  <c r="F248" i="4" s="1"/>
  <c r="E234" i="4"/>
  <c r="F234" i="4" s="1"/>
  <c r="E235" i="4"/>
  <c r="F235" i="4" s="1"/>
  <c r="E236" i="4"/>
  <c r="F236" i="4"/>
  <c r="E237" i="4"/>
  <c r="F237" i="4"/>
  <c r="E238" i="4"/>
  <c r="F238" i="4" s="1"/>
  <c r="E239" i="4"/>
  <c r="F239" i="4" s="1"/>
  <c r="E240" i="4"/>
  <c r="F240" i="4" s="1"/>
  <c r="E241" i="4"/>
  <c r="F241" i="4"/>
  <c r="G241" i="4" s="1"/>
  <c r="E242" i="4"/>
  <c r="F242" i="4" s="1"/>
  <c r="E243" i="4"/>
  <c r="F243" i="4" s="1"/>
  <c r="G243" i="4" s="1"/>
  <c r="K243" i="4" s="1"/>
  <c r="E244" i="4"/>
  <c r="F244" i="4" s="1"/>
  <c r="E245" i="4"/>
  <c r="F245" i="4" s="1"/>
  <c r="E246" i="4"/>
  <c r="F246" i="4" s="1"/>
  <c r="E247" i="4"/>
  <c r="F247" i="4"/>
  <c r="G247" i="4" s="1"/>
  <c r="K247" i="4" s="1"/>
  <c r="E249" i="4"/>
  <c r="F249" i="4" s="1"/>
  <c r="E250" i="4"/>
  <c r="F250" i="4" s="1"/>
  <c r="G250" i="4" s="1"/>
  <c r="E251" i="4"/>
  <c r="F251" i="4"/>
  <c r="E252" i="4"/>
  <c r="F252" i="4"/>
  <c r="E253" i="4"/>
  <c r="F253" i="4" s="1"/>
  <c r="E254" i="4"/>
  <c r="F254" i="4" s="1"/>
  <c r="E255" i="4"/>
  <c r="F255" i="4" s="1"/>
  <c r="G255" i="4" s="1"/>
  <c r="K255" i="4" s="1"/>
  <c r="E256" i="4"/>
  <c r="F256" i="4" s="1"/>
  <c r="G256" i="4" s="1"/>
  <c r="K256" i="4" s="1"/>
  <c r="E257" i="4"/>
  <c r="F257" i="4"/>
  <c r="G257" i="4" s="1"/>
  <c r="K257" i="4" s="1"/>
  <c r="Q248" i="4"/>
  <c r="T43" i="4"/>
  <c r="T65" i="4"/>
  <c r="T66" i="4"/>
  <c r="T67" i="4"/>
  <c r="T72" i="4"/>
  <c r="T73" i="4"/>
  <c r="T74" i="4"/>
  <c r="T75" i="4"/>
  <c r="T76" i="4"/>
  <c r="T77" i="4"/>
  <c r="T78" i="4"/>
  <c r="T79" i="4"/>
  <c r="T80" i="4"/>
  <c r="T81" i="4"/>
  <c r="T85" i="4"/>
  <c r="T86" i="4"/>
  <c r="T87" i="4"/>
  <c r="T88" i="4"/>
  <c r="T92" i="4"/>
  <c r="T93" i="4"/>
  <c r="T94" i="4"/>
  <c r="T95" i="4"/>
  <c r="T96" i="4"/>
  <c r="T98" i="4"/>
  <c r="T99" i="4"/>
  <c r="T100" i="4"/>
  <c r="T103" i="4"/>
  <c r="T106" i="4"/>
  <c r="T107" i="4"/>
  <c r="T108" i="4"/>
  <c r="T109" i="4"/>
  <c r="T116" i="4"/>
  <c r="T117" i="4"/>
  <c r="T118" i="4"/>
  <c r="T119" i="4"/>
  <c r="T123" i="4"/>
  <c r="T134" i="4"/>
  <c r="T152" i="4"/>
  <c r="E227" i="4"/>
  <c r="F227" i="4" s="1"/>
  <c r="E228" i="4"/>
  <c r="F228" i="4" s="1"/>
  <c r="G228" i="4" s="1"/>
  <c r="K228" i="4" s="1"/>
  <c r="E229" i="4"/>
  <c r="F229" i="4" s="1"/>
  <c r="E230" i="4"/>
  <c r="F230" i="4" s="1"/>
  <c r="E231" i="4"/>
  <c r="F231" i="4" s="1"/>
  <c r="E232" i="4"/>
  <c r="F232" i="4"/>
  <c r="E233" i="4"/>
  <c r="F233" i="4" s="1"/>
  <c r="Q252" i="4"/>
  <c r="Q253" i="4"/>
  <c r="Q257" i="4"/>
  <c r="Q250" i="4"/>
  <c r="Q254" i="4"/>
  <c r="Q256" i="4"/>
  <c r="E216" i="4"/>
  <c r="F216" i="4" s="1"/>
  <c r="Q216" i="4"/>
  <c r="Q251" i="4"/>
  <c r="E207" i="4"/>
  <c r="F207" i="4" s="1"/>
  <c r="E208" i="4"/>
  <c r="F208" i="4" s="1"/>
  <c r="E209" i="4"/>
  <c r="F209" i="4"/>
  <c r="E210" i="4"/>
  <c r="F210" i="4" s="1"/>
  <c r="E211" i="4"/>
  <c r="F211" i="4"/>
  <c r="E212" i="4"/>
  <c r="F212" i="4" s="1"/>
  <c r="E213" i="4"/>
  <c r="F213" i="4" s="1"/>
  <c r="E214" i="4"/>
  <c r="F214" i="4" s="1"/>
  <c r="E215" i="4"/>
  <c r="F215" i="4"/>
  <c r="E217" i="4"/>
  <c r="F217" i="4" s="1"/>
  <c r="E218" i="4"/>
  <c r="E219" i="4"/>
  <c r="F219" i="4"/>
  <c r="E220" i="4"/>
  <c r="F220" i="4" s="1"/>
  <c r="E221" i="4"/>
  <c r="F221" i="4"/>
  <c r="E222" i="4"/>
  <c r="F222" i="4"/>
  <c r="E223" i="4"/>
  <c r="F223" i="4" s="1"/>
  <c r="E224" i="4"/>
  <c r="F224" i="4"/>
  <c r="E225" i="4"/>
  <c r="F225" i="4" s="1"/>
  <c r="E226" i="4"/>
  <c r="F226" i="4"/>
  <c r="E97" i="4"/>
  <c r="F97" i="4" s="1"/>
  <c r="E101" i="4"/>
  <c r="F101" i="4"/>
  <c r="E102" i="4"/>
  <c r="F102" i="4" s="1"/>
  <c r="E103" i="4"/>
  <c r="F103" i="4"/>
  <c r="G103" i="4"/>
  <c r="I103" i="4" s="1"/>
  <c r="E104" i="4"/>
  <c r="F104" i="4" s="1"/>
  <c r="E105" i="4"/>
  <c r="F105" i="4"/>
  <c r="E110" i="4"/>
  <c r="F110" i="4"/>
  <c r="E111" i="4"/>
  <c r="F111" i="4" s="1"/>
  <c r="E112" i="4"/>
  <c r="E113" i="4"/>
  <c r="F113" i="4" s="1"/>
  <c r="E114" i="4"/>
  <c r="E115" i="4"/>
  <c r="F115" i="4" s="1"/>
  <c r="E117" i="4"/>
  <c r="F117" i="4" s="1"/>
  <c r="E118" i="4"/>
  <c r="F118" i="4" s="1"/>
  <c r="E119" i="4"/>
  <c r="F119" i="4"/>
  <c r="G119" i="4"/>
  <c r="J119" i="4" s="1"/>
  <c r="E120" i="4"/>
  <c r="F120" i="4" s="1"/>
  <c r="E121" i="4"/>
  <c r="F121" i="4"/>
  <c r="E122" i="4"/>
  <c r="F122" i="4" s="1"/>
  <c r="E123" i="4"/>
  <c r="F123" i="4" s="1"/>
  <c r="G123" i="4" s="1"/>
  <c r="I123" i="4" s="1"/>
  <c r="E124" i="4"/>
  <c r="F124" i="4"/>
  <c r="G124" i="4"/>
  <c r="J124" i="4" s="1"/>
  <c r="E125" i="4"/>
  <c r="F125" i="4" s="1"/>
  <c r="E126" i="4"/>
  <c r="F126" i="4" s="1"/>
  <c r="G126" i="4" s="1"/>
  <c r="K126" i="4" s="1"/>
  <c r="E127" i="4"/>
  <c r="F127" i="4"/>
  <c r="E128" i="4"/>
  <c r="F128" i="4" s="1"/>
  <c r="E129" i="4"/>
  <c r="F129" i="4" s="1"/>
  <c r="E130" i="4"/>
  <c r="F130" i="4"/>
  <c r="E131" i="4"/>
  <c r="E132" i="4"/>
  <c r="F132" i="4" s="1"/>
  <c r="E133" i="4"/>
  <c r="F133" i="4"/>
  <c r="G133" i="4" s="1"/>
  <c r="K133" i="4" s="1"/>
  <c r="E135" i="4"/>
  <c r="F135" i="4" s="1"/>
  <c r="E136" i="4"/>
  <c r="F136" i="4"/>
  <c r="E137" i="4"/>
  <c r="F137" i="4" s="1"/>
  <c r="E138" i="4"/>
  <c r="F138" i="4"/>
  <c r="E139" i="4"/>
  <c r="F139" i="4" s="1"/>
  <c r="E140" i="4"/>
  <c r="F140" i="4" s="1"/>
  <c r="E141" i="4"/>
  <c r="F141" i="4"/>
  <c r="E142" i="4"/>
  <c r="F142" i="4" s="1"/>
  <c r="G142" i="4" s="1"/>
  <c r="J142" i="4" s="1"/>
  <c r="E143" i="4"/>
  <c r="F143" i="4" s="1"/>
  <c r="E144" i="4"/>
  <c r="F144" i="4" s="1"/>
  <c r="E145" i="4"/>
  <c r="E146" i="4"/>
  <c r="F146" i="4" s="1"/>
  <c r="E147" i="4"/>
  <c r="F147" i="4"/>
  <c r="E148" i="4"/>
  <c r="E149" i="4"/>
  <c r="F149" i="4" s="1"/>
  <c r="E150" i="4"/>
  <c r="F150" i="4"/>
  <c r="E151" i="4"/>
  <c r="E152" i="4"/>
  <c r="F152" i="4" s="1"/>
  <c r="E153" i="4"/>
  <c r="F153" i="4"/>
  <c r="G153" i="4" s="1"/>
  <c r="J153" i="4" s="1"/>
  <c r="E154" i="4"/>
  <c r="F154" i="4" s="1"/>
  <c r="E155" i="4"/>
  <c r="F155" i="4"/>
  <c r="E156" i="4"/>
  <c r="F156" i="4" s="1"/>
  <c r="E157" i="4"/>
  <c r="F157" i="4"/>
  <c r="E158" i="4"/>
  <c r="F158" i="4" s="1"/>
  <c r="G158" i="4" s="1"/>
  <c r="E159" i="4"/>
  <c r="F159" i="4"/>
  <c r="E160" i="4"/>
  <c r="F160" i="4" s="1"/>
  <c r="G160" i="4" s="1"/>
  <c r="K160" i="4" s="1"/>
  <c r="E161" i="4"/>
  <c r="F161" i="4"/>
  <c r="G161" i="4" s="1"/>
  <c r="J161" i="4" s="1"/>
  <c r="E162" i="4"/>
  <c r="E163" i="4"/>
  <c r="F163" i="4" s="1"/>
  <c r="E164" i="4"/>
  <c r="F164" i="4" s="1"/>
  <c r="G164" i="4" s="1"/>
  <c r="K164" i="4" s="1"/>
  <c r="E165" i="4"/>
  <c r="F165" i="4" s="1"/>
  <c r="E166" i="4"/>
  <c r="F166" i="4"/>
  <c r="G166" i="4" s="1"/>
  <c r="K166" i="4" s="1"/>
  <c r="E167" i="4"/>
  <c r="F167" i="4" s="1"/>
  <c r="G167" i="4" s="1"/>
  <c r="E168" i="4"/>
  <c r="F168" i="4"/>
  <c r="E169" i="4"/>
  <c r="F169" i="4" s="1"/>
  <c r="E170" i="4"/>
  <c r="E171" i="4"/>
  <c r="F171" i="4" s="1"/>
  <c r="E172" i="4"/>
  <c r="F172" i="4"/>
  <c r="E173" i="4"/>
  <c r="F173" i="4" s="1"/>
  <c r="E174" i="4"/>
  <c r="F174" i="4"/>
  <c r="E175" i="4"/>
  <c r="F175" i="4" s="1"/>
  <c r="E176" i="4"/>
  <c r="F176" i="4"/>
  <c r="E177" i="4"/>
  <c r="F177" i="4" s="1"/>
  <c r="E178" i="4"/>
  <c r="E179" i="4"/>
  <c r="F179" i="4" s="1"/>
  <c r="E180" i="4"/>
  <c r="F180" i="4"/>
  <c r="E181" i="4"/>
  <c r="F181" i="4" s="1"/>
  <c r="E182" i="4"/>
  <c r="F182" i="4" s="1"/>
  <c r="E183" i="4"/>
  <c r="F183" i="4"/>
  <c r="G183" i="4" s="1"/>
  <c r="K183" i="4" s="1"/>
  <c r="E184" i="4"/>
  <c r="F184" i="4" s="1"/>
  <c r="E185" i="4"/>
  <c r="F185" i="4" s="1"/>
  <c r="E186" i="4"/>
  <c r="F186" i="4"/>
  <c r="E187" i="4"/>
  <c r="F187" i="4" s="1"/>
  <c r="E188" i="4"/>
  <c r="F188" i="4"/>
  <c r="E189" i="4"/>
  <c r="F189" i="4"/>
  <c r="E190" i="4"/>
  <c r="F190" i="4" s="1"/>
  <c r="E191" i="4"/>
  <c r="F191" i="4"/>
  <c r="E192" i="4"/>
  <c r="F192" i="4" s="1"/>
  <c r="E193" i="4"/>
  <c r="F193" i="4"/>
  <c r="E194" i="4"/>
  <c r="F194" i="4"/>
  <c r="E195" i="4"/>
  <c r="F195" i="4" s="1"/>
  <c r="E196" i="4"/>
  <c r="F196" i="4"/>
  <c r="E197" i="4"/>
  <c r="F197" i="4"/>
  <c r="E198" i="4"/>
  <c r="F198" i="4" s="1"/>
  <c r="E199" i="4"/>
  <c r="F199" i="4" s="1"/>
  <c r="P199" i="4" s="1"/>
  <c r="E200" i="4"/>
  <c r="F200" i="4"/>
  <c r="E201" i="4"/>
  <c r="F201" i="4" s="1"/>
  <c r="E202" i="4"/>
  <c r="F202" i="4" s="1"/>
  <c r="E203" i="4"/>
  <c r="F203" i="4"/>
  <c r="P203" i="4"/>
  <c r="E204" i="4"/>
  <c r="F204" i="4" s="1"/>
  <c r="E205" i="4"/>
  <c r="F205" i="4" s="1"/>
  <c r="E206" i="4"/>
  <c r="F206" i="4"/>
  <c r="E94" i="4"/>
  <c r="F94" i="4" s="1"/>
  <c r="E95" i="4"/>
  <c r="F95" i="4"/>
  <c r="E96" i="4"/>
  <c r="F96" i="4" s="1"/>
  <c r="E98" i="4"/>
  <c r="F98" i="4"/>
  <c r="E99" i="4"/>
  <c r="F99" i="4" s="1"/>
  <c r="E100" i="4"/>
  <c r="F100" i="4" s="1"/>
  <c r="E106" i="4"/>
  <c r="F106" i="4"/>
  <c r="U106" i="4"/>
  <c r="E107" i="4"/>
  <c r="F107" i="4" s="1"/>
  <c r="E108" i="4"/>
  <c r="F108" i="4"/>
  <c r="U108" i="4" s="1"/>
  <c r="E109" i="4"/>
  <c r="F109" i="4"/>
  <c r="E116" i="4"/>
  <c r="F116" i="4" s="1"/>
  <c r="E134" i="4"/>
  <c r="F134" i="4" s="1"/>
  <c r="Q231" i="4"/>
  <c r="Q232" i="4"/>
  <c r="Q234" i="4"/>
  <c r="Q235" i="4"/>
  <c r="Q237" i="4"/>
  <c r="Q238" i="4"/>
  <c r="Q239" i="4"/>
  <c r="Q244" i="4"/>
  <c r="Q245" i="4"/>
  <c r="Q246" i="4"/>
  <c r="Q247" i="4"/>
  <c r="Q249" i="4"/>
  <c r="Q255" i="4"/>
  <c r="Q243" i="4"/>
  <c r="Q242" i="4"/>
  <c r="Q240" i="4"/>
  <c r="Q241" i="4"/>
  <c r="Q236" i="4"/>
  <c r="Q225" i="4"/>
  <c r="Q230" i="4"/>
  <c r="Q227" i="4"/>
  <c r="Q206" i="4"/>
  <c r="B10" i="8"/>
  <c r="E47" i="4"/>
  <c r="F47" i="4" s="1"/>
  <c r="G16" i="8"/>
  <c r="G15" i="8"/>
  <c r="G12" i="8"/>
  <c r="A9" i="8"/>
  <c r="C9" i="8" s="1"/>
  <c r="N13" i="8" s="1"/>
  <c r="E21" i="8"/>
  <c r="G21" i="8" s="1"/>
  <c r="E22" i="8"/>
  <c r="G22" i="8" s="1"/>
  <c r="E23" i="8"/>
  <c r="E24" i="8"/>
  <c r="G24" i="8" s="1"/>
  <c r="E25" i="8"/>
  <c r="E26" i="8"/>
  <c r="L26" i="8" s="1"/>
  <c r="E27" i="8"/>
  <c r="L27" i="8" s="1"/>
  <c r="E28" i="8"/>
  <c r="E29" i="8"/>
  <c r="E30" i="8"/>
  <c r="G30" i="8" s="1"/>
  <c r="E31" i="8"/>
  <c r="E32" i="8"/>
  <c r="G32" i="8" s="1"/>
  <c r="E33" i="8"/>
  <c r="E34" i="8"/>
  <c r="G34" i="8"/>
  <c r="E35" i="8"/>
  <c r="E36" i="8"/>
  <c r="E37" i="8"/>
  <c r="E38" i="8"/>
  <c r="G38" i="8"/>
  <c r="E39" i="8"/>
  <c r="E40" i="8"/>
  <c r="G40" i="8"/>
  <c r="E41" i="8"/>
  <c r="E42" i="8"/>
  <c r="G42" i="8"/>
  <c r="E43" i="8"/>
  <c r="E44" i="8"/>
  <c r="G44" i="8"/>
  <c r="E45" i="8"/>
  <c r="E46" i="8"/>
  <c r="G46" i="8"/>
  <c r="E47" i="8"/>
  <c r="E48" i="8"/>
  <c r="G48" i="8"/>
  <c r="E49" i="8"/>
  <c r="E50" i="8"/>
  <c r="G50" i="8"/>
  <c r="E51" i="8"/>
  <c r="E52" i="8"/>
  <c r="E53" i="8"/>
  <c r="E54" i="8"/>
  <c r="G54" i="8"/>
  <c r="E55" i="8"/>
  <c r="E56" i="8"/>
  <c r="G56" i="8"/>
  <c r="E57" i="8"/>
  <c r="E58" i="8"/>
  <c r="G58" i="8"/>
  <c r="E59" i="8"/>
  <c r="E60" i="8"/>
  <c r="G60" i="8"/>
  <c r="E61" i="8"/>
  <c r="E62" i="8"/>
  <c r="G62" i="8"/>
  <c r="E63" i="8"/>
  <c r="E64" i="8"/>
  <c r="G64" i="8"/>
  <c r="E65" i="8"/>
  <c r="E66" i="8"/>
  <c r="G66" i="8"/>
  <c r="E67" i="8"/>
  <c r="E68" i="8"/>
  <c r="E69" i="8"/>
  <c r="E70" i="8"/>
  <c r="G70" i="8"/>
  <c r="E71" i="8"/>
  <c r="E72" i="8"/>
  <c r="G72" i="8"/>
  <c r="E73" i="8"/>
  <c r="L73" i="8"/>
  <c r="E74" i="8"/>
  <c r="G74" i="8"/>
  <c r="E75" i="8"/>
  <c r="E76" i="8"/>
  <c r="G76" i="8"/>
  <c r="E77" i="8"/>
  <c r="E78" i="8"/>
  <c r="G78" i="8"/>
  <c r="E79" i="8"/>
  <c r="E80" i="8"/>
  <c r="G80" i="8"/>
  <c r="E81" i="8"/>
  <c r="E82" i="8"/>
  <c r="G82" i="8"/>
  <c r="E83" i="8"/>
  <c r="E84" i="8"/>
  <c r="E85" i="8"/>
  <c r="E86" i="8"/>
  <c r="G86" i="8"/>
  <c r="E87" i="8"/>
  <c r="E88" i="8"/>
  <c r="G88" i="8"/>
  <c r="E89" i="8"/>
  <c r="E90" i="8"/>
  <c r="G90" i="8"/>
  <c r="E91" i="8"/>
  <c r="E92" i="8"/>
  <c r="G92" i="8"/>
  <c r="E93" i="8"/>
  <c r="E94" i="8"/>
  <c r="G94" i="8"/>
  <c r="E95" i="8"/>
  <c r="E96" i="8"/>
  <c r="G96" i="8"/>
  <c r="E97" i="8"/>
  <c r="E98" i="8"/>
  <c r="G98" i="8"/>
  <c r="E99" i="8"/>
  <c r="E100" i="8"/>
  <c r="E101" i="8"/>
  <c r="E102" i="8"/>
  <c r="G102" i="8"/>
  <c r="E103" i="8"/>
  <c r="E104" i="8"/>
  <c r="G104" i="8"/>
  <c r="E105" i="8"/>
  <c r="E106" i="8"/>
  <c r="G106" i="8"/>
  <c r="E107" i="8"/>
  <c r="E108" i="8"/>
  <c r="G108" i="8"/>
  <c r="E109" i="8"/>
  <c r="E110" i="8"/>
  <c r="G110" i="8"/>
  <c r="E111" i="8"/>
  <c r="E112" i="8"/>
  <c r="G112" i="8"/>
  <c r="E113" i="8"/>
  <c r="E114" i="8"/>
  <c r="G114" i="8"/>
  <c r="E115" i="8"/>
  <c r="E116" i="8"/>
  <c r="E117" i="8"/>
  <c r="E118" i="8"/>
  <c r="G118" i="8"/>
  <c r="E119" i="8"/>
  <c r="E120" i="8"/>
  <c r="G120" i="8"/>
  <c r="E121" i="8"/>
  <c r="E122" i="8"/>
  <c r="G122" i="8"/>
  <c r="E123" i="8"/>
  <c r="E124" i="8"/>
  <c r="G124" i="8"/>
  <c r="E125" i="8"/>
  <c r="E126" i="8"/>
  <c r="G126" i="8"/>
  <c r="E127" i="8"/>
  <c r="E128" i="8"/>
  <c r="G128" i="8"/>
  <c r="E129" i="8"/>
  <c r="E130" i="8"/>
  <c r="G130" i="8"/>
  <c r="E131" i="8"/>
  <c r="E132" i="8"/>
  <c r="E133" i="8"/>
  <c r="E134" i="8"/>
  <c r="G134" i="8"/>
  <c r="E135" i="8"/>
  <c r="E136" i="8"/>
  <c r="G136" i="8"/>
  <c r="E137" i="8"/>
  <c r="E138" i="8"/>
  <c r="G138" i="8"/>
  <c r="E139" i="8"/>
  <c r="E140" i="8"/>
  <c r="G140" i="8"/>
  <c r="E141" i="8"/>
  <c r="E142" i="8"/>
  <c r="G142" i="8"/>
  <c r="E143" i="8"/>
  <c r="E144" i="8"/>
  <c r="G144" i="8"/>
  <c r="E145" i="8"/>
  <c r="E146" i="8"/>
  <c r="G146" i="8"/>
  <c r="E147" i="8"/>
  <c r="E148" i="8"/>
  <c r="E149" i="8"/>
  <c r="E150" i="8"/>
  <c r="G150" i="8"/>
  <c r="E151" i="8"/>
  <c r="E152" i="8"/>
  <c r="G152" i="8"/>
  <c r="E153" i="8"/>
  <c r="E154" i="8"/>
  <c r="G154" i="8"/>
  <c r="E155" i="8"/>
  <c r="E156" i="8"/>
  <c r="G156" i="8"/>
  <c r="E157" i="8"/>
  <c r="E158" i="8"/>
  <c r="G158" i="8"/>
  <c r="E159" i="8"/>
  <c r="E160" i="8"/>
  <c r="G160" i="8"/>
  <c r="E161" i="8"/>
  <c r="E162" i="8"/>
  <c r="G162" i="8"/>
  <c r="E163" i="8"/>
  <c r="E164" i="8"/>
  <c r="E165" i="8"/>
  <c r="E166" i="8"/>
  <c r="G166" i="8"/>
  <c r="E167" i="8"/>
  <c r="E168" i="8"/>
  <c r="G168" i="8"/>
  <c r="E169" i="8"/>
  <c r="E170" i="8"/>
  <c r="G170" i="8"/>
  <c r="E171" i="8"/>
  <c r="E172" i="8"/>
  <c r="G172" i="8"/>
  <c r="E173" i="8"/>
  <c r="H16" i="8"/>
  <c r="H15" i="8"/>
  <c r="D21" i="8"/>
  <c r="J21" i="8" s="1"/>
  <c r="D22" i="8"/>
  <c r="H22" i="8" s="1"/>
  <c r="D23" i="8"/>
  <c r="I23" i="8" s="1"/>
  <c r="H23" i="8"/>
  <c r="D24" i="8"/>
  <c r="H24" i="8" s="1"/>
  <c r="D25" i="8"/>
  <c r="H25" i="8" s="1"/>
  <c r="D26" i="8"/>
  <c r="H26" i="8" s="1"/>
  <c r="D27" i="8"/>
  <c r="H27" i="8" s="1"/>
  <c r="D28" i="8"/>
  <c r="H28" i="8" s="1"/>
  <c r="D29" i="8"/>
  <c r="H29" i="8" s="1"/>
  <c r="D30" i="8"/>
  <c r="H30" i="8" s="1"/>
  <c r="D31" i="8"/>
  <c r="H31" i="8"/>
  <c r="D32" i="8"/>
  <c r="H32" i="8" s="1"/>
  <c r="D33" i="8"/>
  <c r="J33" i="8" s="1"/>
  <c r="D34" i="8"/>
  <c r="J34" i="8" s="1"/>
  <c r="D35" i="8"/>
  <c r="H35" i="8" s="1"/>
  <c r="D36" i="8"/>
  <c r="H36" i="8"/>
  <c r="D37" i="8"/>
  <c r="H37" i="8"/>
  <c r="D38" i="8"/>
  <c r="H38" i="8"/>
  <c r="D39" i="8"/>
  <c r="H39" i="8"/>
  <c r="D40" i="8"/>
  <c r="H40" i="8"/>
  <c r="D41" i="8"/>
  <c r="H41" i="8"/>
  <c r="D42" i="8"/>
  <c r="H42" i="8"/>
  <c r="D43" i="8"/>
  <c r="H43" i="8"/>
  <c r="D44" i="8"/>
  <c r="H44" i="8"/>
  <c r="D45" i="8"/>
  <c r="H45" i="8"/>
  <c r="D46" i="8"/>
  <c r="H46" i="8"/>
  <c r="D47" i="8"/>
  <c r="H47" i="8"/>
  <c r="D48" i="8"/>
  <c r="H48" i="8"/>
  <c r="D49" i="8"/>
  <c r="H49" i="8"/>
  <c r="D50" i="8"/>
  <c r="H50" i="8"/>
  <c r="D51" i="8"/>
  <c r="H51" i="8"/>
  <c r="D52" i="8"/>
  <c r="H52" i="8"/>
  <c r="D53" i="8"/>
  <c r="H53" i="8"/>
  <c r="D54" i="8"/>
  <c r="H54" i="8"/>
  <c r="D55" i="8"/>
  <c r="H55" i="8"/>
  <c r="D56" i="8"/>
  <c r="H56" i="8"/>
  <c r="D57" i="8"/>
  <c r="H57" i="8"/>
  <c r="D58" i="8"/>
  <c r="H58" i="8"/>
  <c r="D59" i="8"/>
  <c r="H59" i="8"/>
  <c r="D60" i="8"/>
  <c r="H60" i="8"/>
  <c r="D61" i="8"/>
  <c r="H61" i="8"/>
  <c r="D62" i="8"/>
  <c r="H62" i="8"/>
  <c r="D63" i="8"/>
  <c r="H63" i="8"/>
  <c r="D64" i="8"/>
  <c r="H64" i="8"/>
  <c r="D65" i="8"/>
  <c r="H65" i="8"/>
  <c r="D66" i="8"/>
  <c r="H66" i="8"/>
  <c r="D67" i="8"/>
  <c r="H67" i="8"/>
  <c r="D68" i="8"/>
  <c r="H68" i="8"/>
  <c r="D69" i="8"/>
  <c r="H69" i="8"/>
  <c r="D70" i="8"/>
  <c r="H70" i="8"/>
  <c r="D71" i="8"/>
  <c r="H71" i="8"/>
  <c r="D72" i="8"/>
  <c r="H72" i="8"/>
  <c r="D73" i="8"/>
  <c r="H73" i="8"/>
  <c r="D74" i="8"/>
  <c r="H74" i="8"/>
  <c r="D75" i="8"/>
  <c r="H75" i="8"/>
  <c r="D76" i="8"/>
  <c r="H76" i="8"/>
  <c r="D77" i="8"/>
  <c r="H77" i="8"/>
  <c r="D78" i="8"/>
  <c r="H78" i="8"/>
  <c r="D79" i="8"/>
  <c r="H79" i="8"/>
  <c r="D80" i="8"/>
  <c r="H80" i="8"/>
  <c r="D81" i="8"/>
  <c r="H81" i="8"/>
  <c r="D82" i="8"/>
  <c r="H82" i="8"/>
  <c r="D83" i="8"/>
  <c r="H83" i="8"/>
  <c r="D84" i="8"/>
  <c r="H84" i="8"/>
  <c r="D85" i="8"/>
  <c r="H85" i="8"/>
  <c r="D86" i="8"/>
  <c r="H86" i="8"/>
  <c r="D87" i="8"/>
  <c r="H87" i="8"/>
  <c r="D88" i="8"/>
  <c r="H88" i="8"/>
  <c r="D89" i="8"/>
  <c r="H89" i="8"/>
  <c r="D90" i="8"/>
  <c r="H90" i="8"/>
  <c r="D91" i="8"/>
  <c r="H91" i="8"/>
  <c r="D92" i="8"/>
  <c r="H92" i="8"/>
  <c r="D93" i="8"/>
  <c r="H93" i="8"/>
  <c r="D94" i="8"/>
  <c r="H94" i="8"/>
  <c r="D95" i="8"/>
  <c r="H95" i="8"/>
  <c r="D96" i="8"/>
  <c r="H96" i="8"/>
  <c r="D97" i="8"/>
  <c r="H97" i="8"/>
  <c r="D98" i="8"/>
  <c r="H98" i="8"/>
  <c r="D99" i="8"/>
  <c r="H99" i="8"/>
  <c r="D100" i="8"/>
  <c r="H100" i="8"/>
  <c r="D101" i="8"/>
  <c r="H101" i="8"/>
  <c r="D102" i="8"/>
  <c r="H102" i="8"/>
  <c r="D103" i="8"/>
  <c r="H103" i="8"/>
  <c r="D104" i="8"/>
  <c r="H104" i="8"/>
  <c r="D105" i="8"/>
  <c r="H105" i="8"/>
  <c r="D106" i="8"/>
  <c r="H106" i="8"/>
  <c r="D107" i="8"/>
  <c r="H107" i="8"/>
  <c r="D108" i="8"/>
  <c r="H108" i="8"/>
  <c r="D109" i="8"/>
  <c r="H109" i="8"/>
  <c r="D110" i="8"/>
  <c r="H110" i="8"/>
  <c r="D111" i="8"/>
  <c r="H111" i="8"/>
  <c r="D112" i="8"/>
  <c r="H112" i="8"/>
  <c r="D113" i="8"/>
  <c r="H113" i="8"/>
  <c r="D114" i="8"/>
  <c r="H114" i="8"/>
  <c r="D115" i="8"/>
  <c r="H115" i="8"/>
  <c r="D116" i="8"/>
  <c r="H116" i="8"/>
  <c r="D117" i="8"/>
  <c r="H117" i="8"/>
  <c r="D118" i="8"/>
  <c r="H118" i="8"/>
  <c r="D119" i="8"/>
  <c r="H119" i="8"/>
  <c r="D120" i="8"/>
  <c r="H120" i="8"/>
  <c r="D121" i="8"/>
  <c r="H121" i="8"/>
  <c r="D122" i="8"/>
  <c r="H122" i="8"/>
  <c r="D123" i="8"/>
  <c r="H123" i="8"/>
  <c r="D124" i="8"/>
  <c r="H124" i="8"/>
  <c r="D125" i="8"/>
  <c r="H125" i="8"/>
  <c r="D126" i="8"/>
  <c r="H126" i="8"/>
  <c r="D127" i="8"/>
  <c r="H127" i="8"/>
  <c r="D128" i="8"/>
  <c r="H128" i="8"/>
  <c r="D129" i="8"/>
  <c r="H129" i="8"/>
  <c r="D130" i="8"/>
  <c r="H130" i="8"/>
  <c r="D131" i="8"/>
  <c r="H131" i="8"/>
  <c r="D132" i="8"/>
  <c r="H132" i="8"/>
  <c r="D133" i="8"/>
  <c r="H133" i="8"/>
  <c r="D134" i="8"/>
  <c r="H134" i="8"/>
  <c r="D135" i="8"/>
  <c r="H135" i="8"/>
  <c r="D136" i="8"/>
  <c r="H136" i="8"/>
  <c r="D137" i="8"/>
  <c r="H137" i="8"/>
  <c r="D138" i="8"/>
  <c r="H138" i="8"/>
  <c r="D139" i="8"/>
  <c r="H139" i="8"/>
  <c r="D140" i="8"/>
  <c r="H140" i="8"/>
  <c r="D141" i="8"/>
  <c r="H141" i="8"/>
  <c r="D142" i="8"/>
  <c r="H142" i="8"/>
  <c r="D143" i="8"/>
  <c r="H143" i="8"/>
  <c r="D144" i="8"/>
  <c r="H144" i="8"/>
  <c r="D145" i="8"/>
  <c r="H145" i="8"/>
  <c r="D146" i="8"/>
  <c r="H146" i="8"/>
  <c r="D147" i="8"/>
  <c r="H147" i="8"/>
  <c r="D148" i="8"/>
  <c r="H148" i="8"/>
  <c r="D149" i="8"/>
  <c r="H149" i="8"/>
  <c r="D150" i="8"/>
  <c r="H150" i="8"/>
  <c r="D151" i="8"/>
  <c r="H151" i="8"/>
  <c r="D152" i="8"/>
  <c r="H152" i="8"/>
  <c r="D153" i="8"/>
  <c r="H153" i="8"/>
  <c r="D154" i="8"/>
  <c r="H154" i="8"/>
  <c r="D155" i="8"/>
  <c r="H155" i="8"/>
  <c r="D156" i="8"/>
  <c r="H156" i="8"/>
  <c r="D157" i="8"/>
  <c r="H157" i="8"/>
  <c r="D158" i="8"/>
  <c r="H158" i="8"/>
  <c r="D159" i="8"/>
  <c r="H159" i="8"/>
  <c r="D160" i="8"/>
  <c r="H160" i="8"/>
  <c r="D161" i="8"/>
  <c r="H161" i="8"/>
  <c r="D162" i="8"/>
  <c r="H162" i="8"/>
  <c r="D163" i="8"/>
  <c r="H163" i="8"/>
  <c r="D164" i="8"/>
  <c r="H164" i="8"/>
  <c r="D165" i="8"/>
  <c r="H165" i="8"/>
  <c r="D166" i="8"/>
  <c r="H166" i="8"/>
  <c r="D167" i="8"/>
  <c r="H167" i="8"/>
  <c r="D168" i="8"/>
  <c r="H168" i="8"/>
  <c r="D169" i="8"/>
  <c r="H169" i="8"/>
  <c r="D170" i="8"/>
  <c r="H170" i="8"/>
  <c r="D171" i="8"/>
  <c r="H171" i="8"/>
  <c r="D172" i="8"/>
  <c r="H172" i="8"/>
  <c r="D173" i="8"/>
  <c r="H173" i="8"/>
  <c r="J16" i="8"/>
  <c r="J15" i="8"/>
  <c r="J12" i="8"/>
  <c r="J22" i="8"/>
  <c r="J25" i="8"/>
  <c r="J26" i="8"/>
  <c r="J27" i="8"/>
  <c r="J31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I16" i="8"/>
  <c r="I15" i="8"/>
  <c r="I21" i="8"/>
  <c r="I22" i="8"/>
  <c r="I26" i="8"/>
  <c r="I27" i="8"/>
  <c r="I31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K16" i="8"/>
  <c r="K15" i="8"/>
  <c r="K38" i="8"/>
  <c r="K40" i="8"/>
  <c r="K42" i="8"/>
  <c r="K44" i="8"/>
  <c r="K46" i="8"/>
  <c r="K48" i="8"/>
  <c r="K50" i="8"/>
  <c r="K54" i="8"/>
  <c r="K56" i="8"/>
  <c r="K58" i="8"/>
  <c r="K60" i="8"/>
  <c r="K62" i="8"/>
  <c r="K64" i="8"/>
  <c r="K66" i="8"/>
  <c r="K70" i="8"/>
  <c r="K72" i="8"/>
  <c r="K74" i="8"/>
  <c r="K76" i="8"/>
  <c r="K78" i="8"/>
  <c r="K80" i="8"/>
  <c r="K82" i="8"/>
  <c r="K86" i="8"/>
  <c r="K88" i="8"/>
  <c r="K90" i="8"/>
  <c r="K92" i="8"/>
  <c r="K94" i="8"/>
  <c r="K96" i="8"/>
  <c r="K98" i="8"/>
  <c r="K102" i="8"/>
  <c r="K104" i="8"/>
  <c r="K106" i="8"/>
  <c r="K108" i="8"/>
  <c r="K110" i="8"/>
  <c r="K112" i="8"/>
  <c r="K114" i="8"/>
  <c r="K118" i="8"/>
  <c r="K120" i="8"/>
  <c r="K122" i="8"/>
  <c r="K124" i="8"/>
  <c r="K126" i="8"/>
  <c r="K128" i="8"/>
  <c r="K130" i="8"/>
  <c r="K134" i="8"/>
  <c r="K136" i="8"/>
  <c r="K138" i="8"/>
  <c r="K140" i="8"/>
  <c r="K142" i="8"/>
  <c r="K144" i="8"/>
  <c r="K146" i="8"/>
  <c r="K150" i="8"/>
  <c r="K152" i="8"/>
  <c r="K154" i="8"/>
  <c r="K156" i="8"/>
  <c r="K158" i="8"/>
  <c r="K160" i="8"/>
  <c r="K162" i="8"/>
  <c r="K166" i="8"/>
  <c r="K168" i="8"/>
  <c r="K170" i="8"/>
  <c r="K172" i="8"/>
  <c r="F16" i="8"/>
  <c r="F15" i="8"/>
  <c r="F12" i="8"/>
  <c r="F22" i="8"/>
  <c r="F23" i="8"/>
  <c r="F26" i="8"/>
  <c r="F27" i="8"/>
  <c r="F31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L16" i="8"/>
  <c r="L15" i="8"/>
  <c r="L36" i="8"/>
  <c r="L37" i="8"/>
  <c r="L38" i="8"/>
  <c r="L40" i="8"/>
  <c r="L41" i="8"/>
  <c r="L42" i="8"/>
  <c r="L44" i="8"/>
  <c r="L45" i="8"/>
  <c r="L46" i="8"/>
  <c r="L48" i="8"/>
  <c r="L49" i="8"/>
  <c r="L50" i="8"/>
  <c r="L52" i="8"/>
  <c r="L53" i="8"/>
  <c r="L54" i="8"/>
  <c r="L56" i="8"/>
  <c r="L58" i="8"/>
  <c r="L60" i="8"/>
  <c r="L61" i="8"/>
  <c r="L62" i="8"/>
  <c r="L64" i="8"/>
  <c r="L65" i="8"/>
  <c r="L66" i="8"/>
  <c r="L68" i="8"/>
  <c r="L69" i="8"/>
  <c r="L70" i="8"/>
  <c r="L72" i="8"/>
  <c r="L74" i="8"/>
  <c r="L76" i="8"/>
  <c r="L78" i="8"/>
  <c r="L80" i="8"/>
  <c r="L82" i="8"/>
  <c r="L84" i="8"/>
  <c r="L86" i="8"/>
  <c r="L88" i="8"/>
  <c r="L89" i="8"/>
  <c r="L90" i="8"/>
  <c r="L92" i="8"/>
  <c r="L93" i="8"/>
  <c r="L94" i="8"/>
  <c r="L96" i="8"/>
  <c r="L98" i="8"/>
  <c r="L100" i="8"/>
  <c r="L102" i="8"/>
  <c r="L104" i="8"/>
  <c r="L105" i="8"/>
  <c r="L106" i="8"/>
  <c r="L108" i="8"/>
  <c r="L109" i="8"/>
  <c r="L110" i="8"/>
  <c r="L112" i="8"/>
  <c r="L113" i="8"/>
  <c r="L114" i="8"/>
  <c r="L116" i="8"/>
  <c r="L118" i="8"/>
  <c r="L120" i="8"/>
  <c r="L121" i="8"/>
  <c r="L122" i="8"/>
  <c r="L124" i="8"/>
  <c r="L125" i="8"/>
  <c r="L126" i="8"/>
  <c r="L128" i="8"/>
  <c r="L129" i="8"/>
  <c r="L130" i="8"/>
  <c r="L132" i="8"/>
  <c r="L134" i="8"/>
  <c r="L136" i="8"/>
  <c r="L137" i="8"/>
  <c r="L138" i="8"/>
  <c r="L140" i="8"/>
  <c r="L141" i="8"/>
  <c r="L142" i="8"/>
  <c r="L144" i="8"/>
  <c r="L146" i="8"/>
  <c r="L148" i="8"/>
  <c r="L149" i="8"/>
  <c r="L150" i="8"/>
  <c r="L152" i="8"/>
  <c r="L153" i="8"/>
  <c r="L154" i="8"/>
  <c r="L156" i="8"/>
  <c r="L157" i="8"/>
  <c r="L158" i="8"/>
  <c r="L160" i="8"/>
  <c r="L162" i="8"/>
  <c r="L164" i="8"/>
  <c r="L166" i="8"/>
  <c r="L168" i="8"/>
  <c r="L169" i="8"/>
  <c r="L170" i="8"/>
  <c r="L172" i="8"/>
  <c r="L173" i="8"/>
  <c r="C16" i="8"/>
  <c r="C15" i="8"/>
  <c r="E32" i="4"/>
  <c r="E82" i="4"/>
  <c r="F82" i="4" s="1"/>
  <c r="E83" i="4"/>
  <c r="F83" i="4" s="1"/>
  <c r="E84" i="4"/>
  <c r="E89" i="4"/>
  <c r="F89" i="4" s="1"/>
  <c r="E90" i="4"/>
  <c r="F90" i="4" s="1"/>
  <c r="E91" i="4"/>
  <c r="F91" i="4" s="1"/>
  <c r="E21" i="4"/>
  <c r="E22" i="4"/>
  <c r="F22" i="4" s="1"/>
  <c r="E23" i="4"/>
  <c r="F23" i="4" s="1"/>
  <c r="E24" i="4"/>
  <c r="E25" i="4"/>
  <c r="F25" i="4" s="1"/>
  <c r="E26" i="4"/>
  <c r="F26" i="4"/>
  <c r="E27" i="4"/>
  <c r="F27" i="4" s="1"/>
  <c r="E28" i="4"/>
  <c r="F28" i="4" s="1"/>
  <c r="E29" i="4"/>
  <c r="F29" i="4" s="1"/>
  <c r="E30" i="4"/>
  <c r="F30" i="4" s="1"/>
  <c r="E31" i="4"/>
  <c r="F31" i="4" s="1"/>
  <c r="E33" i="4"/>
  <c r="F33" i="4" s="1"/>
  <c r="E34" i="4"/>
  <c r="F34" i="4" s="1"/>
  <c r="E35" i="4"/>
  <c r="F35" i="4" s="1"/>
  <c r="E71" i="4"/>
  <c r="F71" i="4"/>
  <c r="E74" i="4"/>
  <c r="F74" i="4" s="1"/>
  <c r="E75" i="4"/>
  <c r="F75" i="4" s="1"/>
  <c r="E46" i="4"/>
  <c r="F46" i="4" s="1"/>
  <c r="E64" i="4"/>
  <c r="F64" i="4" s="1"/>
  <c r="E63" i="4"/>
  <c r="F63" i="4" s="1"/>
  <c r="E61" i="4"/>
  <c r="F61" i="4" s="1"/>
  <c r="E60" i="4"/>
  <c r="F60" i="4" s="1"/>
  <c r="E58" i="4"/>
  <c r="F58" i="4" s="1"/>
  <c r="E57" i="4"/>
  <c r="F57" i="4" s="1"/>
  <c r="E55" i="4"/>
  <c r="F55" i="4" s="1"/>
  <c r="E54" i="4"/>
  <c r="F54" i="4"/>
  <c r="P54" i="4" s="1"/>
  <c r="R54" i="4" s="1"/>
  <c r="T54" i="4" s="1"/>
  <c r="E45" i="4"/>
  <c r="F45" i="4" s="1"/>
  <c r="P45" i="4" s="1"/>
  <c r="E42" i="4"/>
  <c r="F42" i="4"/>
  <c r="E44" i="4"/>
  <c r="F44" i="4" s="1"/>
  <c r="E49" i="4"/>
  <c r="F49" i="4"/>
  <c r="E51" i="4"/>
  <c r="F51" i="4" s="1"/>
  <c r="E68" i="4"/>
  <c r="F68" i="4" s="1"/>
  <c r="E69" i="4"/>
  <c r="F69" i="4" s="1"/>
  <c r="E70" i="4"/>
  <c r="F70" i="4" s="1"/>
  <c r="E41" i="4"/>
  <c r="F41" i="4"/>
  <c r="G41" i="4"/>
  <c r="E39" i="4"/>
  <c r="F39" i="4" s="1"/>
  <c r="E40" i="4"/>
  <c r="F40" i="4" s="1"/>
  <c r="E48" i="4"/>
  <c r="F48" i="4" s="1"/>
  <c r="E50" i="4"/>
  <c r="F50" i="4" s="1"/>
  <c r="E52" i="4"/>
  <c r="F52" i="4" s="1"/>
  <c r="E38" i="4"/>
  <c r="Q32" i="4"/>
  <c r="E37" i="4"/>
  <c r="F37" i="4" s="1"/>
  <c r="E43" i="4"/>
  <c r="F43" i="4" s="1"/>
  <c r="E36" i="4"/>
  <c r="F36" i="4" s="1"/>
  <c r="U109" i="4"/>
  <c r="E65" i="4"/>
  <c r="F65" i="4" s="1"/>
  <c r="E66" i="4"/>
  <c r="F66" i="4" s="1"/>
  <c r="U66" i="4" s="1"/>
  <c r="E67" i="4"/>
  <c r="F67" i="4" s="1"/>
  <c r="U67" i="4" s="1"/>
  <c r="E72" i="4"/>
  <c r="F72" i="4"/>
  <c r="E73" i="4"/>
  <c r="F73" i="4" s="1"/>
  <c r="E76" i="4"/>
  <c r="F76" i="4" s="1"/>
  <c r="U76" i="4" s="1"/>
  <c r="E77" i="4"/>
  <c r="E78" i="4"/>
  <c r="F78" i="4"/>
  <c r="U78" i="4" s="1"/>
  <c r="E79" i="4"/>
  <c r="F79" i="4" s="1"/>
  <c r="E80" i="4"/>
  <c r="F80" i="4" s="1"/>
  <c r="E81" i="4"/>
  <c r="F81" i="4" s="1"/>
  <c r="U81" i="4" s="1"/>
  <c r="E85" i="4"/>
  <c r="F85" i="4" s="1"/>
  <c r="E86" i="4"/>
  <c r="F86" i="4" s="1"/>
  <c r="E87" i="4"/>
  <c r="F87" i="4" s="1"/>
  <c r="U87" i="4" s="1"/>
  <c r="E88" i="4"/>
  <c r="E92" i="4"/>
  <c r="F92" i="4" s="1"/>
  <c r="E93" i="4"/>
  <c r="F93" i="4"/>
  <c r="U93" i="4" s="1"/>
  <c r="U98" i="4"/>
  <c r="J56" i="4"/>
  <c r="J59" i="4"/>
  <c r="J62" i="4"/>
  <c r="J53" i="4"/>
  <c r="E59" i="4"/>
  <c r="E62" i="4"/>
  <c r="F62" i="4" s="1"/>
  <c r="Q26" i="4"/>
  <c r="Q29" i="4"/>
  <c r="Q54" i="4"/>
  <c r="Q57" i="4"/>
  <c r="Q58" i="4"/>
  <c r="Q60" i="4"/>
  <c r="Q61" i="4"/>
  <c r="Q64" i="4"/>
  <c r="Q82" i="4"/>
  <c r="Q84" i="4"/>
  <c r="Q89" i="4"/>
  <c r="Q91" i="4"/>
  <c r="Q128" i="4"/>
  <c r="Q164" i="4"/>
  <c r="Q167" i="4"/>
  <c r="Q74" i="4"/>
  <c r="Q157" i="4"/>
  <c r="Q159" i="4"/>
  <c r="Q186" i="4"/>
  <c r="Q189" i="4"/>
  <c r="Q198" i="4"/>
  <c r="Q201" i="4"/>
  <c r="Q204" i="4"/>
  <c r="Q220" i="4"/>
  <c r="Q221" i="4"/>
  <c r="Q224" i="4"/>
  <c r="C153" i="11"/>
  <c r="E153" i="11"/>
  <c r="C152" i="11"/>
  <c r="E152" i="11"/>
  <c r="C151" i="11"/>
  <c r="E151" i="11"/>
  <c r="C150" i="11"/>
  <c r="E150" i="11"/>
  <c r="C149" i="11"/>
  <c r="E149" i="11"/>
  <c r="C148" i="11"/>
  <c r="C147" i="11"/>
  <c r="E147" i="11"/>
  <c r="C146" i="11"/>
  <c r="E146" i="11"/>
  <c r="C106" i="11"/>
  <c r="E106" i="11"/>
  <c r="C145" i="11"/>
  <c r="E145" i="11"/>
  <c r="C144" i="11"/>
  <c r="E144" i="11"/>
  <c r="C74" i="11"/>
  <c r="E74" i="11"/>
  <c r="C73" i="11"/>
  <c r="E73" i="11"/>
  <c r="C72" i="11"/>
  <c r="E72" i="11"/>
  <c r="C71" i="11"/>
  <c r="E71" i="11"/>
  <c r="C143" i="11"/>
  <c r="E143" i="11"/>
  <c r="C142" i="11"/>
  <c r="E142" i="11"/>
  <c r="C141" i="11"/>
  <c r="E141" i="11"/>
  <c r="C125" i="11"/>
  <c r="C124" i="11"/>
  <c r="E124" i="11"/>
  <c r="C123" i="11"/>
  <c r="E123" i="11"/>
  <c r="C122" i="11"/>
  <c r="E122" i="11"/>
  <c r="C121" i="11"/>
  <c r="E121" i="11"/>
  <c r="C120" i="11"/>
  <c r="C119" i="11"/>
  <c r="E119" i="11"/>
  <c r="C118" i="11"/>
  <c r="E118" i="11"/>
  <c r="C117" i="11"/>
  <c r="E117" i="11"/>
  <c r="C116" i="11"/>
  <c r="E116" i="11"/>
  <c r="C115" i="11"/>
  <c r="E115" i="11"/>
  <c r="C114" i="11"/>
  <c r="E114" i="11"/>
  <c r="C113" i="11"/>
  <c r="C112" i="11"/>
  <c r="C111" i="11"/>
  <c r="E111" i="11"/>
  <c r="C110" i="11"/>
  <c r="E110" i="11"/>
  <c r="C109" i="11"/>
  <c r="E109" i="11"/>
  <c r="C108" i="11"/>
  <c r="E108" i="11"/>
  <c r="C107" i="11"/>
  <c r="E107" i="11"/>
  <c r="C105" i="11"/>
  <c r="E105" i="11"/>
  <c r="C104" i="11"/>
  <c r="E104" i="11"/>
  <c r="C103" i="11"/>
  <c r="E103" i="11"/>
  <c r="C102" i="11"/>
  <c r="C101" i="11"/>
  <c r="E101" i="11"/>
  <c r="C100" i="11"/>
  <c r="E100" i="11"/>
  <c r="C99" i="11"/>
  <c r="E99" i="11"/>
  <c r="C98" i="11"/>
  <c r="E98" i="11"/>
  <c r="C97" i="11"/>
  <c r="E97" i="11"/>
  <c r="C96" i="11"/>
  <c r="E96" i="11"/>
  <c r="C95" i="11"/>
  <c r="E95" i="11"/>
  <c r="C94" i="11"/>
  <c r="C93" i="11"/>
  <c r="E93" i="11"/>
  <c r="C140" i="11"/>
  <c r="E140" i="11"/>
  <c r="C92" i="11"/>
  <c r="E92" i="11"/>
  <c r="C91" i="11"/>
  <c r="E91" i="11"/>
  <c r="C139" i="11"/>
  <c r="E139" i="11"/>
  <c r="C90" i="11"/>
  <c r="C89" i="11"/>
  <c r="E89" i="11"/>
  <c r="C88" i="11"/>
  <c r="E88" i="11"/>
  <c r="C87" i="11"/>
  <c r="E87" i="11"/>
  <c r="C86" i="11"/>
  <c r="E86" i="11"/>
  <c r="C85" i="11"/>
  <c r="E85" i="11"/>
  <c r="C84" i="11"/>
  <c r="E84" i="11"/>
  <c r="C83" i="11"/>
  <c r="E83" i="11"/>
  <c r="C82" i="11"/>
  <c r="C81" i="11"/>
  <c r="E81" i="11"/>
  <c r="C80" i="11"/>
  <c r="E80" i="11"/>
  <c r="C79" i="11"/>
  <c r="C78" i="11"/>
  <c r="C77" i="11"/>
  <c r="E77" i="11"/>
  <c r="C76" i="11"/>
  <c r="E76" i="11"/>
  <c r="C75" i="11"/>
  <c r="E75" i="11"/>
  <c r="C70" i="11"/>
  <c r="C69" i="11"/>
  <c r="E69" i="11"/>
  <c r="C138" i="11"/>
  <c r="E138" i="11"/>
  <c r="C68" i="11"/>
  <c r="E68" i="11"/>
  <c r="C67" i="11"/>
  <c r="C66" i="11"/>
  <c r="E66" i="11"/>
  <c r="C65" i="11"/>
  <c r="C64" i="11"/>
  <c r="E64" i="11"/>
  <c r="C63" i="11"/>
  <c r="C62" i="11"/>
  <c r="E62" i="11"/>
  <c r="C61" i="11"/>
  <c r="E61" i="11"/>
  <c r="C60" i="11"/>
  <c r="E60" i="11"/>
  <c r="C59" i="11"/>
  <c r="E59" i="11"/>
  <c r="C58" i="11"/>
  <c r="E58" i="11"/>
  <c r="C57" i="11"/>
  <c r="E57" i="11"/>
  <c r="C56" i="11"/>
  <c r="E56" i="11"/>
  <c r="C55" i="11"/>
  <c r="E55" i="11"/>
  <c r="C54" i="11"/>
  <c r="E54" i="11"/>
  <c r="C53" i="11"/>
  <c r="E53" i="11"/>
  <c r="C52" i="11"/>
  <c r="E52" i="11"/>
  <c r="C51" i="11"/>
  <c r="E51" i="11"/>
  <c r="C50" i="11"/>
  <c r="E50" i="11"/>
  <c r="C49" i="11"/>
  <c r="E49" i="11"/>
  <c r="C48" i="11"/>
  <c r="E48" i="11"/>
  <c r="C47" i="11"/>
  <c r="E47" i="11"/>
  <c r="C46" i="11"/>
  <c r="E46" i="11"/>
  <c r="C45" i="11"/>
  <c r="E45" i="11"/>
  <c r="C44" i="11"/>
  <c r="E44" i="11"/>
  <c r="C137" i="11"/>
  <c r="C136" i="11"/>
  <c r="E136" i="11"/>
  <c r="C43" i="11"/>
  <c r="C42" i="11"/>
  <c r="E42" i="11"/>
  <c r="C41" i="11"/>
  <c r="E41" i="11"/>
  <c r="C40" i="11"/>
  <c r="E40" i="11"/>
  <c r="C135" i="11"/>
  <c r="C134" i="11"/>
  <c r="E134" i="11"/>
  <c r="C39" i="11"/>
  <c r="E39" i="11"/>
  <c r="C38" i="11"/>
  <c r="C37" i="11"/>
  <c r="E37" i="11"/>
  <c r="C36" i="11"/>
  <c r="E36" i="11"/>
  <c r="C133" i="11"/>
  <c r="E133" i="11"/>
  <c r="C132" i="11"/>
  <c r="E132" i="11"/>
  <c r="C131" i="11"/>
  <c r="E131" i="11"/>
  <c r="C130" i="11"/>
  <c r="E130" i="11"/>
  <c r="C129" i="11"/>
  <c r="E129" i="11"/>
  <c r="C128" i="11"/>
  <c r="E128" i="11"/>
  <c r="C35" i="11"/>
  <c r="E53" i="4"/>
  <c r="C34" i="11"/>
  <c r="C33" i="11"/>
  <c r="E33" i="11"/>
  <c r="C32" i="11"/>
  <c r="C31" i="11"/>
  <c r="E31" i="11"/>
  <c r="C30" i="11"/>
  <c r="C29" i="11"/>
  <c r="E29" i="11"/>
  <c r="C28" i="11"/>
  <c r="E28" i="11"/>
  <c r="C27" i="11"/>
  <c r="E27" i="11"/>
  <c r="C26" i="11"/>
  <c r="E26" i="11"/>
  <c r="C25" i="11"/>
  <c r="C24" i="11"/>
  <c r="E24" i="11"/>
  <c r="C23" i="11"/>
  <c r="E23" i="11"/>
  <c r="C22" i="11"/>
  <c r="E22" i="11"/>
  <c r="C21" i="11"/>
  <c r="E21" i="11"/>
  <c r="C20" i="11"/>
  <c r="C19" i="11"/>
  <c r="E19" i="11"/>
  <c r="C18" i="11"/>
  <c r="C127" i="11"/>
  <c r="E127" i="11"/>
  <c r="C17" i="11"/>
  <c r="E17" i="11"/>
  <c r="C16" i="11"/>
  <c r="E16" i="11"/>
  <c r="C126" i="11"/>
  <c r="E126" i="11"/>
  <c r="C15" i="11"/>
  <c r="E15" i="11"/>
  <c r="C14" i="11"/>
  <c r="C13" i="11"/>
  <c r="E13" i="11"/>
  <c r="C12" i="11"/>
  <c r="E12" i="11"/>
  <c r="C11" i="11"/>
  <c r="A147" i="11"/>
  <c r="B147" i="11"/>
  <c r="D147" i="11"/>
  <c r="A148" i="11"/>
  <c r="B148" i="11"/>
  <c r="D148" i="11"/>
  <c r="A149" i="11"/>
  <c r="B149" i="11"/>
  <c r="D149" i="11"/>
  <c r="A150" i="11"/>
  <c r="B150" i="11"/>
  <c r="D150" i="11"/>
  <c r="A151" i="11"/>
  <c r="B151" i="11"/>
  <c r="D151" i="11"/>
  <c r="A152" i="11"/>
  <c r="B152" i="11"/>
  <c r="D152" i="11"/>
  <c r="A153" i="11"/>
  <c r="B153" i="11"/>
  <c r="D153" i="11"/>
  <c r="K81" i="11"/>
  <c r="K83" i="11"/>
  <c r="K90" i="11"/>
  <c r="D90" i="11"/>
  <c r="K139" i="11"/>
  <c r="K140" i="11"/>
  <c r="K94" i="11"/>
  <c r="K96" i="11"/>
  <c r="D96" i="11"/>
  <c r="K107" i="11"/>
  <c r="D107" i="11"/>
  <c r="K109" i="11"/>
  <c r="K111" i="11"/>
  <c r="K113" i="11"/>
  <c r="K114" i="11"/>
  <c r="K115" i="11"/>
  <c r="K116" i="11"/>
  <c r="D116" i="11"/>
  <c r="K119" i="11"/>
  <c r="K123" i="11"/>
  <c r="D123" i="11"/>
  <c r="K124" i="11"/>
  <c r="Q21" i="4"/>
  <c r="Q22" i="4"/>
  <c r="Q23" i="4"/>
  <c r="Q24" i="4"/>
  <c r="Q25" i="4"/>
  <c r="Q27" i="4"/>
  <c r="Q28" i="4"/>
  <c r="Q30" i="4"/>
  <c r="Q31" i="4"/>
  <c r="Q33" i="4"/>
  <c r="Q34" i="4"/>
  <c r="Q35" i="4"/>
  <c r="Q46" i="4"/>
  <c r="Q55" i="4"/>
  <c r="Q63" i="4"/>
  <c r="Q71" i="4"/>
  <c r="Q75" i="4"/>
  <c r="Q83" i="4"/>
  <c r="Q90" i="4"/>
  <c r="Q97" i="4"/>
  <c r="Q101" i="4"/>
  <c r="Q102" i="4"/>
  <c r="Q104" i="4"/>
  <c r="Q105" i="4"/>
  <c r="Q110" i="4"/>
  <c r="Q111" i="4"/>
  <c r="Q112" i="4"/>
  <c r="Q113" i="4"/>
  <c r="Q116" i="4"/>
  <c r="Q120" i="4"/>
  <c r="Q122" i="4"/>
  <c r="Q125" i="4"/>
  <c r="Q133" i="4"/>
  <c r="Q134" i="4"/>
  <c r="Q136" i="4"/>
  <c r="Q138" i="4"/>
  <c r="Q143" i="4"/>
  <c r="Q178" i="4"/>
  <c r="Q182" i="4"/>
  <c r="Q184" i="4"/>
  <c r="Q187" i="4"/>
  <c r="Q190" i="4"/>
  <c r="Q194" i="4"/>
  <c r="Q195" i="4"/>
  <c r="Q196" i="4"/>
  <c r="Q199" i="4"/>
  <c r="Q202" i="4"/>
  <c r="Q209" i="4"/>
  <c r="Q214" i="4"/>
  <c r="Q218" i="4"/>
  <c r="D11" i="13"/>
  <c r="D12" i="13"/>
  <c r="D13" i="13"/>
  <c r="C3" i="13"/>
  <c r="D9" i="13"/>
  <c r="E9" i="13"/>
  <c r="E94" i="13"/>
  <c r="F94" i="13"/>
  <c r="G94" i="13"/>
  <c r="E95" i="13"/>
  <c r="F95" i="13"/>
  <c r="G95" i="13"/>
  <c r="E96" i="13"/>
  <c r="F96" i="13"/>
  <c r="E97" i="13"/>
  <c r="F97" i="13"/>
  <c r="G97" i="13"/>
  <c r="E98" i="13"/>
  <c r="F98" i="13"/>
  <c r="G98" i="13"/>
  <c r="E100" i="13"/>
  <c r="F100" i="13"/>
  <c r="G100" i="13"/>
  <c r="E101" i="13"/>
  <c r="F101" i="13"/>
  <c r="G101" i="13"/>
  <c r="E102" i="13"/>
  <c r="F102" i="13"/>
  <c r="E103" i="13"/>
  <c r="F103" i="13"/>
  <c r="G103" i="13"/>
  <c r="E104" i="13"/>
  <c r="F104" i="13"/>
  <c r="G104" i="13"/>
  <c r="E105" i="13"/>
  <c r="F105" i="13"/>
  <c r="E106" i="13"/>
  <c r="F106" i="13"/>
  <c r="G106" i="13"/>
  <c r="E107" i="13"/>
  <c r="F107" i="13"/>
  <c r="G107" i="13"/>
  <c r="E108" i="13"/>
  <c r="F108" i="13"/>
  <c r="G108" i="13"/>
  <c r="E109" i="13"/>
  <c r="F109" i="13"/>
  <c r="G109" i="13"/>
  <c r="E110" i="13"/>
  <c r="F110" i="13"/>
  <c r="G110" i="13"/>
  <c r="E111" i="13"/>
  <c r="F111" i="13"/>
  <c r="G111" i="13"/>
  <c r="E112" i="13"/>
  <c r="F112" i="13"/>
  <c r="G112" i="13"/>
  <c r="E113" i="13"/>
  <c r="F113" i="13"/>
  <c r="E114" i="13"/>
  <c r="F114" i="13"/>
  <c r="G114" i="13"/>
  <c r="E115" i="13"/>
  <c r="F115" i="13"/>
  <c r="G115" i="13"/>
  <c r="E116" i="13"/>
  <c r="F116" i="13"/>
  <c r="G116" i="13"/>
  <c r="E117" i="13"/>
  <c r="F117" i="13"/>
  <c r="G117" i="13"/>
  <c r="N117" i="13"/>
  <c r="E118" i="13"/>
  <c r="F118" i="13"/>
  <c r="G118" i="13"/>
  <c r="K118" i="13"/>
  <c r="E119" i="13"/>
  <c r="F119" i="13"/>
  <c r="G119" i="13"/>
  <c r="E120" i="13"/>
  <c r="F120" i="13"/>
  <c r="G120" i="13"/>
  <c r="N120" i="13"/>
  <c r="E121" i="13"/>
  <c r="F121" i="13"/>
  <c r="E122" i="13"/>
  <c r="F122" i="13"/>
  <c r="G122" i="13"/>
  <c r="N122" i="13"/>
  <c r="E123" i="13"/>
  <c r="F123" i="13"/>
  <c r="G123" i="13"/>
  <c r="K123" i="13"/>
  <c r="E124" i="13"/>
  <c r="F124" i="13"/>
  <c r="G124" i="13"/>
  <c r="E125" i="13"/>
  <c r="F125" i="13"/>
  <c r="G125" i="13"/>
  <c r="K125" i="13"/>
  <c r="E126" i="13"/>
  <c r="F126" i="13"/>
  <c r="G126" i="13"/>
  <c r="N126" i="13"/>
  <c r="E127" i="13"/>
  <c r="F127" i="13"/>
  <c r="G127" i="13"/>
  <c r="E128" i="13"/>
  <c r="F128" i="13"/>
  <c r="G128" i="13"/>
  <c r="E129" i="13"/>
  <c r="F129" i="13"/>
  <c r="P129" i="13"/>
  <c r="E130" i="13"/>
  <c r="F130" i="13"/>
  <c r="G130" i="13"/>
  <c r="N130" i="13"/>
  <c r="E131" i="13"/>
  <c r="F131" i="13"/>
  <c r="G131" i="13"/>
  <c r="N131" i="13"/>
  <c r="E132" i="13"/>
  <c r="F132" i="13"/>
  <c r="G132" i="13"/>
  <c r="E133" i="13"/>
  <c r="F133" i="13"/>
  <c r="E134" i="13"/>
  <c r="F134" i="13"/>
  <c r="G134" i="13"/>
  <c r="N134" i="13"/>
  <c r="E135" i="13"/>
  <c r="F135" i="13"/>
  <c r="G135" i="13"/>
  <c r="E136" i="13"/>
  <c r="F136" i="13"/>
  <c r="G136" i="13"/>
  <c r="E137" i="13"/>
  <c r="F137" i="13"/>
  <c r="E138" i="13"/>
  <c r="F138" i="13"/>
  <c r="E139" i="13"/>
  <c r="F139" i="13"/>
  <c r="E140" i="13"/>
  <c r="F140" i="13"/>
  <c r="E141" i="13"/>
  <c r="F141" i="13"/>
  <c r="G141" i="13"/>
  <c r="N141" i="13"/>
  <c r="E142" i="13"/>
  <c r="F142" i="13"/>
  <c r="G142" i="13"/>
  <c r="E143" i="13"/>
  <c r="F143" i="13"/>
  <c r="E144" i="13"/>
  <c r="F144" i="13"/>
  <c r="E145" i="13"/>
  <c r="F145" i="13"/>
  <c r="E146" i="13"/>
  <c r="F146" i="13"/>
  <c r="G146" i="13"/>
  <c r="N146" i="13"/>
  <c r="E147" i="13"/>
  <c r="F147" i="13"/>
  <c r="E148" i="13"/>
  <c r="F148" i="13"/>
  <c r="E149" i="13"/>
  <c r="F149" i="13"/>
  <c r="G149" i="13"/>
  <c r="E150" i="13"/>
  <c r="F150" i="13"/>
  <c r="G150" i="13"/>
  <c r="N150" i="13"/>
  <c r="E151" i="13"/>
  <c r="F151" i="13"/>
  <c r="E99" i="13"/>
  <c r="F99" i="13"/>
  <c r="E23" i="13"/>
  <c r="F23" i="13"/>
  <c r="E24" i="13"/>
  <c r="F24" i="13"/>
  <c r="G24" i="13"/>
  <c r="E25" i="13"/>
  <c r="F25" i="13"/>
  <c r="G25" i="13"/>
  <c r="N25" i="13"/>
  <c r="E26" i="13"/>
  <c r="F26" i="13"/>
  <c r="G26" i="13"/>
  <c r="E27" i="13"/>
  <c r="F27" i="13"/>
  <c r="E28" i="13"/>
  <c r="F28" i="13"/>
  <c r="E30" i="13"/>
  <c r="F30" i="13"/>
  <c r="E33" i="13"/>
  <c r="F33" i="13"/>
  <c r="E34" i="13"/>
  <c r="F34" i="13"/>
  <c r="E35" i="13"/>
  <c r="F35" i="13"/>
  <c r="E36" i="13"/>
  <c r="F36" i="13"/>
  <c r="E37" i="13"/>
  <c r="F37" i="13"/>
  <c r="E38" i="13"/>
  <c r="F38" i="13"/>
  <c r="E39" i="13"/>
  <c r="F39" i="13"/>
  <c r="E40" i="13"/>
  <c r="F40" i="13"/>
  <c r="E41" i="13"/>
  <c r="F41" i="13"/>
  <c r="E45" i="13"/>
  <c r="F45" i="13"/>
  <c r="E46" i="13"/>
  <c r="F46" i="13"/>
  <c r="E47" i="13"/>
  <c r="F47" i="13"/>
  <c r="E73" i="13"/>
  <c r="F73" i="13"/>
  <c r="E74" i="13"/>
  <c r="F74" i="13"/>
  <c r="E78" i="13"/>
  <c r="F78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G87" i="13"/>
  <c r="E88" i="13"/>
  <c r="F88" i="13"/>
  <c r="E89" i="13"/>
  <c r="F89" i="13"/>
  <c r="G89" i="13"/>
  <c r="E90" i="13"/>
  <c r="F90" i="13"/>
  <c r="E91" i="13"/>
  <c r="F91" i="13"/>
  <c r="E92" i="13"/>
  <c r="F92" i="13"/>
  <c r="G92" i="13"/>
  <c r="E93" i="13"/>
  <c r="F93" i="13"/>
  <c r="G93" i="13"/>
  <c r="E21" i="13"/>
  <c r="F21" i="13"/>
  <c r="E22" i="13"/>
  <c r="F22" i="13"/>
  <c r="E29" i="13"/>
  <c r="F29" i="13"/>
  <c r="E31" i="13"/>
  <c r="F31" i="13"/>
  <c r="E32" i="13"/>
  <c r="F32" i="13"/>
  <c r="E42" i="13"/>
  <c r="F42" i="13"/>
  <c r="E43" i="13"/>
  <c r="F43" i="13"/>
  <c r="E44" i="13"/>
  <c r="F44" i="13"/>
  <c r="E48" i="13"/>
  <c r="F48" i="13"/>
  <c r="E49" i="13"/>
  <c r="F49" i="13"/>
  <c r="E50" i="13"/>
  <c r="F50" i="13"/>
  <c r="E51" i="13"/>
  <c r="F51" i="13"/>
  <c r="P51" i="13"/>
  <c r="E52" i="13"/>
  <c r="F52" i="13"/>
  <c r="E53" i="13"/>
  <c r="F53" i="13"/>
  <c r="E54" i="13"/>
  <c r="F54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8" i="13"/>
  <c r="F68" i="13"/>
  <c r="E69" i="13"/>
  <c r="F69" i="13"/>
  <c r="E70" i="13"/>
  <c r="F70" i="13"/>
  <c r="E71" i="13"/>
  <c r="F71" i="13"/>
  <c r="E72" i="13"/>
  <c r="F72" i="13"/>
  <c r="E75" i="13"/>
  <c r="F75" i="13"/>
  <c r="E76" i="13"/>
  <c r="F76" i="13"/>
  <c r="E77" i="13"/>
  <c r="F77" i="13"/>
  <c r="E79" i="13"/>
  <c r="F79" i="13"/>
  <c r="F16" i="13"/>
  <c r="F17" i="13" s="1"/>
  <c r="C17" i="13"/>
  <c r="H21" i="13"/>
  <c r="I22" i="13"/>
  <c r="Q22" i="13"/>
  <c r="I23" i="13"/>
  <c r="Q23" i="13"/>
  <c r="Q24" i="13"/>
  <c r="Q25" i="13"/>
  <c r="Q26" i="13"/>
  <c r="I27" i="13"/>
  <c r="Q27" i="13"/>
  <c r="I28" i="13"/>
  <c r="Q28" i="13"/>
  <c r="Q29" i="13"/>
  <c r="I30" i="13"/>
  <c r="Q30" i="13"/>
  <c r="Q31" i="13"/>
  <c r="Q32" i="13"/>
  <c r="I33" i="13"/>
  <c r="Q33" i="13"/>
  <c r="I34" i="13"/>
  <c r="Q34" i="13"/>
  <c r="I35" i="13"/>
  <c r="Q35" i="13"/>
  <c r="I36" i="13"/>
  <c r="Q36" i="13"/>
  <c r="I37" i="13"/>
  <c r="Q37" i="13"/>
  <c r="I38" i="13"/>
  <c r="Q38" i="13"/>
  <c r="I39" i="13"/>
  <c r="Q39" i="13"/>
  <c r="I40" i="13"/>
  <c r="Q40" i="13"/>
  <c r="I41" i="13"/>
  <c r="Q41" i="13"/>
  <c r="Q42" i="13"/>
  <c r="Q43" i="13"/>
  <c r="Q44" i="13"/>
  <c r="I45" i="13"/>
  <c r="Q45" i="13"/>
  <c r="I46" i="13"/>
  <c r="Q46" i="13"/>
  <c r="I47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J73" i="13"/>
  <c r="Q73" i="13"/>
  <c r="J74" i="13"/>
  <c r="Q74" i="13"/>
  <c r="Q75" i="13"/>
  <c r="Q76" i="13"/>
  <c r="Q77" i="13"/>
  <c r="L78" i="13"/>
  <c r="Q78" i="13"/>
  <c r="Q79" i="13"/>
  <c r="J80" i="13"/>
  <c r="Q80" i="13"/>
  <c r="L81" i="13"/>
  <c r="Q81" i="13"/>
  <c r="L82" i="13"/>
  <c r="Q82" i="13"/>
  <c r="L83" i="13"/>
  <c r="Q83" i="13"/>
  <c r="N84" i="13"/>
  <c r="Q84" i="13"/>
  <c r="N85" i="13"/>
  <c r="Q85" i="13"/>
  <c r="L86" i="13"/>
  <c r="Q86" i="13"/>
  <c r="N87" i="13"/>
  <c r="Q87" i="13"/>
  <c r="L88" i="13"/>
  <c r="Q88" i="13"/>
  <c r="Q89" i="13"/>
  <c r="L90" i="13"/>
  <c r="Q90" i="13"/>
  <c r="Q91" i="13"/>
  <c r="Q92" i="13"/>
  <c r="Q93" i="13"/>
  <c r="Q94" i="13"/>
  <c r="N95" i="13"/>
  <c r="Q95" i="13"/>
  <c r="Q96" i="13"/>
  <c r="Q97" i="13"/>
  <c r="Q98" i="13"/>
  <c r="Q99" i="13"/>
  <c r="Q100" i="13"/>
  <c r="Q101" i="13"/>
  <c r="Q102" i="13"/>
  <c r="Q103" i="13"/>
  <c r="Q104" i="13"/>
  <c r="Q105" i="13"/>
  <c r="K106" i="13"/>
  <c r="Q106" i="13"/>
  <c r="Q107" i="13"/>
  <c r="Q108" i="13"/>
  <c r="Q109" i="13"/>
  <c r="Q110" i="13"/>
  <c r="Q111" i="13"/>
  <c r="Q112" i="13"/>
  <c r="Q113" i="13"/>
  <c r="Q114" i="13"/>
  <c r="Q115" i="13"/>
  <c r="K116" i="13"/>
  <c r="Q116" i="13"/>
  <c r="Q117" i="13"/>
  <c r="Q118" i="13"/>
  <c r="Q119" i="13"/>
  <c r="Q120" i="13"/>
  <c r="Q121" i="13"/>
  <c r="Q122" i="13"/>
  <c r="Q123" i="13"/>
  <c r="K124" i="13"/>
  <c r="Q124" i="13"/>
  <c r="Q125" i="13"/>
  <c r="Q126" i="13"/>
  <c r="Q127" i="13"/>
  <c r="N128" i="13"/>
  <c r="Q128" i="13"/>
  <c r="Q129" i="13"/>
  <c r="Q130" i="13"/>
  <c r="Q131" i="13"/>
  <c r="N132" i="13"/>
  <c r="Q132" i="13"/>
  <c r="Q133" i="13"/>
  <c r="Q134" i="13"/>
  <c r="Q135" i="13"/>
  <c r="N136" i="13"/>
  <c r="Q136" i="13"/>
  <c r="Q137" i="13"/>
  <c r="Q138" i="13"/>
  <c r="Q139" i="13"/>
  <c r="Q140" i="13"/>
  <c r="Q141" i="13"/>
  <c r="K142" i="13"/>
  <c r="Q142" i="13"/>
  <c r="Q143" i="13"/>
  <c r="Q144" i="13"/>
  <c r="Q145" i="13"/>
  <c r="Q146" i="13"/>
  <c r="Q147" i="13"/>
  <c r="Q148" i="13"/>
  <c r="N149" i="13"/>
  <c r="Q149" i="13"/>
  <c r="Q150" i="13"/>
  <c r="Q151" i="13"/>
  <c r="G108" i="12"/>
  <c r="C108" i="12"/>
  <c r="E108" i="12"/>
  <c r="G107" i="12"/>
  <c r="C107" i="12"/>
  <c r="E107" i="12"/>
  <c r="G106" i="12"/>
  <c r="C106" i="12"/>
  <c r="E106" i="12"/>
  <c r="G160" i="12"/>
  <c r="C160" i="12"/>
  <c r="G105" i="12"/>
  <c r="C105" i="12"/>
  <c r="E105" i="12"/>
  <c r="G104" i="12"/>
  <c r="C104" i="12"/>
  <c r="E104" i="12"/>
  <c r="G159" i="12"/>
  <c r="C159" i="12"/>
  <c r="E159" i="12"/>
  <c r="G103" i="12"/>
  <c r="C103" i="12"/>
  <c r="E103" i="12"/>
  <c r="G102" i="12"/>
  <c r="C102" i="12"/>
  <c r="G101" i="12"/>
  <c r="C101" i="12"/>
  <c r="E101" i="12"/>
  <c r="G100" i="12"/>
  <c r="C100" i="12"/>
  <c r="E100" i="12"/>
  <c r="G158" i="12"/>
  <c r="C158" i="12"/>
  <c r="E158" i="12"/>
  <c r="G99" i="12"/>
  <c r="C99" i="12"/>
  <c r="E99" i="12"/>
  <c r="G98" i="12"/>
  <c r="C98" i="12"/>
  <c r="G97" i="12"/>
  <c r="C97" i="12"/>
  <c r="E97" i="12"/>
  <c r="G96" i="12"/>
  <c r="C96" i="12"/>
  <c r="G157" i="12"/>
  <c r="C157" i="12"/>
  <c r="G156" i="12"/>
  <c r="C156" i="12"/>
  <c r="E156" i="12"/>
  <c r="G155" i="12"/>
  <c r="C155" i="12"/>
  <c r="E155" i="12"/>
  <c r="G154" i="12"/>
  <c r="C154" i="12"/>
  <c r="G153" i="12"/>
  <c r="C153" i="12"/>
  <c r="E153" i="12"/>
  <c r="G95" i="12"/>
  <c r="C95" i="12"/>
  <c r="E95" i="12"/>
  <c r="G94" i="12"/>
  <c r="C94" i="12"/>
  <c r="E94" i="12"/>
  <c r="G93" i="12"/>
  <c r="C93" i="12"/>
  <c r="E93" i="12"/>
  <c r="G152" i="12"/>
  <c r="C152" i="12"/>
  <c r="E152" i="12"/>
  <c r="G151" i="12"/>
  <c r="C151" i="12"/>
  <c r="E151" i="12"/>
  <c r="G150" i="12"/>
  <c r="C150" i="12"/>
  <c r="E150" i="12"/>
  <c r="G149" i="12"/>
  <c r="C149" i="12"/>
  <c r="G92" i="12"/>
  <c r="C92" i="12"/>
  <c r="E92" i="12"/>
  <c r="G91" i="12"/>
  <c r="C91" i="12"/>
  <c r="E91" i="12"/>
  <c r="G90" i="12"/>
  <c r="C90" i="12"/>
  <c r="E90" i="12"/>
  <c r="G148" i="12"/>
  <c r="C148" i="12"/>
  <c r="G89" i="12"/>
  <c r="C89" i="12"/>
  <c r="E89" i="12"/>
  <c r="G88" i="12"/>
  <c r="C88" i="12"/>
  <c r="E88" i="12"/>
  <c r="G87" i="12"/>
  <c r="C87" i="12"/>
  <c r="E87" i="12"/>
  <c r="G86" i="12"/>
  <c r="C86" i="12"/>
  <c r="E86" i="12"/>
  <c r="G85" i="12"/>
  <c r="C85" i="12"/>
  <c r="E85" i="12"/>
  <c r="G84" i="12"/>
  <c r="C84" i="12"/>
  <c r="E84" i="12"/>
  <c r="G83" i="12"/>
  <c r="C83" i="12"/>
  <c r="E83" i="12"/>
  <c r="G82" i="12"/>
  <c r="C82" i="12"/>
  <c r="G81" i="12"/>
  <c r="C81" i="12"/>
  <c r="E81" i="12"/>
  <c r="G80" i="12"/>
  <c r="C80" i="12"/>
  <c r="E80" i="12"/>
  <c r="G79" i="12"/>
  <c r="C79" i="12"/>
  <c r="E79" i="12"/>
  <c r="G78" i="12"/>
  <c r="C78" i="12"/>
  <c r="E78" i="12"/>
  <c r="G77" i="12"/>
  <c r="C77" i="12"/>
  <c r="G76" i="12"/>
  <c r="C76" i="12"/>
  <c r="E76" i="12"/>
  <c r="G147" i="12"/>
  <c r="C147" i="12"/>
  <c r="E147" i="12"/>
  <c r="G75" i="12"/>
  <c r="C75" i="12"/>
  <c r="E75" i="12"/>
  <c r="G74" i="12"/>
  <c r="C74" i="12"/>
  <c r="E74" i="12"/>
  <c r="G73" i="12"/>
  <c r="C73" i="12"/>
  <c r="E73" i="12"/>
  <c r="G72" i="12"/>
  <c r="C72" i="12"/>
  <c r="E72" i="12"/>
  <c r="G71" i="12"/>
  <c r="C71" i="12"/>
  <c r="E71" i="12"/>
  <c r="G70" i="12"/>
  <c r="C70" i="12"/>
  <c r="E70" i="12"/>
  <c r="G69" i="12"/>
  <c r="C69" i="12"/>
  <c r="E69" i="12"/>
  <c r="G68" i="12"/>
  <c r="C68" i="12"/>
  <c r="G67" i="12"/>
  <c r="C67" i="12"/>
  <c r="E67" i="12"/>
  <c r="G146" i="12"/>
  <c r="C146" i="12"/>
  <c r="E146" i="12"/>
  <c r="G66" i="12"/>
  <c r="C66" i="12"/>
  <c r="G65" i="12"/>
  <c r="C65" i="12"/>
  <c r="G145" i="12"/>
  <c r="C145" i="12"/>
  <c r="E145" i="12"/>
  <c r="G64" i="12"/>
  <c r="C64" i="12"/>
  <c r="E64" i="12"/>
  <c r="G63" i="12"/>
  <c r="C63" i="12"/>
  <c r="E63" i="12"/>
  <c r="G62" i="12"/>
  <c r="C62" i="12"/>
  <c r="G144" i="12"/>
  <c r="C144" i="12"/>
  <c r="E144" i="12"/>
  <c r="G143" i="12"/>
  <c r="C143" i="12"/>
  <c r="E143" i="12"/>
  <c r="G61" i="12"/>
  <c r="C61" i="12"/>
  <c r="E61" i="12"/>
  <c r="G142" i="12"/>
  <c r="C142" i="12"/>
  <c r="E142" i="12"/>
  <c r="G141" i="12"/>
  <c r="C141" i="12"/>
  <c r="E141" i="12"/>
  <c r="G60" i="12"/>
  <c r="C60" i="12"/>
  <c r="G59" i="12"/>
  <c r="C59" i="12"/>
  <c r="E59" i="12"/>
  <c r="G140" i="12"/>
  <c r="C140" i="12"/>
  <c r="E140" i="12"/>
  <c r="G58" i="12"/>
  <c r="C58" i="12"/>
  <c r="E58" i="12"/>
  <c r="G57" i="12"/>
  <c r="C57" i="12"/>
  <c r="G139" i="12"/>
  <c r="C139" i="12"/>
  <c r="E139" i="12"/>
  <c r="G138" i="12"/>
  <c r="C138" i="12"/>
  <c r="E138" i="12"/>
  <c r="G137" i="12"/>
  <c r="C137" i="12"/>
  <c r="E137" i="12"/>
  <c r="G56" i="12"/>
  <c r="C56" i="12"/>
  <c r="G55" i="12"/>
  <c r="C55" i="12"/>
  <c r="E55" i="12"/>
  <c r="G136" i="12"/>
  <c r="C136" i="12"/>
  <c r="E136" i="12"/>
  <c r="G135" i="12"/>
  <c r="C135" i="12"/>
  <c r="G134" i="12"/>
  <c r="C134" i="12"/>
  <c r="E134" i="12"/>
  <c r="G133" i="12"/>
  <c r="C133" i="12"/>
  <c r="E133" i="12"/>
  <c r="G54" i="12"/>
  <c r="C54" i="12"/>
  <c r="E54" i="12"/>
  <c r="G53" i="12"/>
  <c r="C53" i="12"/>
  <c r="E53" i="12"/>
  <c r="G52" i="12"/>
  <c r="C52" i="12"/>
  <c r="E52" i="12"/>
  <c r="G51" i="12"/>
  <c r="C51" i="12"/>
  <c r="E51" i="12"/>
  <c r="G132" i="12"/>
  <c r="C132" i="12"/>
  <c r="E132" i="12"/>
  <c r="G131" i="12"/>
  <c r="C131" i="12"/>
  <c r="E131" i="12"/>
  <c r="G50" i="12"/>
  <c r="C50" i="12"/>
  <c r="E50" i="12"/>
  <c r="G130" i="12"/>
  <c r="C130" i="12"/>
  <c r="G129" i="12"/>
  <c r="C129" i="12"/>
  <c r="E129" i="12"/>
  <c r="G49" i="12"/>
  <c r="C49" i="12"/>
  <c r="G48" i="12"/>
  <c r="C48" i="12"/>
  <c r="E48" i="12"/>
  <c r="G47" i="12"/>
  <c r="C47" i="12"/>
  <c r="E47" i="12"/>
  <c r="G128" i="12"/>
  <c r="C128" i="12"/>
  <c r="E128" i="12"/>
  <c r="G46" i="12"/>
  <c r="C46" i="12"/>
  <c r="E46" i="12"/>
  <c r="G45" i="12"/>
  <c r="C45" i="12"/>
  <c r="E45" i="12"/>
  <c r="G44" i="12"/>
  <c r="C44" i="12"/>
  <c r="E44" i="12"/>
  <c r="G43" i="12"/>
  <c r="C43" i="12"/>
  <c r="E43" i="12"/>
  <c r="G42" i="12"/>
  <c r="C42" i="12"/>
  <c r="E42" i="12"/>
  <c r="G127" i="12"/>
  <c r="C127" i="12"/>
  <c r="E127" i="12"/>
  <c r="G41" i="12"/>
  <c r="C41" i="12"/>
  <c r="G40" i="12"/>
  <c r="C40" i="12"/>
  <c r="E40" i="12"/>
  <c r="G39" i="12"/>
  <c r="C39" i="12"/>
  <c r="E39" i="12"/>
  <c r="G38" i="12"/>
  <c r="C38" i="12"/>
  <c r="E38" i="12"/>
  <c r="G126" i="12"/>
  <c r="C126" i="12"/>
  <c r="E126" i="12"/>
  <c r="G37" i="12"/>
  <c r="C37" i="12"/>
  <c r="E37" i="12"/>
  <c r="G36" i="12"/>
  <c r="C36" i="12"/>
  <c r="G35" i="12"/>
  <c r="C35" i="12"/>
  <c r="E35" i="12"/>
  <c r="G34" i="12"/>
  <c r="C34" i="12"/>
  <c r="E34" i="12"/>
  <c r="G33" i="12"/>
  <c r="C33" i="12"/>
  <c r="G32" i="12"/>
  <c r="C32" i="12"/>
  <c r="E32" i="12"/>
  <c r="G125" i="12"/>
  <c r="C125" i="12"/>
  <c r="E125" i="12"/>
  <c r="G31" i="12"/>
  <c r="C31" i="12"/>
  <c r="G30" i="12"/>
  <c r="C30" i="12"/>
  <c r="E30" i="12"/>
  <c r="G124" i="12"/>
  <c r="C124" i="12"/>
  <c r="E124" i="12"/>
  <c r="G29" i="12"/>
  <c r="C29" i="12"/>
  <c r="E29" i="12"/>
  <c r="G28" i="12"/>
  <c r="C28" i="12"/>
  <c r="E28" i="12"/>
  <c r="G27" i="12"/>
  <c r="C27" i="12"/>
  <c r="E27" i="12"/>
  <c r="G26" i="12"/>
  <c r="C26" i="12"/>
  <c r="E26" i="12"/>
  <c r="G25" i="12"/>
  <c r="C25" i="12"/>
  <c r="E25" i="12"/>
  <c r="G123" i="12"/>
  <c r="C123" i="12"/>
  <c r="G24" i="12"/>
  <c r="C24" i="12"/>
  <c r="G122" i="12"/>
  <c r="C122" i="12"/>
  <c r="E122" i="12"/>
  <c r="G23" i="12"/>
  <c r="C23" i="12"/>
  <c r="G22" i="12"/>
  <c r="C22" i="12"/>
  <c r="E22" i="12"/>
  <c r="G21" i="12"/>
  <c r="C21" i="12"/>
  <c r="G20" i="12"/>
  <c r="C20" i="12"/>
  <c r="E20" i="12"/>
  <c r="G121" i="12"/>
  <c r="C121" i="12"/>
  <c r="E121" i="12"/>
  <c r="G19" i="12"/>
  <c r="C19" i="12"/>
  <c r="E19" i="12"/>
  <c r="G18" i="12"/>
  <c r="C18" i="12"/>
  <c r="E18" i="12"/>
  <c r="G17" i="12"/>
  <c r="C17" i="12"/>
  <c r="E17" i="12"/>
  <c r="G16" i="12"/>
  <c r="C16" i="12"/>
  <c r="E16" i="12"/>
  <c r="G15" i="12"/>
  <c r="C15" i="12"/>
  <c r="E15" i="12"/>
  <c r="G14" i="12"/>
  <c r="C14" i="12"/>
  <c r="E14" i="12"/>
  <c r="G13" i="12"/>
  <c r="C13" i="12"/>
  <c r="G12" i="12"/>
  <c r="C12" i="12"/>
  <c r="E12" i="12"/>
  <c r="G11" i="12"/>
  <c r="C11" i="12"/>
  <c r="E11" i="12"/>
  <c r="G120" i="12"/>
  <c r="C120" i="12"/>
  <c r="E120" i="12"/>
  <c r="G119" i="12"/>
  <c r="C119" i="12"/>
  <c r="E119" i="12"/>
  <c r="G118" i="12"/>
  <c r="C118" i="12"/>
  <c r="E118" i="12"/>
  <c r="G117" i="12"/>
  <c r="C117" i="12"/>
  <c r="E117" i="12"/>
  <c r="G116" i="12"/>
  <c r="C116" i="12"/>
  <c r="G115" i="12"/>
  <c r="C115" i="12"/>
  <c r="E115" i="12"/>
  <c r="G114" i="12"/>
  <c r="C114" i="12"/>
  <c r="E114" i="12"/>
  <c r="G113" i="12"/>
  <c r="C113" i="12"/>
  <c r="E113" i="12"/>
  <c r="G112" i="12"/>
  <c r="C112" i="12"/>
  <c r="G111" i="12"/>
  <c r="C111" i="12"/>
  <c r="E111" i="12"/>
  <c r="G110" i="12"/>
  <c r="C110" i="12"/>
  <c r="E110" i="12"/>
  <c r="G109" i="12"/>
  <c r="C109" i="12"/>
  <c r="D146" i="11"/>
  <c r="B146" i="11"/>
  <c r="A146" i="11"/>
  <c r="D106" i="11"/>
  <c r="B106" i="11"/>
  <c r="A106" i="11"/>
  <c r="D145" i="11"/>
  <c r="B145" i="11"/>
  <c r="A145" i="11"/>
  <c r="D144" i="11"/>
  <c r="B144" i="11"/>
  <c r="A144" i="11"/>
  <c r="D74" i="11"/>
  <c r="B74" i="11"/>
  <c r="A74" i="11"/>
  <c r="D73" i="11"/>
  <c r="B73" i="11"/>
  <c r="A73" i="11"/>
  <c r="D72" i="11"/>
  <c r="B72" i="11"/>
  <c r="A72" i="11"/>
  <c r="D71" i="11"/>
  <c r="B71" i="11"/>
  <c r="A71" i="11"/>
  <c r="D143" i="11"/>
  <c r="B143" i="11"/>
  <c r="A143" i="11"/>
  <c r="D142" i="11"/>
  <c r="B142" i="11"/>
  <c r="A142" i="11"/>
  <c r="D141" i="11"/>
  <c r="B141" i="11"/>
  <c r="A141" i="11"/>
  <c r="D125" i="11"/>
  <c r="B125" i="11"/>
  <c r="A125" i="11"/>
  <c r="D124" i="11"/>
  <c r="B124" i="11"/>
  <c r="A124" i="11"/>
  <c r="B123" i="11"/>
  <c r="A123" i="11"/>
  <c r="D122" i="11"/>
  <c r="B122" i="11"/>
  <c r="A122" i="11"/>
  <c r="D121" i="11"/>
  <c r="B121" i="11"/>
  <c r="A121" i="11"/>
  <c r="D120" i="11"/>
  <c r="B120" i="11"/>
  <c r="A120" i="11"/>
  <c r="D119" i="11"/>
  <c r="B119" i="11"/>
  <c r="A119" i="11"/>
  <c r="D118" i="11"/>
  <c r="B118" i="11"/>
  <c r="A118" i="11"/>
  <c r="D117" i="11"/>
  <c r="B117" i="11"/>
  <c r="A117" i="11"/>
  <c r="B116" i="11"/>
  <c r="A116" i="11"/>
  <c r="D115" i="11"/>
  <c r="B115" i="11"/>
  <c r="A115" i="11"/>
  <c r="D114" i="11"/>
  <c r="B114" i="11"/>
  <c r="A114" i="11"/>
  <c r="D113" i="11"/>
  <c r="B113" i="11"/>
  <c r="A113" i="11"/>
  <c r="D112" i="11"/>
  <c r="B112" i="11"/>
  <c r="A112" i="11"/>
  <c r="D111" i="11"/>
  <c r="B111" i="11"/>
  <c r="A111" i="11"/>
  <c r="D110" i="11"/>
  <c r="B110" i="11"/>
  <c r="A110" i="11"/>
  <c r="D109" i="11"/>
  <c r="B109" i="11"/>
  <c r="A109" i="11"/>
  <c r="D108" i="11"/>
  <c r="B108" i="11"/>
  <c r="A108" i="11"/>
  <c r="B107" i="11"/>
  <c r="A107" i="11"/>
  <c r="D105" i="11"/>
  <c r="B105" i="11"/>
  <c r="A105" i="11"/>
  <c r="D104" i="11"/>
  <c r="B104" i="11"/>
  <c r="A104" i="11"/>
  <c r="D103" i="11"/>
  <c r="B103" i="11"/>
  <c r="A103" i="11"/>
  <c r="D102" i="11"/>
  <c r="B102" i="11"/>
  <c r="A102" i="11"/>
  <c r="D101" i="11"/>
  <c r="B101" i="11"/>
  <c r="A101" i="11"/>
  <c r="D100" i="11"/>
  <c r="B100" i="11"/>
  <c r="A100" i="11"/>
  <c r="D99" i="11"/>
  <c r="B99" i="11"/>
  <c r="A99" i="11"/>
  <c r="D98" i="11"/>
  <c r="B98" i="11"/>
  <c r="A98" i="11"/>
  <c r="D97" i="11"/>
  <c r="B97" i="11"/>
  <c r="A97" i="11"/>
  <c r="B96" i="11"/>
  <c r="A96" i="11"/>
  <c r="D95" i="11"/>
  <c r="B95" i="11"/>
  <c r="A95" i="11"/>
  <c r="D94" i="11"/>
  <c r="B94" i="11"/>
  <c r="A94" i="11"/>
  <c r="D93" i="11"/>
  <c r="B93" i="11"/>
  <c r="A93" i="11"/>
  <c r="D140" i="11"/>
  <c r="B140" i="11"/>
  <c r="A140" i="11"/>
  <c r="D92" i="11"/>
  <c r="B92" i="11"/>
  <c r="A92" i="11"/>
  <c r="D91" i="11"/>
  <c r="B91" i="11"/>
  <c r="A91" i="11"/>
  <c r="D139" i="11"/>
  <c r="B139" i="11"/>
  <c r="A139" i="11"/>
  <c r="B90" i="11"/>
  <c r="A90" i="11"/>
  <c r="D89" i="11"/>
  <c r="B89" i="11"/>
  <c r="A89" i="11"/>
  <c r="D88" i="11"/>
  <c r="B88" i="11"/>
  <c r="A88" i="11"/>
  <c r="D87" i="11"/>
  <c r="B87" i="11"/>
  <c r="A87" i="11"/>
  <c r="D86" i="11"/>
  <c r="B86" i="11"/>
  <c r="A86" i="11"/>
  <c r="D85" i="11"/>
  <c r="B85" i="11"/>
  <c r="A85" i="11"/>
  <c r="D84" i="11"/>
  <c r="B84" i="11"/>
  <c r="A84" i="11"/>
  <c r="D83" i="11"/>
  <c r="B83" i="11"/>
  <c r="A83" i="11"/>
  <c r="D82" i="11"/>
  <c r="B82" i="11"/>
  <c r="A82" i="11"/>
  <c r="D81" i="11"/>
  <c r="B81" i="11"/>
  <c r="A81" i="11"/>
  <c r="D80" i="11"/>
  <c r="B80" i="11"/>
  <c r="A80" i="11"/>
  <c r="D79" i="11"/>
  <c r="B79" i="11"/>
  <c r="A79" i="11"/>
  <c r="D78" i="11"/>
  <c r="B78" i="11"/>
  <c r="A78" i="11"/>
  <c r="D77" i="11"/>
  <c r="B77" i="11"/>
  <c r="A77" i="11"/>
  <c r="D76" i="11"/>
  <c r="B76" i="11"/>
  <c r="A76" i="11"/>
  <c r="D75" i="11"/>
  <c r="B75" i="11"/>
  <c r="A75" i="11"/>
  <c r="D70" i="11"/>
  <c r="B70" i="11"/>
  <c r="A70" i="11"/>
  <c r="D69" i="11"/>
  <c r="B69" i="11"/>
  <c r="A69" i="11"/>
  <c r="D138" i="11"/>
  <c r="B138" i="11"/>
  <c r="A138" i="11"/>
  <c r="D68" i="11"/>
  <c r="B68" i="11"/>
  <c r="A68" i="11"/>
  <c r="D67" i="11"/>
  <c r="B67" i="11"/>
  <c r="A67" i="11"/>
  <c r="D66" i="11"/>
  <c r="B66" i="11"/>
  <c r="A66" i="11"/>
  <c r="D65" i="11"/>
  <c r="B65" i="11"/>
  <c r="A65" i="11"/>
  <c r="D64" i="11"/>
  <c r="B64" i="11"/>
  <c r="A64" i="11"/>
  <c r="D63" i="11"/>
  <c r="B63" i="11"/>
  <c r="A63" i="11"/>
  <c r="D62" i="11"/>
  <c r="B62" i="11"/>
  <c r="A62" i="11"/>
  <c r="D61" i="11"/>
  <c r="B61" i="11"/>
  <c r="A61" i="11"/>
  <c r="D60" i="11"/>
  <c r="B60" i="11"/>
  <c r="A60" i="11"/>
  <c r="D59" i="11"/>
  <c r="B59" i="11"/>
  <c r="A59" i="11"/>
  <c r="D58" i="11"/>
  <c r="B58" i="11"/>
  <c r="A58" i="11"/>
  <c r="D57" i="11"/>
  <c r="B57" i="11"/>
  <c r="A57" i="11"/>
  <c r="D56" i="11"/>
  <c r="B56" i="11"/>
  <c r="A56" i="11"/>
  <c r="D55" i="11"/>
  <c r="B55" i="11"/>
  <c r="A55" i="11"/>
  <c r="D54" i="11"/>
  <c r="B54" i="11"/>
  <c r="A54" i="11"/>
  <c r="D53" i="11"/>
  <c r="B53" i="11"/>
  <c r="A53" i="11"/>
  <c r="D52" i="11"/>
  <c r="B52" i="11"/>
  <c r="A52" i="11"/>
  <c r="D51" i="11"/>
  <c r="B51" i="11"/>
  <c r="A51" i="11"/>
  <c r="D50" i="11"/>
  <c r="B50" i="11"/>
  <c r="A50" i="11"/>
  <c r="D49" i="11"/>
  <c r="B49" i="11"/>
  <c r="A49" i="11"/>
  <c r="D48" i="11"/>
  <c r="B48" i="11"/>
  <c r="A48" i="11"/>
  <c r="D47" i="11"/>
  <c r="B47" i="11"/>
  <c r="A47" i="11"/>
  <c r="D46" i="11"/>
  <c r="B46" i="11"/>
  <c r="A46" i="11"/>
  <c r="D45" i="11"/>
  <c r="B45" i="11"/>
  <c r="A45" i="11"/>
  <c r="D44" i="11"/>
  <c r="B44" i="11"/>
  <c r="A44" i="11"/>
  <c r="D137" i="11"/>
  <c r="B137" i="11"/>
  <c r="A137" i="11"/>
  <c r="D136" i="11"/>
  <c r="B136" i="11"/>
  <c r="A136" i="11"/>
  <c r="D43" i="11"/>
  <c r="B43" i="11"/>
  <c r="A43" i="11"/>
  <c r="D42" i="11"/>
  <c r="B42" i="11"/>
  <c r="A42" i="11"/>
  <c r="D41" i="11"/>
  <c r="B41" i="11"/>
  <c r="A41" i="11"/>
  <c r="D40" i="11"/>
  <c r="B40" i="11"/>
  <c r="A40" i="11"/>
  <c r="D135" i="11"/>
  <c r="B135" i="11"/>
  <c r="A135" i="11"/>
  <c r="D134" i="11"/>
  <c r="B134" i="11"/>
  <c r="A134" i="11"/>
  <c r="D39" i="11"/>
  <c r="B39" i="11"/>
  <c r="A39" i="11"/>
  <c r="D38" i="11"/>
  <c r="B38" i="11"/>
  <c r="A38" i="11"/>
  <c r="D37" i="11"/>
  <c r="B37" i="11"/>
  <c r="A37" i="11"/>
  <c r="D36" i="11"/>
  <c r="B36" i="11"/>
  <c r="A36" i="11"/>
  <c r="D133" i="11"/>
  <c r="B133" i="11"/>
  <c r="A133" i="11"/>
  <c r="D132" i="11"/>
  <c r="B132" i="11"/>
  <c r="A132" i="11"/>
  <c r="D131" i="11"/>
  <c r="B131" i="11"/>
  <c r="A131" i="11"/>
  <c r="D130" i="11"/>
  <c r="B130" i="11"/>
  <c r="A130" i="11"/>
  <c r="D129" i="11"/>
  <c r="B129" i="11"/>
  <c r="A129" i="11"/>
  <c r="D128" i="11"/>
  <c r="B128" i="11"/>
  <c r="A128" i="11"/>
  <c r="D35" i="11"/>
  <c r="B35" i="11"/>
  <c r="A35" i="11"/>
  <c r="D34" i="11"/>
  <c r="B34" i="11"/>
  <c r="A34" i="11"/>
  <c r="D33" i="11"/>
  <c r="B33" i="11"/>
  <c r="A33" i="11"/>
  <c r="D32" i="11"/>
  <c r="B32" i="11"/>
  <c r="A32" i="11"/>
  <c r="D31" i="11"/>
  <c r="B31" i="11"/>
  <c r="A31" i="11"/>
  <c r="D30" i="11"/>
  <c r="B30" i="11"/>
  <c r="A30" i="11"/>
  <c r="D29" i="11"/>
  <c r="B29" i="11"/>
  <c r="A29" i="11"/>
  <c r="D28" i="11"/>
  <c r="B28" i="11"/>
  <c r="A28" i="11"/>
  <c r="D27" i="11"/>
  <c r="B27" i="11"/>
  <c r="A27" i="11"/>
  <c r="D26" i="11"/>
  <c r="B26" i="11"/>
  <c r="A26" i="11"/>
  <c r="D25" i="11"/>
  <c r="B25" i="11"/>
  <c r="A25" i="11"/>
  <c r="D24" i="11"/>
  <c r="B24" i="11"/>
  <c r="A24" i="11"/>
  <c r="D23" i="11"/>
  <c r="B23" i="11"/>
  <c r="A23" i="11"/>
  <c r="D22" i="11"/>
  <c r="B22" i="11"/>
  <c r="A22" i="11"/>
  <c r="D21" i="11"/>
  <c r="B21" i="11"/>
  <c r="A21" i="11"/>
  <c r="D20" i="11"/>
  <c r="B20" i="11"/>
  <c r="A20" i="11"/>
  <c r="D19" i="11"/>
  <c r="B19" i="11"/>
  <c r="A19" i="11"/>
  <c r="D18" i="11"/>
  <c r="B18" i="11"/>
  <c r="A18" i="11"/>
  <c r="D127" i="11"/>
  <c r="B127" i="11"/>
  <c r="A127" i="11"/>
  <c r="D17" i="11"/>
  <c r="B17" i="11"/>
  <c r="A17" i="11"/>
  <c r="D16" i="11"/>
  <c r="B16" i="11"/>
  <c r="A16" i="11"/>
  <c r="D126" i="11"/>
  <c r="B126" i="11"/>
  <c r="A126" i="11"/>
  <c r="D15" i="11"/>
  <c r="B15" i="11"/>
  <c r="A15" i="11"/>
  <c r="D14" i="11"/>
  <c r="B14" i="11"/>
  <c r="A14" i="11"/>
  <c r="D13" i="11"/>
  <c r="B13" i="11"/>
  <c r="A13" i="11"/>
  <c r="D12" i="11"/>
  <c r="B12" i="11"/>
  <c r="A12" i="11"/>
  <c r="D11" i="11"/>
  <c r="B11" i="11"/>
  <c r="A11" i="11"/>
  <c r="H108" i="12"/>
  <c r="B108" i="12"/>
  <c r="D108" i="12"/>
  <c r="A108" i="12"/>
  <c r="H107" i="12"/>
  <c r="D107" i="12"/>
  <c r="B107" i="12"/>
  <c r="A107" i="12"/>
  <c r="H106" i="12"/>
  <c r="B106" i="12"/>
  <c r="D106" i="12"/>
  <c r="A106" i="12"/>
  <c r="H160" i="12"/>
  <c r="B160" i="12"/>
  <c r="D160" i="12"/>
  <c r="A160" i="12"/>
  <c r="H105" i="12"/>
  <c r="B105" i="12"/>
  <c r="D105" i="12"/>
  <c r="A105" i="12"/>
  <c r="H104" i="12"/>
  <c r="B104" i="12"/>
  <c r="D104" i="12"/>
  <c r="A104" i="12"/>
  <c r="H159" i="12"/>
  <c r="B159" i="12"/>
  <c r="D159" i="12"/>
  <c r="A159" i="12"/>
  <c r="H103" i="12"/>
  <c r="B103" i="12"/>
  <c r="D103" i="12"/>
  <c r="A103" i="12"/>
  <c r="H102" i="12"/>
  <c r="B102" i="12"/>
  <c r="D102" i="12"/>
  <c r="A102" i="12"/>
  <c r="H101" i="12"/>
  <c r="B101" i="12"/>
  <c r="D101" i="12"/>
  <c r="A101" i="12"/>
  <c r="H100" i="12"/>
  <c r="B100" i="12"/>
  <c r="D100" i="12"/>
  <c r="A100" i="12"/>
  <c r="H158" i="12"/>
  <c r="B158" i="12"/>
  <c r="D158" i="12"/>
  <c r="A158" i="12"/>
  <c r="H99" i="12"/>
  <c r="B99" i="12"/>
  <c r="D99" i="12"/>
  <c r="A99" i="12"/>
  <c r="H98" i="12"/>
  <c r="D98" i="12"/>
  <c r="B98" i="12"/>
  <c r="A98" i="12"/>
  <c r="H97" i="12"/>
  <c r="B97" i="12"/>
  <c r="D97" i="12"/>
  <c r="A97" i="12"/>
  <c r="H96" i="12"/>
  <c r="D96" i="12"/>
  <c r="B96" i="12"/>
  <c r="A96" i="12"/>
  <c r="H157" i="12"/>
  <c r="B157" i="12"/>
  <c r="D157" i="12"/>
  <c r="A157" i="12"/>
  <c r="H156" i="12"/>
  <c r="D156" i="12"/>
  <c r="B156" i="12"/>
  <c r="A156" i="12"/>
  <c r="H155" i="12"/>
  <c r="B155" i="12"/>
  <c r="D155" i="12"/>
  <c r="A155" i="12"/>
  <c r="H154" i="12"/>
  <c r="B154" i="12"/>
  <c r="D154" i="12"/>
  <c r="A154" i="12"/>
  <c r="H153" i="12"/>
  <c r="B153" i="12"/>
  <c r="D153" i="12"/>
  <c r="A153" i="12"/>
  <c r="H95" i="12"/>
  <c r="B95" i="12"/>
  <c r="D95" i="12"/>
  <c r="A95" i="12"/>
  <c r="H94" i="12"/>
  <c r="B94" i="12"/>
  <c r="D94" i="12"/>
  <c r="A94" i="12"/>
  <c r="H93" i="12"/>
  <c r="B93" i="12"/>
  <c r="D93" i="12"/>
  <c r="A93" i="12"/>
  <c r="H152" i="12"/>
  <c r="B152" i="12"/>
  <c r="D152" i="12"/>
  <c r="A152" i="12"/>
  <c r="H151" i="12"/>
  <c r="B151" i="12"/>
  <c r="D151" i="12"/>
  <c r="A151" i="12"/>
  <c r="H150" i="12"/>
  <c r="B150" i="12"/>
  <c r="D150" i="12"/>
  <c r="A150" i="12"/>
  <c r="H149" i="12"/>
  <c r="B149" i="12"/>
  <c r="D149" i="12"/>
  <c r="A149" i="12"/>
  <c r="H92" i="12"/>
  <c r="B92" i="12"/>
  <c r="D92" i="12"/>
  <c r="A92" i="12"/>
  <c r="H91" i="12"/>
  <c r="D91" i="12"/>
  <c r="B91" i="12"/>
  <c r="A91" i="12"/>
  <c r="H90" i="12"/>
  <c r="B90" i="12"/>
  <c r="D90" i="12"/>
  <c r="A90" i="12"/>
  <c r="H148" i="12"/>
  <c r="D148" i="12"/>
  <c r="B148" i="12"/>
  <c r="A148" i="12"/>
  <c r="H89" i="12"/>
  <c r="B89" i="12"/>
  <c r="D89" i="12"/>
  <c r="A89" i="12"/>
  <c r="H88" i="12"/>
  <c r="D88" i="12"/>
  <c r="B88" i="12"/>
  <c r="A88" i="12"/>
  <c r="H87" i="12"/>
  <c r="B87" i="12"/>
  <c r="D87" i="12"/>
  <c r="A87" i="12"/>
  <c r="H86" i="12"/>
  <c r="B86" i="12"/>
  <c r="D86" i="12"/>
  <c r="A86" i="12"/>
  <c r="H85" i="12"/>
  <c r="B85" i="12"/>
  <c r="D85" i="12"/>
  <c r="A85" i="12"/>
  <c r="H84" i="12"/>
  <c r="B84" i="12"/>
  <c r="D84" i="12"/>
  <c r="A84" i="12"/>
  <c r="H83" i="12"/>
  <c r="B83" i="12"/>
  <c r="D83" i="12"/>
  <c r="A83" i="12"/>
  <c r="H82" i="12"/>
  <c r="B82" i="12"/>
  <c r="D82" i="12"/>
  <c r="A82" i="12"/>
  <c r="H81" i="12"/>
  <c r="B81" i="12"/>
  <c r="D81" i="12"/>
  <c r="A81" i="12"/>
  <c r="H80" i="12"/>
  <c r="B80" i="12"/>
  <c r="D80" i="12"/>
  <c r="A80" i="12"/>
  <c r="H79" i="12"/>
  <c r="B79" i="12"/>
  <c r="D79" i="12"/>
  <c r="A79" i="12"/>
  <c r="H78" i="12"/>
  <c r="B78" i="12"/>
  <c r="D78" i="12"/>
  <c r="A78" i="12"/>
  <c r="H77" i="12"/>
  <c r="B77" i="12"/>
  <c r="D77" i="12"/>
  <c r="A77" i="12"/>
  <c r="H76" i="12"/>
  <c r="D76" i="12"/>
  <c r="B76" i="12"/>
  <c r="A76" i="12"/>
  <c r="H147" i="12"/>
  <c r="B147" i="12"/>
  <c r="D147" i="12"/>
  <c r="A147" i="12"/>
  <c r="H75" i="12"/>
  <c r="D75" i="12"/>
  <c r="B75" i="12"/>
  <c r="A75" i="12"/>
  <c r="H74" i="12"/>
  <c r="B74" i="12"/>
  <c r="D74" i="12"/>
  <c r="A74" i="12"/>
  <c r="H73" i="12"/>
  <c r="D73" i="12"/>
  <c r="B73" i="12"/>
  <c r="A73" i="12"/>
  <c r="H72" i="12"/>
  <c r="B72" i="12"/>
  <c r="D72" i="12"/>
  <c r="A72" i="12"/>
  <c r="H71" i="12"/>
  <c r="B71" i="12"/>
  <c r="D71" i="12"/>
  <c r="A71" i="12"/>
  <c r="H70" i="12"/>
  <c r="B70" i="12"/>
  <c r="D70" i="12"/>
  <c r="A70" i="12"/>
  <c r="H69" i="12"/>
  <c r="B69" i="12"/>
  <c r="D69" i="12"/>
  <c r="A69" i="12"/>
  <c r="H68" i="12"/>
  <c r="B68" i="12"/>
  <c r="D68" i="12"/>
  <c r="A68" i="12"/>
  <c r="H67" i="12"/>
  <c r="B67" i="12"/>
  <c r="D67" i="12"/>
  <c r="A67" i="12"/>
  <c r="H146" i="12"/>
  <c r="B146" i="12"/>
  <c r="D146" i="12"/>
  <c r="A146" i="12"/>
  <c r="H66" i="12"/>
  <c r="B66" i="12"/>
  <c r="D66" i="12"/>
  <c r="A66" i="12"/>
  <c r="H65" i="12"/>
  <c r="B65" i="12"/>
  <c r="D65" i="12"/>
  <c r="A65" i="12"/>
  <c r="H145" i="12"/>
  <c r="B145" i="12"/>
  <c r="D145" i="12"/>
  <c r="A145" i="12"/>
  <c r="H64" i="12"/>
  <c r="B64" i="12"/>
  <c r="D64" i="12"/>
  <c r="A64" i="12"/>
  <c r="H63" i="12"/>
  <c r="D63" i="12"/>
  <c r="B63" i="12"/>
  <c r="A63" i="12"/>
  <c r="H62" i="12"/>
  <c r="B62" i="12"/>
  <c r="D62" i="12"/>
  <c r="A62" i="12"/>
  <c r="H144" i="12"/>
  <c r="D144" i="12"/>
  <c r="B144" i="12"/>
  <c r="A144" i="12"/>
  <c r="H143" i="12"/>
  <c r="B143" i="12"/>
  <c r="D143" i="12"/>
  <c r="A143" i="12"/>
  <c r="H61" i="12"/>
  <c r="D61" i="12"/>
  <c r="B61" i="12"/>
  <c r="A61" i="12"/>
  <c r="H142" i="12"/>
  <c r="B142" i="12"/>
  <c r="D142" i="12"/>
  <c r="A142" i="12"/>
  <c r="H141" i="12"/>
  <c r="B141" i="12"/>
  <c r="D141" i="12"/>
  <c r="A141" i="12"/>
  <c r="H60" i="12"/>
  <c r="B60" i="12"/>
  <c r="D60" i="12"/>
  <c r="A60" i="12"/>
  <c r="H59" i="12"/>
  <c r="B59" i="12"/>
  <c r="D59" i="12"/>
  <c r="A59" i="12"/>
  <c r="H140" i="12"/>
  <c r="B140" i="12"/>
  <c r="D140" i="12"/>
  <c r="A140" i="12"/>
  <c r="H58" i="12"/>
  <c r="B58" i="12"/>
  <c r="D58" i="12"/>
  <c r="A58" i="12"/>
  <c r="H57" i="12"/>
  <c r="B57" i="12"/>
  <c r="D57" i="12"/>
  <c r="A57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56" i="12"/>
  <c r="B56" i="12"/>
  <c r="D56" i="12"/>
  <c r="A56" i="12"/>
  <c r="H55" i="12"/>
  <c r="D55" i="12"/>
  <c r="B55" i="12"/>
  <c r="A55" i="12"/>
  <c r="H136" i="12"/>
  <c r="B136" i="12"/>
  <c r="F136" i="12"/>
  <c r="D136" i="12"/>
  <c r="A136" i="12"/>
  <c r="H135" i="12"/>
  <c r="B135" i="12"/>
  <c r="F135" i="12"/>
  <c r="D135" i="12"/>
  <c r="A135" i="12"/>
  <c r="H134" i="12"/>
  <c r="F134" i="12"/>
  <c r="D134" i="12"/>
  <c r="B134" i="12"/>
  <c r="A134" i="12"/>
  <c r="H133" i="12"/>
  <c r="F133" i="12"/>
  <c r="D133" i="12"/>
  <c r="B133" i="12"/>
  <c r="A133" i="12"/>
  <c r="H54" i="12"/>
  <c r="B54" i="12"/>
  <c r="F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132" i="12"/>
  <c r="B132" i="12"/>
  <c r="D132" i="12"/>
  <c r="A132" i="12"/>
  <c r="H131" i="12"/>
  <c r="B131" i="12"/>
  <c r="D131" i="12"/>
  <c r="A131" i="12"/>
  <c r="H50" i="12"/>
  <c r="B50" i="12"/>
  <c r="D50" i="12"/>
  <c r="A50" i="12"/>
  <c r="H130" i="12"/>
  <c r="B130" i="12"/>
  <c r="D130" i="12"/>
  <c r="A130" i="12"/>
  <c r="H129" i="12"/>
  <c r="B129" i="12"/>
  <c r="D129" i="12"/>
  <c r="A129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128" i="12"/>
  <c r="B128" i="12"/>
  <c r="D128" i="12"/>
  <c r="A128" i="12"/>
  <c r="H46" i="12"/>
  <c r="B46" i="12"/>
  <c r="D46" i="12"/>
  <c r="A46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42" i="12"/>
  <c r="B42" i="12"/>
  <c r="D42" i="12"/>
  <c r="A42" i="12"/>
  <c r="H127" i="12"/>
  <c r="B127" i="12"/>
  <c r="D127" i="12"/>
  <c r="A127" i="12"/>
  <c r="H41" i="12"/>
  <c r="B41" i="12"/>
  <c r="D41" i="12"/>
  <c r="A41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126" i="12"/>
  <c r="B126" i="12"/>
  <c r="D126" i="12"/>
  <c r="A126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125" i="12"/>
  <c r="B125" i="12"/>
  <c r="D125" i="12"/>
  <c r="A125" i="12"/>
  <c r="H31" i="12"/>
  <c r="B31" i="12"/>
  <c r="D31" i="12"/>
  <c r="A31" i="12"/>
  <c r="H30" i="12"/>
  <c r="B30" i="12"/>
  <c r="D30" i="12"/>
  <c r="A30" i="12"/>
  <c r="H124" i="12"/>
  <c r="B124" i="12"/>
  <c r="D124" i="12"/>
  <c r="A124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25" i="12"/>
  <c r="B25" i="12"/>
  <c r="D25" i="12"/>
  <c r="A25" i="12"/>
  <c r="H123" i="12"/>
  <c r="B123" i="12"/>
  <c r="D123" i="12"/>
  <c r="A123" i="12"/>
  <c r="H24" i="12"/>
  <c r="B24" i="12"/>
  <c r="D24" i="12"/>
  <c r="A24" i="12"/>
  <c r="H122" i="12"/>
  <c r="B122" i="12"/>
  <c r="D122" i="12"/>
  <c r="A122" i="12"/>
  <c r="H23" i="12"/>
  <c r="B23" i="12"/>
  <c r="D23" i="12"/>
  <c r="A23" i="12"/>
  <c r="H22" i="12"/>
  <c r="B22" i="12"/>
  <c r="D22" i="12"/>
  <c r="A22" i="12"/>
  <c r="H21" i="12"/>
  <c r="B21" i="12"/>
  <c r="D21" i="12"/>
  <c r="A21" i="12"/>
  <c r="H20" i="12"/>
  <c r="B20" i="12"/>
  <c r="D20" i="12"/>
  <c r="A20" i="12"/>
  <c r="H121" i="12"/>
  <c r="B121" i="12"/>
  <c r="D121" i="12"/>
  <c r="A121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3" i="12"/>
  <c r="B13" i="12"/>
  <c r="D13" i="12"/>
  <c r="A13" i="12"/>
  <c r="H12" i="12"/>
  <c r="B12" i="12"/>
  <c r="D12" i="12"/>
  <c r="A12" i="12"/>
  <c r="H11" i="12"/>
  <c r="B11" i="12"/>
  <c r="D11" i="12"/>
  <c r="A11" i="12"/>
  <c r="H120" i="12"/>
  <c r="B120" i="12"/>
  <c r="D120" i="12"/>
  <c r="A120" i="12"/>
  <c r="H119" i="12"/>
  <c r="B119" i="12"/>
  <c r="D119" i="12"/>
  <c r="A119" i="12"/>
  <c r="H118" i="12"/>
  <c r="B118" i="12"/>
  <c r="D118" i="12"/>
  <c r="A118" i="12"/>
  <c r="H117" i="12"/>
  <c r="B117" i="12"/>
  <c r="D117" i="12"/>
  <c r="A117" i="12"/>
  <c r="H116" i="12"/>
  <c r="B116" i="12"/>
  <c r="D116" i="12"/>
  <c r="A116" i="12"/>
  <c r="H115" i="12"/>
  <c r="B115" i="12"/>
  <c r="D115" i="12"/>
  <c r="A115" i="12"/>
  <c r="H114" i="12"/>
  <c r="B114" i="12"/>
  <c r="D114" i="12"/>
  <c r="A114" i="12"/>
  <c r="H113" i="12"/>
  <c r="B113" i="12"/>
  <c r="D113" i="12"/>
  <c r="A113" i="12"/>
  <c r="H112" i="12"/>
  <c r="B112" i="12"/>
  <c r="D112" i="12"/>
  <c r="A112" i="12"/>
  <c r="H111" i="12"/>
  <c r="B111" i="12"/>
  <c r="D111" i="12"/>
  <c r="A111" i="12"/>
  <c r="H110" i="12"/>
  <c r="B110" i="12"/>
  <c r="D110" i="12"/>
  <c r="A110" i="12"/>
  <c r="H109" i="12"/>
  <c r="B109" i="12"/>
  <c r="D109" i="12"/>
  <c r="A109" i="12"/>
  <c r="X26" i="4"/>
  <c r="Q233" i="4"/>
  <c r="Q229" i="4"/>
  <c r="Q228" i="4"/>
  <c r="Q226" i="4"/>
  <c r="E56" i="4"/>
  <c r="F56" i="4" s="1"/>
  <c r="P56" i="4" s="1"/>
  <c r="F53" i="4"/>
  <c r="P53" i="4" s="1"/>
  <c r="T2" i="10"/>
  <c r="T3" i="10"/>
  <c r="T4" i="10"/>
  <c r="T5" i="10"/>
  <c r="C3" i="10"/>
  <c r="E22" i="10"/>
  <c r="F22" i="10"/>
  <c r="E23" i="10"/>
  <c r="F23" i="10"/>
  <c r="E24" i="10"/>
  <c r="F24" i="10"/>
  <c r="G24" i="10"/>
  <c r="E25" i="10"/>
  <c r="F25" i="10"/>
  <c r="G25" i="10"/>
  <c r="N25" i="10"/>
  <c r="E26" i="10"/>
  <c r="F26" i="10"/>
  <c r="G26" i="10"/>
  <c r="N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P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P48" i="10"/>
  <c r="E49" i="10"/>
  <c r="F49" i="10"/>
  <c r="P49" i="10"/>
  <c r="E50" i="10"/>
  <c r="F50" i="10"/>
  <c r="E51" i="10"/>
  <c r="F51" i="10"/>
  <c r="E52" i="10"/>
  <c r="F52" i="10"/>
  <c r="G52" i="10"/>
  <c r="E53" i="10"/>
  <c r="F53" i="10"/>
  <c r="E54" i="10"/>
  <c r="F54" i="10"/>
  <c r="G54" i="10"/>
  <c r="E55" i="10"/>
  <c r="F55" i="10"/>
  <c r="E56" i="10"/>
  <c r="F56" i="10"/>
  <c r="G56" i="10"/>
  <c r="E57" i="10"/>
  <c r="F57" i="10"/>
  <c r="G57" i="10"/>
  <c r="E58" i="10"/>
  <c r="F58" i="10"/>
  <c r="G58" i="10"/>
  <c r="N58" i="10"/>
  <c r="E59" i="10"/>
  <c r="F59" i="10"/>
  <c r="G59" i="10"/>
  <c r="E60" i="10"/>
  <c r="F60" i="10"/>
  <c r="G60" i="10"/>
  <c r="E61" i="10"/>
  <c r="F61" i="10"/>
  <c r="G61" i="10"/>
  <c r="N61" i="10"/>
  <c r="E62" i="10"/>
  <c r="F62" i="10"/>
  <c r="G62" i="10"/>
  <c r="L62" i="10"/>
  <c r="E63" i="10"/>
  <c r="F63" i="10"/>
  <c r="G63" i="10"/>
  <c r="L63" i="10"/>
  <c r="E64" i="10"/>
  <c r="F64" i="10"/>
  <c r="G64" i="10"/>
  <c r="E65" i="10"/>
  <c r="F65" i="10"/>
  <c r="G65" i="10"/>
  <c r="E66" i="10"/>
  <c r="F66" i="10"/>
  <c r="G66" i="10"/>
  <c r="K66" i="10"/>
  <c r="E67" i="10"/>
  <c r="F67" i="10"/>
  <c r="G67" i="10"/>
  <c r="L67" i="10"/>
  <c r="E68" i="10"/>
  <c r="F68" i="10"/>
  <c r="G68" i="10"/>
  <c r="E69" i="10"/>
  <c r="F69" i="10"/>
  <c r="G69" i="10"/>
  <c r="E70" i="10"/>
  <c r="F70" i="10"/>
  <c r="G70" i="10"/>
  <c r="K70" i="10"/>
  <c r="E71" i="10"/>
  <c r="F71" i="10"/>
  <c r="G71" i="10"/>
  <c r="K71" i="10"/>
  <c r="E72" i="10"/>
  <c r="F72" i="10"/>
  <c r="G72" i="10"/>
  <c r="E73" i="10"/>
  <c r="F73" i="10"/>
  <c r="G73" i="10"/>
  <c r="K73" i="10"/>
  <c r="E74" i="10"/>
  <c r="F74" i="10"/>
  <c r="G74" i="10"/>
  <c r="E75" i="10"/>
  <c r="F75" i="10"/>
  <c r="G75" i="10"/>
  <c r="K75" i="10"/>
  <c r="E76" i="10"/>
  <c r="F76" i="10"/>
  <c r="G76" i="10"/>
  <c r="E77" i="10"/>
  <c r="F77" i="10"/>
  <c r="G77" i="10"/>
  <c r="N77" i="10"/>
  <c r="E78" i="10"/>
  <c r="F78" i="10"/>
  <c r="G78" i="10"/>
  <c r="E79" i="10"/>
  <c r="F79" i="10"/>
  <c r="G79" i="10"/>
  <c r="N79" i="10"/>
  <c r="E80" i="10"/>
  <c r="F80" i="10"/>
  <c r="G80" i="10"/>
  <c r="E81" i="10"/>
  <c r="F81" i="10"/>
  <c r="G81" i="10"/>
  <c r="N81" i="10"/>
  <c r="E82" i="10"/>
  <c r="F82" i="10"/>
  <c r="G82" i="10"/>
  <c r="E83" i="10"/>
  <c r="F83" i="10"/>
  <c r="G83" i="10"/>
  <c r="N83" i="10"/>
  <c r="E84" i="10"/>
  <c r="F84" i="10"/>
  <c r="G84" i="10"/>
  <c r="E85" i="10"/>
  <c r="F85" i="10"/>
  <c r="G85" i="10"/>
  <c r="K85" i="10"/>
  <c r="E86" i="10"/>
  <c r="F86" i="10"/>
  <c r="G86" i="10"/>
  <c r="E87" i="10"/>
  <c r="F87" i="10"/>
  <c r="G87" i="10"/>
  <c r="K87" i="10"/>
  <c r="E88" i="10"/>
  <c r="F88" i="10"/>
  <c r="G88" i="10"/>
  <c r="E89" i="10"/>
  <c r="F89" i="10"/>
  <c r="G89" i="10"/>
  <c r="N89" i="10"/>
  <c r="E90" i="10"/>
  <c r="F90" i="10"/>
  <c r="G90" i="10"/>
  <c r="E91" i="10"/>
  <c r="F91" i="10"/>
  <c r="G91" i="10"/>
  <c r="N91" i="10"/>
  <c r="E92" i="10"/>
  <c r="F92" i="10"/>
  <c r="G92" i="10"/>
  <c r="E93" i="10"/>
  <c r="F93" i="10"/>
  <c r="G93" i="10"/>
  <c r="N93" i="10"/>
  <c r="E94" i="10"/>
  <c r="F94" i="10"/>
  <c r="G94" i="10"/>
  <c r="E95" i="10"/>
  <c r="F95" i="10"/>
  <c r="G95" i="10"/>
  <c r="N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N99" i="10"/>
  <c r="E100" i="10"/>
  <c r="F100" i="10"/>
  <c r="G100" i="10"/>
  <c r="E101" i="10"/>
  <c r="F101" i="10"/>
  <c r="G101" i="10"/>
  <c r="L101" i="10"/>
  <c r="E102" i="10"/>
  <c r="F102" i="10"/>
  <c r="G102" i="10"/>
  <c r="E103" i="10"/>
  <c r="F103" i="10"/>
  <c r="G103" i="10"/>
  <c r="N103" i="10"/>
  <c r="D9" i="10"/>
  <c r="E9" i="10"/>
  <c r="T9" i="10"/>
  <c r="T10" i="10"/>
  <c r="D11" i="10"/>
  <c r="D12" i="10"/>
  <c r="D13" i="10"/>
  <c r="E21" i="10"/>
  <c r="F21" i="10"/>
  <c r="F16" i="10"/>
  <c r="F17" i="10" s="1"/>
  <c r="C17" i="10"/>
  <c r="H21" i="10"/>
  <c r="I22" i="10"/>
  <c r="Q22" i="10"/>
  <c r="I23" i="10"/>
  <c r="Q23" i="10"/>
  <c r="Q24" i="10"/>
  <c r="Y24" i="10"/>
  <c r="Q25" i="10"/>
  <c r="Q26" i="10"/>
  <c r="I27" i="10"/>
  <c r="Q27" i="10"/>
  <c r="I28" i="10"/>
  <c r="Q28" i="10"/>
  <c r="I29" i="10"/>
  <c r="Q29" i="10"/>
  <c r="I30" i="10"/>
  <c r="Q30" i="10"/>
  <c r="I31" i="10"/>
  <c r="Q31" i="10"/>
  <c r="I32" i="10"/>
  <c r="Q32" i="10"/>
  <c r="I33" i="10"/>
  <c r="Q33" i="10"/>
  <c r="I34" i="10"/>
  <c r="Q34" i="10"/>
  <c r="I35" i="10"/>
  <c r="Q35" i="10"/>
  <c r="I36" i="10"/>
  <c r="Q36" i="10"/>
  <c r="I37" i="10"/>
  <c r="Q37" i="10"/>
  <c r="I38" i="10"/>
  <c r="Q38" i="10"/>
  <c r="I39" i="10"/>
  <c r="Q39" i="10"/>
  <c r="I40" i="10"/>
  <c r="Q40" i="10"/>
  <c r="I41" i="10"/>
  <c r="Q41" i="10"/>
  <c r="J42" i="10"/>
  <c r="Q42" i="10"/>
  <c r="J43" i="10"/>
  <c r="Q43" i="10"/>
  <c r="L44" i="10"/>
  <c r="Q44" i="10"/>
  <c r="J45" i="10"/>
  <c r="Q45" i="10"/>
  <c r="L46" i="10"/>
  <c r="Q46" i="10"/>
  <c r="L47" i="10"/>
  <c r="Q47" i="10"/>
  <c r="L48" i="10"/>
  <c r="Q48" i="10"/>
  <c r="N49" i="10"/>
  <c r="Q49" i="10"/>
  <c r="N50" i="10"/>
  <c r="Q50" i="10"/>
  <c r="L51" i="10"/>
  <c r="Q51" i="10"/>
  <c r="Q52" i="10"/>
  <c r="L53" i="10"/>
  <c r="Q53" i="10"/>
  <c r="Q54" i="10"/>
  <c r="L55" i="10"/>
  <c r="Q55" i="10"/>
  <c r="Q56" i="10"/>
  <c r="Q57" i="10"/>
  <c r="Q58" i="10"/>
  <c r="Q59" i="10"/>
  <c r="Q60" i="10"/>
  <c r="Q61" i="10"/>
  <c r="Q62" i="10"/>
  <c r="Q63" i="10"/>
  <c r="Q64" i="10"/>
  <c r="K65" i="10"/>
  <c r="Q65" i="10"/>
  <c r="Q66" i="10"/>
  <c r="Q67" i="10"/>
  <c r="Q68" i="10"/>
  <c r="L69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N97" i="10"/>
  <c r="Q97" i="10"/>
  <c r="Q98" i="10"/>
  <c r="Q99" i="10"/>
  <c r="Q100" i="10"/>
  <c r="Q101" i="10"/>
  <c r="Q102" i="10"/>
  <c r="Q103" i="10"/>
  <c r="D11" i="9"/>
  <c r="D12" i="9"/>
  <c r="P36" i="9" s="1"/>
  <c r="D13" i="9"/>
  <c r="C3" i="9"/>
  <c r="D9" i="9"/>
  <c r="E9" i="9"/>
  <c r="E94" i="9"/>
  <c r="F94" i="9"/>
  <c r="G94" i="9"/>
  <c r="N94" i="9"/>
  <c r="E95" i="9"/>
  <c r="F95" i="9"/>
  <c r="G95" i="9"/>
  <c r="E96" i="9"/>
  <c r="F96" i="9"/>
  <c r="G96" i="9"/>
  <c r="N96" i="9"/>
  <c r="E97" i="9"/>
  <c r="F97" i="9"/>
  <c r="G97" i="9"/>
  <c r="E98" i="9"/>
  <c r="F98" i="9"/>
  <c r="G98" i="9"/>
  <c r="E99" i="9"/>
  <c r="F99" i="9"/>
  <c r="G99" i="9"/>
  <c r="E100" i="9"/>
  <c r="F100" i="9"/>
  <c r="G100" i="9"/>
  <c r="N100" i="9"/>
  <c r="E101" i="9"/>
  <c r="F101" i="9"/>
  <c r="G101" i="9"/>
  <c r="E102" i="9"/>
  <c r="F102" i="9"/>
  <c r="G102" i="9"/>
  <c r="E103" i="9"/>
  <c r="F103" i="9"/>
  <c r="G103" i="9"/>
  <c r="N103" i="9"/>
  <c r="E22" i="9"/>
  <c r="F22" i="9"/>
  <c r="E23" i="9"/>
  <c r="F23" i="9"/>
  <c r="E24" i="9"/>
  <c r="F24" i="9"/>
  <c r="G24" i="9"/>
  <c r="N24" i="9"/>
  <c r="E25" i="9"/>
  <c r="F25" i="9"/>
  <c r="G25" i="9"/>
  <c r="E26" i="9"/>
  <c r="F26" i="9"/>
  <c r="G26" i="9"/>
  <c r="N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G52" i="9"/>
  <c r="N52" i="9"/>
  <c r="E53" i="9"/>
  <c r="F53" i="9"/>
  <c r="E54" i="9"/>
  <c r="F54" i="9"/>
  <c r="G54" i="9"/>
  <c r="E55" i="9"/>
  <c r="F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N60" i="9"/>
  <c r="E61" i="9"/>
  <c r="F61" i="9"/>
  <c r="G61" i="9"/>
  <c r="E62" i="9"/>
  <c r="F62" i="9"/>
  <c r="G62" i="9"/>
  <c r="E63" i="9"/>
  <c r="F63" i="9"/>
  <c r="G63" i="9"/>
  <c r="E64" i="9"/>
  <c r="F64" i="9"/>
  <c r="G64" i="9"/>
  <c r="K64" i="9"/>
  <c r="E65" i="9"/>
  <c r="F65" i="9"/>
  <c r="G65" i="9"/>
  <c r="E66" i="9"/>
  <c r="F66" i="9"/>
  <c r="E67" i="9"/>
  <c r="F67" i="9"/>
  <c r="G67" i="9"/>
  <c r="L67" i="9"/>
  <c r="E68" i="9"/>
  <c r="F68" i="9"/>
  <c r="G68" i="9"/>
  <c r="N68" i="9"/>
  <c r="E69" i="9"/>
  <c r="F69" i="9"/>
  <c r="G69" i="9"/>
  <c r="E70" i="9"/>
  <c r="F70" i="9"/>
  <c r="G70" i="9"/>
  <c r="E71" i="9"/>
  <c r="F71" i="9"/>
  <c r="G71" i="9"/>
  <c r="K71" i="9"/>
  <c r="E72" i="9"/>
  <c r="F72" i="9"/>
  <c r="G72" i="9"/>
  <c r="K72" i="9"/>
  <c r="E73" i="9"/>
  <c r="F73" i="9"/>
  <c r="G73" i="9"/>
  <c r="E74" i="9"/>
  <c r="F74" i="9"/>
  <c r="G74" i="9"/>
  <c r="E75" i="9"/>
  <c r="F75" i="9"/>
  <c r="G75" i="9"/>
  <c r="E76" i="9"/>
  <c r="F76" i="9"/>
  <c r="G76" i="9"/>
  <c r="L76" i="9"/>
  <c r="E77" i="9"/>
  <c r="F77" i="9"/>
  <c r="G77" i="9"/>
  <c r="E78" i="9"/>
  <c r="F78" i="9"/>
  <c r="G78" i="9"/>
  <c r="E79" i="9"/>
  <c r="F79" i="9"/>
  <c r="G79" i="9"/>
  <c r="N79" i="9"/>
  <c r="E80" i="9"/>
  <c r="F80" i="9"/>
  <c r="G80" i="9"/>
  <c r="K80" i="9"/>
  <c r="E81" i="9"/>
  <c r="F81" i="9"/>
  <c r="G81" i="9"/>
  <c r="E82" i="9"/>
  <c r="F82" i="9"/>
  <c r="G82" i="9"/>
  <c r="E83" i="9"/>
  <c r="F83" i="9"/>
  <c r="G83" i="9"/>
  <c r="N83" i="9"/>
  <c r="E84" i="9"/>
  <c r="F84" i="9"/>
  <c r="G84" i="9"/>
  <c r="E85" i="9"/>
  <c r="F85" i="9"/>
  <c r="G85" i="9"/>
  <c r="E86" i="9"/>
  <c r="F86" i="9"/>
  <c r="G86" i="9"/>
  <c r="E87" i="9"/>
  <c r="F87" i="9"/>
  <c r="G87" i="9"/>
  <c r="E88" i="9"/>
  <c r="F88" i="9"/>
  <c r="G88" i="9"/>
  <c r="E89" i="9"/>
  <c r="F89" i="9"/>
  <c r="G89" i="9"/>
  <c r="E90" i="9"/>
  <c r="F90" i="9"/>
  <c r="G90" i="9"/>
  <c r="E91" i="9"/>
  <c r="F91" i="9"/>
  <c r="G91" i="9"/>
  <c r="E92" i="9"/>
  <c r="F92" i="9"/>
  <c r="G92" i="9"/>
  <c r="E93" i="9"/>
  <c r="F93" i="9"/>
  <c r="G93" i="9"/>
  <c r="E21" i="9"/>
  <c r="F21" i="9"/>
  <c r="F16" i="9"/>
  <c r="F17" i="9" s="1"/>
  <c r="C17" i="9"/>
  <c r="H21" i="9"/>
  <c r="I22" i="9"/>
  <c r="Q22" i="9"/>
  <c r="I23" i="9"/>
  <c r="Q23" i="9"/>
  <c r="Q24" i="9"/>
  <c r="Q25" i="9"/>
  <c r="Q26" i="9"/>
  <c r="I27" i="9"/>
  <c r="Q27" i="9"/>
  <c r="I28" i="9"/>
  <c r="Q28" i="9"/>
  <c r="I29" i="9"/>
  <c r="Q29" i="9"/>
  <c r="I30" i="9"/>
  <c r="Q30" i="9"/>
  <c r="I31" i="9"/>
  <c r="Q31" i="9"/>
  <c r="I32" i="9"/>
  <c r="Q32" i="9"/>
  <c r="I33" i="9"/>
  <c r="Q33" i="9"/>
  <c r="I34" i="9"/>
  <c r="Q34" i="9"/>
  <c r="I35" i="9"/>
  <c r="Q35" i="9"/>
  <c r="I36" i="9"/>
  <c r="Q36" i="9"/>
  <c r="I37" i="9"/>
  <c r="Q37" i="9"/>
  <c r="I38" i="9"/>
  <c r="Q38" i="9"/>
  <c r="I39" i="9"/>
  <c r="Q39" i="9"/>
  <c r="I40" i="9"/>
  <c r="Q40" i="9"/>
  <c r="I41" i="9"/>
  <c r="Q41" i="9"/>
  <c r="J42" i="9"/>
  <c r="Q42" i="9"/>
  <c r="J43" i="9"/>
  <c r="Q43" i="9"/>
  <c r="L44" i="9"/>
  <c r="Q44" i="9"/>
  <c r="J45" i="9"/>
  <c r="Q45" i="9"/>
  <c r="L46" i="9"/>
  <c r="Q46" i="9"/>
  <c r="L47" i="9"/>
  <c r="Q47" i="9"/>
  <c r="L48" i="9"/>
  <c r="Q48" i="9"/>
  <c r="N49" i="9"/>
  <c r="Q49" i="9"/>
  <c r="N50" i="9"/>
  <c r="Q50" i="9"/>
  <c r="L51" i="9"/>
  <c r="Q51" i="9"/>
  <c r="Q52" i="9"/>
  <c r="L53" i="9"/>
  <c r="Q53" i="9"/>
  <c r="Q54" i="9"/>
  <c r="L55" i="9"/>
  <c r="Q55" i="9"/>
  <c r="K56" i="9"/>
  <c r="Q56" i="9"/>
  <c r="Q57" i="9"/>
  <c r="Q58" i="9"/>
  <c r="Q59" i="9"/>
  <c r="Q60" i="9"/>
  <c r="Q61" i="9"/>
  <c r="Q62" i="9"/>
  <c r="L63" i="9"/>
  <c r="Q63" i="9"/>
  <c r="Q64" i="9"/>
  <c r="Q65" i="9"/>
  <c r="Q66" i="9"/>
  <c r="Q67" i="9"/>
  <c r="Q68" i="9"/>
  <c r="Q69" i="9"/>
  <c r="Q70" i="9"/>
  <c r="Q71" i="9"/>
  <c r="Q72" i="9"/>
  <c r="Q73" i="9"/>
  <c r="Q74" i="9"/>
  <c r="K75" i="9"/>
  <c r="Q75" i="9"/>
  <c r="Q76" i="9"/>
  <c r="Q77" i="9"/>
  <c r="Q78" i="9"/>
  <c r="Q79" i="9"/>
  <c r="Q80" i="9"/>
  <c r="Q81" i="9"/>
  <c r="Q82" i="9"/>
  <c r="Q83" i="9"/>
  <c r="N84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N97" i="9"/>
  <c r="Q97" i="9"/>
  <c r="N98" i="9"/>
  <c r="Q98" i="9"/>
  <c r="Q99" i="9"/>
  <c r="Q100" i="9"/>
  <c r="Q101" i="9"/>
  <c r="N102" i="9"/>
  <c r="Q102" i="9"/>
  <c r="Q103" i="9"/>
  <c r="D21" i="7"/>
  <c r="F21" i="7" s="1"/>
  <c r="D22" i="7"/>
  <c r="I22" i="7" s="1"/>
  <c r="J22" i="7" s="1"/>
  <c r="D23" i="7"/>
  <c r="F23" i="7" s="1"/>
  <c r="D24" i="7"/>
  <c r="D25" i="7"/>
  <c r="F25" i="7" s="1"/>
  <c r="D26" i="7"/>
  <c r="F26" i="7" s="1"/>
  <c r="H26" i="7" s="1"/>
  <c r="D27" i="7"/>
  <c r="F27" i="7" s="1"/>
  <c r="D28" i="7"/>
  <c r="I28" i="7" s="1"/>
  <c r="J28" i="7" s="1"/>
  <c r="D29" i="7"/>
  <c r="D30" i="7"/>
  <c r="I30" i="7" s="1"/>
  <c r="J30" i="7" s="1"/>
  <c r="D31" i="7"/>
  <c r="I31" i="7" s="1"/>
  <c r="J31" i="7" s="1"/>
  <c r="D32" i="7"/>
  <c r="D33" i="7"/>
  <c r="F33" i="7" s="1"/>
  <c r="D34" i="7"/>
  <c r="D35" i="7"/>
  <c r="F35" i="7" s="1"/>
  <c r="D36" i="7"/>
  <c r="F36" i="7" s="1"/>
  <c r="D37" i="7"/>
  <c r="F37" i="7" s="1"/>
  <c r="D38" i="7"/>
  <c r="D39" i="7"/>
  <c r="D40" i="7"/>
  <c r="D41" i="7"/>
  <c r="F41" i="7" s="1"/>
  <c r="D42" i="7"/>
  <c r="I42" i="7" s="1"/>
  <c r="J42" i="7" s="1"/>
  <c r="D43" i="7"/>
  <c r="I43" i="7" s="1"/>
  <c r="J43" i="7" s="1"/>
  <c r="D44" i="7"/>
  <c r="F16" i="7"/>
  <c r="F15" i="7"/>
  <c r="F13" i="7"/>
  <c r="H16" i="7"/>
  <c r="H15" i="7"/>
  <c r="H12" i="7"/>
  <c r="G16" i="7"/>
  <c r="G15" i="7"/>
  <c r="D16" i="7"/>
  <c r="D15" i="7"/>
  <c r="D13" i="7"/>
  <c r="D12" i="7"/>
  <c r="E21" i="7"/>
  <c r="E22" i="7"/>
  <c r="E23" i="7"/>
  <c r="E24" i="7"/>
  <c r="E25" i="7"/>
  <c r="I25" i="7"/>
  <c r="J25" i="7" s="1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I41" i="7"/>
  <c r="J41" i="7" s="1"/>
  <c r="E42" i="7"/>
  <c r="E43" i="7"/>
  <c r="E44" i="7"/>
  <c r="E16" i="7"/>
  <c r="E15" i="7"/>
  <c r="E13" i="7"/>
  <c r="I26" i="7"/>
  <c r="J26" i="7" s="1"/>
  <c r="I16" i="7"/>
  <c r="I15" i="7"/>
  <c r="I12" i="7"/>
  <c r="J16" i="7"/>
  <c r="J15" i="7"/>
  <c r="D17" i="7"/>
  <c r="L16" i="7"/>
  <c r="L15" i="7"/>
  <c r="M16" i="7"/>
  <c r="M15" i="7"/>
  <c r="G4" i="7"/>
  <c r="N16" i="7"/>
  <c r="N15" i="7"/>
  <c r="G5" i="7"/>
  <c r="O16" i="7"/>
  <c r="O15" i="7"/>
  <c r="O13" i="7"/>
  <c r="G6" i="7"/>
  <c r="G7" i="7"/>
  <c r="A8" i="7"/>
  <c r="D45" i="7"/>
  <c r="I45" i="7" s="1"/>
  <c r="J45" i="7" s="1"/>
  <c r="D46" i="7"/>
  <c r="F46" i="7" s="1"/>
  <c r="H46" i="7" s="1"/>
  <c r="D47" i="7"/>
  <c r="D48" i="7"/>
  <c r="I48" i="7" s="1"/>
  <c r="J48" i="7" s="1"/>
  <c r="D49" i="7"/>
  <c r="I49" i="7" s="1"/>
  <c r="J49" i="7" s="1"/>
  <c r="D50" i="7"/>
  <c r="F50" i="7" s="1"/>
  <c r="D51" i="7"/>
  <c r="I51" i="7"/>
  <c r="J51" i="7" s="1"/>
  <c r="D52" i="7"/>
  <c r="D53" i="7"/>
  <c r="F53" i="7"/>
  <c r="H53" i="7"/>
  <c r="D54" i="7"/>
  <c r="D55" i="7"/>
  <c r="I55" i="7"/>
  <c r="J55" i="7"/>
  <c r="D56" i="7"/>
  <c r="I56" i="7"/>
  <c r="J56" i="7"/>
  <c r="D57" i="7"/>
  <c r="F57" i="7"/>
  <c r="G57" i="7"/>
  <c r="D58" i="7"/>
  <c r="F58" i="7"/>
  <c r="H58" i="7"/>
  <c r="D59" i="7"/>
  <c r="F59" i="7"/>
  <c r="D60" i="7"/>
  <c r="F60" i="7"/>
  <c r="H60" i="7"/>
  <c r="D61" i="7"/>
  <c r="F61" i="7"/>
  <c r="H61" i="7"/>
  <c r="G61" i="7"/>
  <c r="D62" i="7"/>
  <c r="D63" i="7"/>
  <c r="F63" i="7"/>
  <c r="H63" i="7"/>
  <c r="D64" i="7"/>
  <c r="J64" i="7"/>
  <c r="D65" i="7"/>
  <c r="F65" i="7"/>
  <c r="D66" i="7"/>
  <c r="F66" i="7"/>
  <c r="H66" i="7"/>
  <c r="D67" i="7"/>
  <c r="F67" i="7"/>
  <c r="D68" i="7"/>
  <c r="I68" i="7"/>
  <c r="J68" i="7"/>
  <c r="D69" i="7"/>
  <c r="F69" i="7"/>
  <c r="H69" i="7"/>
  <c r="D70" i="7"/>
  <c r="D71" i="7"/>
  <c r="F71" i="7"/>
  <c r="D72" i="7"/>
  <c r="E45" i="7"/>
  <c r="E46" i="7"/>
  <c r="E47" i="7"/>
  <c r="E48" i="7"/>
  <c r="E49" i="7"/>
  <c r="E50" i="7"/>
  <c r="E51" i="7"/>
  <c r="E52" i="7"/>
  <c r="I52" i="7"/>
  <c r="E53" i="7"/>
  <c r="E54" i="7"/>
  <c r="I54" i="7"/>
  <c r="J54" i="7"/>
  <c r="E55" i="7"/>
  <c r="E56" i="7"/>
  <c r="E57" i="7"/>
  <c r="E58" i="7"/>
  <c r="I58" i="7"/>
  <c r="J58" i="7"/>
  <c r="E59" i="7"/>
  <c r="E60" i="7"/>
  <c r="E61" i="7"/>
  <c r="I61" i="7"/>
  <c r="J61" i="7"/>
  <c r="E62" i="7"/>
  <c r="I62" i="7"/>
  <c r="J62" i="7"/>
  <c r="E63" i="7"/>
  <c r="E64" i="7"/>
  <c r="I64" i="7"/>
  <c r="E65" i="7"/>
  <c r="E66" i="7"/>
  <c r="E67" i="7"/>
  <c r="E68" i="7"/>
  <c r="E69" i="7"/>
  <c r="E70" i="7"/>
  <c r="I70" i="7"/>
  <c r="J70" i="7"/>
  <c r="E71" i="7"/>
  <c r="I71" i="7"/>
  <c r="J71" i="7"/>
  <c r="E72" i="7"/>
  <c r="I72" i="7"/>
  <c r="J72" i="7"/>
  <c r="B10" i="7"/>
  <c r="A12" i="7"/>
  <c r="K16" i="7"/>
  <c r="K15" i="7"/>
  <c r="K12" i="7"/>
  <c r="A13" i="7"/>
  <c r="K13" i="7"/>
  <c r="A16" i="7"/>
  <c r="F51" i="7"/>
  <c r="H51" i="7" s="1"/>
  <c r="F52" i="7"/>
  <c r="J52" i="7"/>
  <c r="I53" i="7"/>
  <c r="J53" i="7"/>
  <c r="F56" i="7"/>
  <c r="H56" i="7"/>
  <c r="G56" i="7"/>
  <c r="I57" i="7"/>
  <c r="J57" i="7"/>
  <c r="I59" i="7"/>
  <c r="J59" i="7"/>
  <c r="F62" i="7"/>
  <c r="H62" i="7"/>
  <c r="F64" i="7"/>
  <c r="H64" i="7"/>
  <c r="G64" i="7"/>
  <c r="I65" i="7"/>
  <c r="J65" i="7"/>
  <c r="I67" i="7"/>
  <c r="J67" i="7"/>
  <c r="F68" i="7"/>
  <c r="H68" i="7"/>
  <c r="I69" i="7"/>
  <c r="J69" i="7"/>
  <c r="F70" i="7"/>
  <c r="H70" i="7"/>
  <c r="G71" i="7"/>
  <c r="H71" i="7"/>
  <c r="F72" i="7"/>
  <c r="D73" i="7"/>
  <c r="E73" i="7"/>
  <c r="I73" i="7"/>
  <c r="J73" i="7"/>
  <c r="F73" i="7"/>
  <c r="H73" i="7"/>
  <c r="G73" i="7"/>
  <c r="D74" i="7"/>
  <c r="E74" i="7"/>
  <c r="F74" i="7"/>
  <c r="G74" i="7"/>
  <c r="H74" i="7"/>
  <c r="D75" i="7"/>
  <c r="E75" i="7"/>
  <c r="D76" i="7"/>
  <c r="E76" i="7"/>
  <c r="D77" i="7"/>
  <c r="E77" i="7"/>
  <c r="F77" i="7"/>
  <c r="I77" i="7"/>
  <c r="J77" i="7"/>
  <c r="D78" i="7"/>
  <c r="F78" i="7"/>
  <c r="H78" i="7"/>
  <c r="E78" i="7"/>
  <c r="D79" i="7"/>
  <c r="E79" i="7"/>
  <c r="I79" i="7"/>
  <c r="J79" i="7"/>
  <c r="D80" i="7"/>
  <c r="E80" i="7"/>
  <c r="D81" i="7"/>
  <c r="E81" i="7"/>
  <c r="F81" i="7"/>
  <c r="H81" i="7"/>
  <c r="G81" i="7"/>
  <c r="I81" i="7"/>
  <c r="J81" i="7"/>
  <c r="D82" i="7"/>
  <c r="E82" i="7"/>
  <c r="F82" i="7"/>
  <c r="H82" i="7"/>
  <c r="I82" i="7"/>
  <c r="J82" i="7"/>
  <c r="D83" i="7"/>
  <c r="E83" i="7"/>
  <c r="D84" i="7"/>
  <c r="E84" i="7"/>
  <c r="D85" i="7"/>
  <c r="F85" i="7"/>
  <c r="H85" i="7"/>
  <c r="E85" i="7"/>
  <c r="D86" i="7"/>
  <c r="G86" i="7"/>
  <c r="E86" i="7"/>
  <c r="F86" i="7"/>
  <c r="H86" i="7"/>
  <c r="I86" i="7"/>
  <c r="J86" i="7"/>
  <c r="D87" i="7"/>
  <c r="E87" i="7"/>
  <c r="I87" i="7"/>
  <c r="J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F94" i="7"/>
  <c r="H94" i="7"/>
  <c r="D95" i="7"/>
  <c r="E95" i="7"/>
  <c r="I95" i="7"/>
  <c r="J95" i="7"/>
  <c r="D96" i="7"/>
  <c r="E96" i="7"/>
  <c r="D97" i="7"/>
  <c r="E97" i="7"/>
  <c r="I97" i="7"/>
  <c r="J97" i="7"/>
  <c r="D98" i="7"/>
  <c r="F98" i="7"/>
  <c r="H98" i="7"/>
  <c r="E98" i="7"/>
  <c r="D99" i="7"/>
  <c r="E99" i="7"/>
  <c r="D100" i="7"/>
  <c r="E100" i="7"/>
  <c r="D101" i="7"/>
  <c r="E101" i="7"/>
  <c r="F101" i="7"/>
  <c r="H101" i="7"/>
  <c r="I101" i="7"/>
  <c r="J101" i="7"/>
  <c r="D102" i="7"/>
  <c r="E102" i="7"/>
  <c r="D103" i="7"/>
  <c r="E103" i="7"/>
  <c r="D104" i="7"/>
  <c r="E104" i="7"/>
  <c r="D105" i="7"/>
  <c r="E105" i="7"/>
  <c r="D106" i="7"/>
  <c r="E106" i="7"/>
  <c r="F106" i="7"/>
  <c r="H106" i="7"/>
  <c r="D107" i="7"/>
  <c r="E107" i="7"/>
  <c r="D108" i="7"/>
  <c r="E108" i="7"/>
  <c r="D109" i="7"/>
  <c r="E109" i="7"/>
  <c r="F109" i="7"/>
  <c r="I109" i="7"/>
  <c r="J109" i="7"/>
  <c r="D110" i="7"/>
  <c r="E110" i="7"/>
  <c r="F110" i="7"/>
  <c r="H110" i="7"/>
  <c r="D111" i="7"/>
  <c r="I111" i="7"/>
  <c r="J111" i="7"/>
  <c r="E111" i="7"/>
  <c r="D112" i="7"/>
  <c r="E112" i="7"/>
  <c r="D113" i="7"/>
  <c r="F113" i="7"/>
  <c r="H113" i="7"/>
  <c r="E113" i="7"/>
  <c r="G113" i="7"/>
  <c r="D114" i="7"/>
  <c r="E114" i="7"/>
  <c r="F114" i="7"/>
  <c r="H114" i="7"/>
  <c r="I114" i="7"/>
  <c r="J114" i="7"/>
  <c r="D115" i="7"/>
  <c r="E115" i="7"/>
  <c r="I115" i="7"/>
  <c r="J115" i="7"/>
  <c r="D116" i="7"/>
  <c r="E116" i="7"/>
  <c r="D117" i="7"/>
  <c r="F117" i="7"/>
  <c r="H117" i="7"/>
  <c r="E117" i="7"/>
  <c r="D118" i="7"/>
  <c r="F118" i="7"/>
  <c r="H118" i="7"/>
  <c r="E118" i="7"/>
  <c r="D119" i="7"/>
  <c r="E119" i="7"/>
  <c r="D120" i="7"/>
  <c r="E120" i="7"/>
  <c r="D121" i="7"/>
  <c r="E121" i="7"/>
  <c r="D122" i="7"/>
  <c r="F122" i="7"/>
  <c r="E122" i="7"/>
  <c r="H122" i="7"/>
  <c r="D11" i="6"/>
  <c r="D12" i="6"/>
  <c r="P37" i="6" s="1"/>
  <c r="R37" i="6" s="1"/>
  <c r="T37" i="6" s="1"/>
  <c r="D13" i="6"/>
  <c r="D9" i="6"/>
  <c r="E9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E21" i="6"/>
  <c r="F21" i="6"/>
  <c r="E22" i="6"/>
  <c r="F22" i="6"/>
  <c r="C17" i="6"/>
  <c r="H21" i="6"/>
  <c r="I22" i="6"/>
  <c r="Q22" i="6"/>
  <c r="I23" i="6"/>
  <c r="Q23" i="6"/>
  <c r="I24" i="6"/>
  <c r="Q24" i="6"/>
  <c r="I25" i="6"/>
  <c r="Q25" i="6"/>
  <c r="I26" i="6"/>
  <c r="Q26" i="6"/>
  <c r="I27" i="6"/>
  <c r="Q27" i="6"/>
  <c r="I28" i="6"/>
  <c r="Q28" i="6"/>
  <c r="I29" i="6"/>
  <c r="Q29" i="6"/>
  <c r="I30" i="6"/>
  <c r="Q30" i="6"/>
  <c r="I31" i="6"/>
  <c r="Q31" i="6"/>
  <c r="I32" i="6"/>
  <c r="Q32" i="6"/>
  <c r="I33" i="6"/>
  <c r="Q33" i="6"/>
  <c r="I34" i="6"/>
  <c r="Q34" i="6"/>
  <c r="I35" i="6"/>
  <c r="Q35" i="6"/>
  <c r="I36" i="6"/>
  <c r="Q36" i="6"/>
  <c r="I37" i="6"/>
  <c r="Q37" i="6"/>
  <c r="I38" i="6"/>
  <c r="Q38" i="6"/>
  <c r="I39" i="6"/>
  <c r="Q39" i="6"/>
  <c r="I40" i="6"/>
  <c r="Q40" i="6"/>
  <c r="I41" i="6"/>
  <c r="Q41" i="6"/>
  <c r="J42" i="6"/>
  <c r="Q42" i="6"/>
  <c r="J43" i="6"/>
  <c r="Q43" i="6"/>
  <c r="L44" i="6"/>
  <c r="Q44" i="6"/>
  <c r="L45" i="6"/>
  <c r="Q45" i="6"/>
  <c r="D21" i="5"/>
  <c r="F21" i="5" s="1"/>
  <c r="D22" i="5"/>
  <c r="D23" i="5"/>
  <c r="D24" i="5"/>
  <c r="D25" i="5"/>
  <c r="I25" i="5" s="1"/>
  <c r="J25" i="5" s="1"/>
  <c r="D26" i="5"/>
  <c r="D27" i="5"/>
  <c r="F27" i="5" s="1"/>
  <c r="D28" i="5"/>
  <c r="F28" i="5"/>
  <c r="H28" i="5" s="1"/>
  <c r="D29" i="5"/>
  <c r="D30" i="5"/>
  <c r="F30" i="5" s="1"/>
  <c r="G30" i="5" s="1"/>
  <c r="D31" i="5"/>
  <c r="F31" i="5" s="1"/>
  <c r="D32" i="5"/>
  <c r="D33" i="5"/>
  <c r="D34" i="5"/>
  <c r="F34" i="5" s="1"/>
  <c r="D35" i="5"/>
  <c r="F35" i="5" s="1"/>
  <c r="D36" i="5"/>
  <c r="D37" i="5"/>
  <c r="I37" i="5"/>
  <c r="J37" i="5" s="1"/>
  <c r="D38" i="5"/>
  <c r="D39" i="5"/>
  <c r="D40" i="5"/>
  <c r="D41" i="5"/>
  <c r="D42" i="5"/>
  <c r="F42" i="5" s="1"/>
  <c r="H42" i="5" s="1"/>
  <c r="D43" i="5"/>
  <c r="D44" i="5"/>
  <c r="F44" i="5" s="1"/>
  <c r="D45" i="5"/>
  <c r="I45" i="5" s="1"/>
  <c r="J45" i="5" s="1"/>
  <c r="D46" i="5"/>
  <c r="F46" i="5" s="1"/>
  <c r="H46" i="5" s="1"/>
  <c r="D47" i="5"/>
  <c r="D48" i="5"/>
  <c r="F48" i="5" s="1"/>
  <c r="D49" i="5"/>
  <c r="D50" i="5"/>
  <c r="F50" i="5" s="1"/>
  <c r="H50" i="5" s="1"/>
  <c r="D51" i="5"/>
  <c r="D52" i="5"/>
  <c r="F52" i="5" s="1"/>
  <c r="H52" i="5" s="1"/>
  <c r="D53" i="5"/>
  <c r="I53" i="5"/>
  <c r="D54" i="5"/>
  <c r="D55" i="5"/>
  <c r="D56" i="5"/>
  <c r="D57" i="5"/>
  <c r="D58" i="5"/>
  <c r="D59" i="5"/>
  <c r="F59" i="5"/>
  <c r="H59" i="5"/>
  <c r="D60" i="5"/>
  <c r="F60" i="5"/>
  <c r="H60" i="5"/>
  <c r="D61" i="5"/>
  <c r="D62" i="5"/>
  <c r="F62" i="5"/>
  <c r="H62" i="5"/>
  <c r="G62" i="5"/>
  <c r="D63" i="5"/>
  <c r="D64" i="5"/>
  <c r="F64" i="5"/>
  <c r="H64" i="5"/>
  <c r="D65" i="5"/>
  <c r="D66" i="5"/>
  <c r="F66" i="5"/>
  <c r="H66" i="5"/>
  <c r="G66" i="5"/>
  <c r="D67" i="5"/>
  <c r="F67" i="5"/>
  <c r="H67" i="5"/>
  <c r="D68" i="5"/>
  <c r="F68" i="5"/>
  <c r="H68" i="5"/>
  <c r="D69" i="5"/>
  <c r="D70" i="5"/>
  <c r="F70" i="5"/>
  <c r="H70" i="5"/>
  <c r="D71" i="5"/>
  <c r="D72" i="5"/>
  <c r="F72" i="5"/>
  <c r="H72" i="5"/>
  <c r="D73" i="5"/>
  <c r="F16" i="5"/>
  <c r="F15" i="5"/>
  <c r="F13" i="5"/>
  <c r="H16" i="5"/>
  <c r="H15" i="5"/>
  <c r="H12" i="5"/>
  <c r="G64" i="5"/>
  <c r="G68" i="5"/>
  <c r="G72" i="5"/>
  <c r="G16" i="5"/>
  <c r="G15" i="5"/>
  <c r="D16" i="5"/>
  <c r="D15" i="5"/>
  <c r="E21" i="5"/>
  <c r="E22" i="5"/>
  <c r="E23" i="5"/>
  <c r="E24" i="5"/>
  <c r="E25" i="5"/>
  <c r="E26" i="5"/>
  <c r="I26" i="5"/>
  <c r="J26" i="5" s="1"/>
  <c r="E27" i="5"/>
  <c r="E28" i="5"/>
  <c r="E29" i="5"/>
  <c r="I29" i="5"/>
  <c r="J29" i="5" s="1"/>
  <c r="E30" i="5"/>
  <c r="I30" i="5"/>
  <c r="J30" i="5"/>
  <c r="E31" i="5"/>
  <c r="E32" i="5"/>
  <c r="E33" i="5"/>
  <c r="I33" i="5"/>
  <c r="J33" i="5" s="1"/>
  <c r="E34" i="5"/>
  <c r="I34" i="5"/>
  <c r="E35" i="5"/>
  <c r="E36" i="5"/>
  <c r="E37" i="5"/>
  <c r="E38" i="5"/>
  <c r="E39" i="5"/>
  <c r="I39" i="5"/>
  <c r="J39" i="5" s="1"/>
  <c r="E40" i="5"/>
  <c r="E41" i="5"/>
  <c r="I41" i="5"/>
  <c r="J41" i="5" s="1"/>
  <c r="E42" i="5"/>
  <c r="E43" i="5"/>
  <c r="E44" i="5"/>
  <c r="E45" i="5"/>
  <c r="E46" i="5"/>
  <c r="E47" i="5"/>
  <c r="E48" i="5"/>
  <c r="E49" i="5"/>
  <c r="E50" i="5"/>
  <c r="E51" i="5"/>
  <c r="E52" i="5"/>
  <c r="E53" i="5"/>
  <c r="J53" i="5"/>
  <c r="E54" i="5"/>
  <c r="I54" i="5"/>
  <c r="E55" i="5"/>
  <c r="E56" i="5"/>
  <c r="E57" i="5"/>
  <c r="I57" i="5"/>
  <c r="J57" i="5"/>
  <c r="E58" i="5"/>
  <c r="I58" i="5"/>
  <c r="J58" i="5"/>
  <c r="E59" i="5"/>
  <c r="E60" i="5"/>
  <c r="E61" i="5"/>
  <c r="I61" i="5"/>
  <c r="J61" i="5"/>
  <c r="E62" i="5"/>
  <c r="I62" i="5"/>
  <c r="J62" i="5"/>
  <c r="E63" i="5"/>
  <c r="E64" i="5"/>
  <c r="E65" i="5"/>
  <c r="I65" i="5"/>
  <c r="E66" i="5"/>
  <c r="I66" i="5"/>
  <c r="J66" i="5"/>
  <c r="E67" i="5"/>
  <c r="E68" i="5"/>
  <c r="E69" i="5"/>
  <c r="E70" i="5"/>
  <c r="I70" i="5"/>
  <c r="J70" i="5"/>
  <c r="E71" i="5"/>
  <c r="E72" i="5"/>
  <c r="E73" i="5"/>
  <c r="I73" i="5"/>
  <c r="J73" i="5"/>
  <c r="E16" i="5"/>
  <c r="E15" i="5"/>
  <c r="E12" i="5"/>
  <c r="E13" i="5"/>
  <c r="I27" i="5"/>
  <c r="J27" i="5" s="1"/>
  <c r="I35" i="5"/>
  <c r="J35" i="5"/>
  <c r="I40" i="5"/>
  <c r="J40" i="5" s="1"/>
  <c r="I48" i="5"/>
  <c r="J48" i="5" s="1"/>
  <c r="I52" i="5"/>
  <c r="J52" i="5" s="1"/>
  <c r="I56" i="5"/>
  <c r="J56" i="5"/>
  <c r="I59" i="5"/>
  <c r="J59" i="5"/>
  <c r="I60" i="5"/>
  <c r="J60" i="5"/>
  <c r="I64" i="5"/>
  <c r="J64" i="5"/>
  <c r="I67" i="5"/>
  <c r="J67" i="5"/>
  <c r="I68" i="5"/>
  <c r="J68" i="5"/>
  <c r="I72" i="5"/>
  <c r="J72" i="5"/>
  <c r="I16" i="5"/>
  <c r="I15" i="5"/>
  <c r="J34" i="5"/>
  <c r="J54" i="5"/>
  <c r="J65" i="5"/>
  <c r="J16" i="5"/>
  <c r="J15" i="5"/>
  <c r="D17" i="5"/>
  <c r="L16" i="5"/>
  <c r="L15" i="5"/>
  <c r="M16" i="5"/>
  <c r="M15" i="5"/>
  <c r="M13" i="5"/>
  <c r="M12" i="5"/>
  <c r="G4" i="5"/>
  <c r="N16" i="5"/>
  <c r="N15" i="5"/>
  <c r="G5" i="5"/>
  <c r="O16" i="5"/>
  <c r="O15" i="5"/>
  <c r="G6" i="5"/>
  <c r="G7" i="5"/>
  <c r="A8" i="5"/>
  <c r="A12" i="5"/>
  <c r="K16" i="5"/>
  <c r="K15" i="5"/>
  <c r="K12" i="5"/>
  <c r="A13" i="5"/>
  <c r="K13" i="5"/>
  <c r="A16" i="5"/>
  <c r="D74" i="5"/>
  <c r="I74" i="5"/>
  <c r="J74" i="5"/>
  <c r="E74" i="5"/>
  <c r="F74" i="5"/>
  <c r="H74" i="5"/>
  <c r="D75" i="5"/>
  <c r="G75" i="5"/>
  <c r="E75" i="5"/>
  <c r="I75" i="5"/>
  <c r="J75" i="5"/>
  <c r="F75" i="5"/>
  <c r="H75" i="5"/>
  <c r="D76" i="5"/>
  <c r="E76" i="5"/>
  <c r="D77" i="5"/>
  <c r="F77" i="5"/>
  <c r="H77" i="5"/>
  <c r="E77" i="5"/>
  <c r="I77" i="5"/>
  <c r="J77" i="5"/>
  <c r="D78" i="5"/>
  <c r="I78" i="5"/>
  <c r="J78" i="5"/>
  <c r="E78" i="5"/>
  <c r="F78" i="5"/>
  <c r="H78" i="5"/>
  <c r="D79" i="5"/>
  <c r="E79" i="5"/>
  <c r="F79" i="5"/>
  <c r="H79" i="5"/>
  <c r="D80" i="5"/>
  <c r="I80" i="5"/>
  <c r="J80" i="5"/>
  <c r="E80" i="5"/>
  <c r="D81" i="5"/>
  <c r="F81" i="5"/>
  <c r="H81" i="5"/>
  <c r="E81" i="5"/>
  <c r="I81" i="5"/>
  <c r="G81" i="5"/>
  <c r="J81" i="5"/>
  <c r="D82" i="5"/>
  <c r="I82" i="5"/>
  <c r="J82" i="5"/>
  <c r="E82" i="5"/>
  <c r="F82" i="5"/>
  <c r="H82" i="5"/>
  <c r="D83" i="5"/>
  <c r="F83" i="5"/>
  <c r="G83" i="5"/>
  <c r="E83" i="5"/>
  <c r="I83" i="5"/>
  <c r="J83" i="5"/>
  <c r="H83" i="5"/>
  <c r="D84" i="5"/>
  <c r="E84" i="5"/>
  <c r="D85" i="5"/>
  <c r="F85" i="5"/>
  <c r="E85" i="5"/>
  <c r="I85" i="5"/>
  <c r="J85" i="5"/>
  <c r="D86" i="5"/>
  <c r="J86" i="5"/>
  <c r="E86" i="5"/>
  <c r="I86" i="5"/>
  <c r="F86" i="5"/>
  <c r="H86" i="5"/>
  <c r="D87" i="5"/>
  <c r="G87" i="5"/>
  <c r="E87" i="5"/>
  <c r="F87" i="5"/>
  <c r="H87" i="5"/>
  <c r="D88" i="5"/>
  <c r="E88" i="5"/>
  <c r="D89" i="5"/>
  <c r="G89" i="5"/>
  <c r="F89" i="5"/>
  <c r="H89" i="5"/>
  <c r="E89" i="5"/>
  <c r="I89" i="5"/>
  <c r="J89" i="5"/>
  <c r="D90" i="5"/>
  <c r="J90" i="5"/>
  <c r="E90" i="5"/>
  <c r="I90" i="5"/>
  <c r="F90" i="5"/>
  <c r="H90" i="5"/>
  <c r="D91" i="5"/>
  <c r="F91" i="5"/>
  <c r="E91" i="5"/>
  <c r="I91" i="5"/>
  <c r="J91" i="5"/>
  <c r="D92" i="5"/>
  <c r="E92" i="5"/>
  <c r="D93" i="5"/>
  <c r="F93" i="5"/>
  <c r="E93" i="5"/>
  <c r="I93" i="5"/>
  <c r="J93" i="5"/>
  <c r="D94" i="5"/>
  <c r="F94" i="5"/>
  <c r="H94" i="5"/>
  <c r="E94" i="5"/>
  <c r="I94" i="5"/>
  <c r="J94" i="5"/>
  <c r="D95" i="5"/>
  <c r="E95" i="5"/>
  <c r="D96" i="5"/>
  <c r="E96" i="5"/>
  <c r="D97" i="5"/>
  <c r="E97" i="5"/>
  <c r="I97" i="5"/>
  <c r="J97" i="5"/>
  <c r="D98" i="5"/>
  <c r="F98" i="5"/>
  <c r="H98" i="5"/>
  <c r="E98" i="5"/>
  <c r="I98" i="5"/>
  <c r="J98" i="5"/>
  <c r="D99" i="5"/>
  <c r="E99" i="5"/>
  <c r="I99" i="5"/>
  <c r="J99" i="5"/>
  <c r="F99" i="5"/>
  <c r="H99" i="5"/>
  <c r="D100" i="5"/>
  <c r="E100" i="5"/>
  <c r="I100" i="5"/>
  <c r="J100" i="5"/>
  <c r="D101" i="5"/>
  <c r="F101" i="5"/>
  <c r="H101" i="5"/>
  <c r="E101" i="5"/>
  <c r="I101" i="5"/>
  <c r="J101" i="5"/>
  <c r="D102" i="5"/>
  <c r="F102" i="5"/>
  <c r="E102" i="5"/>
  <c r="I102" i="5"/>
  <c r="J102" i="5"/>
  <c r="D103" i="5"/>
  <c r="F103" i="5"/>
  <c r="H103" i="5"/>
  <c r="E103" i="5"/>
  <c r="D104" i="5"/>
  <c r="E104" i="5"/>
  <c r="D105" i="5"/>
  <c r="F105" i="5"/>
  <c r="H105" i="5"/>
  <c r="E105" i="5"/>
  <c r="I105" i="5"/>
  <c r="J105" i="5"/>
  <c r="D106" i="5"/>
  <c r="E106" i="5"/>
  <c r="I106" i="5"/>
  <c r="J106" i="5"/>
  <c r="F106" i="5"/>
  <c r="H106" i="5"/>
  <c r="D107" i="5"/>
  <c r="E107" i="5"/>
  <c r="I107" i="5"/>
  <c r="J107" i="5"/>
  <c r="F107" i="5"/>
  <c r="H107" i="5"/>
  <c r="D108" i="5"/>
  <c r="E108" i="5"/>
  <c r="D109" i="5"/>
  <c r="E109" i="5"/>
  <c r="D110" i="5"/>
  <c r="F110" i="5"/>
  <c r="E110" i="5"/>
  <c r="I110" i="5"/>
  <c r="J110" i="5"/>
  <c r="D111" i="5"/>
  <c r="E111" i="5"/>
  <c r="F111" i="5"/>
  <c r="H111" i="5"/>
  <c r="G111" i="5"/>
  <c r="D112" i="5"/>
  <c r="E112" i="5"/>
  <c r="D113" i="5"/>
  <c r="F113" i="5"/>
  <c r="H113" i="5"/>
  <c r="E113" i="5"/>
  <c r="I113" i="5"/>
  <c r="J113" i="5"/>
  <c r="D114" i="5"/>
  <c r="I114" i="5"/>
  <c r="J114" i="5"/>
  <c r="E114" i="5"/>
  <c r="F114" i="5"/>
  <c r="H114" i="5"/>
  <c r="D115" i="5"/>
  <c r="E115" i="5"/>
  <c r="I115" i="5"/>
  <c r="J115" i="5"/>
  <c r="D116" i="5"/>
  <c r="E116" i="5"/>
  <c r="I116" i="5"/>
  <c r="J116" i="5"/>
  <c r="D117" i="5"/>
  <c r="F117" i="5"/>
  <c r="H117" i="5"/>
  <c r="E117" i="5"/>
  <c r="I117" i="5"/>
  <c r="J117" i="5"/>
  <c r="D118" i="5"/>
  <c r="I118" i="5"/>
  <c r="J118" i="5"/>
  <c r="E118" i="5"/>
  <c r="F118" i="5"/>
  <c r="H118" i="5"/>
  <c r="D119" i="5"/>
  <c r="E119" i="5"/>
  <c r="D120" i="5"/>
  <c r="E120" i="5"/>
  <c r="D121" i="5"/>
  <c r="I121" i="5"/>
  <c r="J121" i="5"/>
  <c r="E121" i="5"/>
  <c r="D122" i="5"/>
  <c r="F122" i="5"/>
  <c r="E122" i="5"/>
  <c r="I122" i="5"/>
  <c r="J122" i="5"/>
  <c r="D123" i="5"/>
  <c r="G123" i="5"/>
  <c r="E123" i="5"/>
  <c r="I123" i="5"/>
  <c r="J123" i="5"/>
  <c r="F123" i="5"/>
  <c r="H123" i="5"/>
  <c r="N16" i="8"/>
  <c r="N15" i="8"/>
  <c r="O16" i="8"/>
  <c r="O15" i="8"/>
  <c r="G4" i="8"/>
  <c r="P16" i="8"/>
  <c r="P15" i="8"/>
  <c r="G5" i="8"/>
  <c r="Q16" i="8"/>
  <c r="Q15" i="8"/>
  <c r="G6" i="8"/>
  <c r="G7" i="8"/>
  <c r="E16" i="8"/>
  <c r="E15" i="8"/>
  <c r="M16" i="8"/>
  <c r="M15" i="8"/>
  <c r="D16" i="8"/>
  <c r="D15" i="8"/>
  <c r="X2" i="4"/>
  <c r="C3" i="4"/>
  <c r="X3" i="4"/>
  <c r="X4" i="4"/>
  <c r="X5" i="4"/>
  <c r="X6" i="4"/>
  <c r="F7" i="4"/>
  <c r="X7" i="4"/>
  <c r="F8" i="4"/>
  <c r="X8" i="4"/>
  <c r="X9" i="4"/>
  <c r="X10" i="4"/>
  <c r="X11" i="4"/>
  <c r="X12" i="4"/>
  <c r="X13" i="4"/>
  <c r="X14" i="4"/>
  <c r="X15" i="4"/>
  <c r="F16" i="4"/>
  <c r="F17" i="4" s="1"/>
  <c r="X16" i="4"/>
  <c r="C17" i="4"/>
  <c r="X18" i="4"/>
  <c r="X19" i="4"/>
  <c r="X20" i="4"/>
  <c r="X21" i="4"/>
  <c r="Q36" i="4"/>
  <c r="X22" i="4"/>
  <c r="Q37" i="4"/>
  <c r="X23" i="4"/>
  <c r="Q38" i="4"/>
  <c r="X24" i="4"/>
  <c r="Q39" i="4"/>
  <c r="X25" i="4"/>
  <c r="Q40" i="4"/>
  <c r="Q41" i="4"/>
  <c r="Q42" i="4"/>
  <c r="Q43" i="4"/>
  <c r="Q44" i="4"/>
  <c r="Q45" i="4"/>
  <c r="Q47" i="4"/>
  <c r="Q48" i="4"/>
  <c r="Q49" i="4"/>
  <c r="Q50" i="4"/>
  <c r="Q51" i="4"/>
  <c r="Q52" i="4"/>
  <c r="Q53" i="4"/>
  <c r="Q56" i="4"/>
  <c r="Q59" i="4"/>
  <c r="Q62" i="4"/>
  <c r="Q65" i="4"/>
  <c r="P66" i="4"/>
  <c r="Q66" i="4"/>
  <c r="P67" i="4"/>
  <c r="Q67" i="4"/>
  <c r="Q68" i="4"/>
  <c r="Q69" i="4"/>
  <c r="Q70" i="4"/>
  <c r="Q72" i="4"/>
  <c r="Q73" i="4"/>
  <c r="P76" i="4"/>
  <c r="Q76" i="4"/>
  <c r="Q77" i="4"/>
  <c r="P78" i="4"/>
  <c r="Q78" i="4"/>
  <c r="Q79" i="4"/>
  <c r="Q80" i="4"/>
  <c r="P81" i="4"/>
  <c r="Q81" i="4"/>
  <c r="Q85" i="4"/>
  <c r="Q86" i="4"/>
  <c r="P87" i="4"/>
  <c r="Q87" i="4"/>
  <c r="Q88" i="4"/>
  <c r="Q92" i="4"/>
  <c r="P93" i="4"/>
  <c r="Q93" i="4"/>
  <c r="Q94" i="4"/>
  <c r="Q95" i="4"/>
  <c r="Q96" i="4"/>
  <c r="P98" i="4"/>
  <c r="Q98" i="4"/>
  <c r="Q99" i="4"/>
  <c r="Q100" i="4"/>
  <c r="P103" i="4"/>
  <c r="Q103" i="4"/>
  <c r="P106" i="4"/>
  <c r="Q106" i="4"/>
  <c r="Q107" i="4"/>
  <c r="Q108" i="4"/>
  <c r="P109" i="4"/>
  <c r="Q109" i="4"/>
  <c r="Q114" i="4"/>
  <c r="Q115" i="4"/>
  <c r="Q117" i="4"/>
  <c r="Q118" i="4"/>
  <c r="P119" i="4"/>
  <c r="Q119" i="4"/>
  <c r="Q121" i="4"/>
  <c r="P123" i="4"/>
  <c r="Q123" i="4"/>
  <c r="Q124" i="4"/>
  <c r="Q126" i="4"/>
  <c r="Q127" i="4"/>
  <c r="Q129" i="4"/>
  <c r="Q130" i="4"/>
  <c r="Q131" i="4"/>
  <c r="Q132" i="4"/>
  <c r="Q135" i="4"/>
  <c r="Q137" i="4"/>
  <c r="Q140" i="4"/>
  <c r="Q141" i="4"/>
  <c r="Q142" i="4"/>
  <c r="Q144" i="4"/>
  <c r="Q145" i="4"/>
  <c r="Q146" i="4"/>
  <c r="Q147" i="4"/>
  <c r="Q149" i="4"/>
  <c r="Q150" i="4"/>
  <c r="Q151" i="4"/>
  <c r="Q152" i="4"/>
  <c r="Q153" i="4"/>
  <c r="Q154" i="4"/>
  <c r="Q155" i="4"/>
  <c r="Q156" i="4"/>
  <c r="Q158" i="4"/>
  <c r="Q160" i="4"/>
  <c r="Q161" i="4"/>
  <c r="Q162" i="4"/>
  <c r="Q163" i="4"/>
  <c r="Q165" i="4"/>
  <c r="Q166" i="4"/>
  <c r="Q168" i="4"/>
  <c r="Q169" i="4"/>
  <c r="Q170" i="4"/>
  <c r="Q139" i="4"/>
  <c r="Q148" i="4"/>
  <c r="Q171" i="4"/>
  <c r="Q172" i="4"/>
  <c r="Q173" i="4"/>
  <c r="Q174" i="4"/>
  <c r="Q175" i="4"/>
  <c r="Q176" i="4"/>
  <c r="Q177" i="4"/>
  <c r="Q179" i="4"/>
  <c r="Q180" i="4"/>
  <c r="Q181" i="4"/>
  <c r="Q183" i="4"/>
  <c r="Q185" i="4"/>
  <c r="Q188" i="4"/>
  <c r="Q191" i="4"/>
  <c r="Q192" i="4"/>
  <c r="Q193" i="4"/>
  <c r="Q197" i="4"/>
  <c r="Q200" i="4"/>
  <c r="Q203" i="4"/>
  <c r="Q205" i="4"/>
  <c r="Q207" i="4"/>
  <c r="Q208" i="4"/>
  <c r="Q210" i="4"/>
  <c r="Q211" i="4"/>
  <c r="Q212" i="4"/>
  <c r="Q213" i="4"/>
  <c r="Q215" i="4"/>
  <c r="Q217" i="4"/>
  <c r="Q219" i="4"/>
  <c r="Q222" i="4"/>
  <c r="Q223" i="4"/>
  <c r="G165" i="4"/>
  <c r="J165" i="4" s="1"/>
  <c r="G219" i="4"/>
  <c r="G197" i="4"/>
  <c r="G185" i="4"/>
  <c r="G200" i="4"/>
  <c r="G168" i="4"/>
  <c r="J168" i="4" s="1"/>
  <c r="D12" i="8"/>
  <c r="F71" i="5"/>
  <c r="H71" i="5"/>
  <c r="I71" i="5"/>
  <c r="J71" i="5"/>
  <c r="F63" i="5"/>
  <c r="I63" i="5"/>
  <c r="J63" i="5"/>
  <c r="F55" i="5"/>
  <c r="H55" i="5"/>
  <c r="I55" i="5"/>
  <c r="J55" i="5"/>
  <c r="F47" i="5"/>
  <c r="H47" i="5" s="1"/>
  <c r="I47" i="5"/>
  <c r="J47" i="5" s="1"/>
  <c r="F39" i="5"/>
  <c r="G39" i="5" s="1"/>
  <c r="F23" i="5"/>
  <c r="H23" i="5" s="1"/>
  <c r="I23" i="5"/>
  <c r="J23" i="5"/>
  <c r="F119" i="7"/>
  <c r="H119" i="7"/>
  <c r="G119" i="7"/>
  <c r="I110" i="7"/>
  <c r="J110" i="7"/>
  <c r="I91" i="7"/>
  <c r="J91" i="7"/>
  <c r="N82" i="9"/>
  <c r="G120" i="5"/>
  <c r="F120" i="5"/>
  <c r="H120" i="5"/>
  <c r="I120" i="5"/>
  <c r="J120" i="5"/>
  <c r="F112" i="5"/>
  <c r="H112" i="5"/>
  <c r="I112" i="5"/>
  <c r="J112" i="5"/>
  <c r="G96" i="5"/>
  <c r="F96" i="5"/>
  <c r="H96" i="5"/>
  <c r="I96" i="5"/>
  <c r="J96" i="5"/>
  <c r="G88" i="5"/>
  <c r="F88" i="5"/>
  <c r="H88" i="5"/>
  <c r="I88" i="5"/>
  <c r="J88" i="5"/>
  <c r="F80" i="5"/>
  <c r="H80" i="5"/>
  <c r="W12" i="6"/>
  <c r="P28" i="6"/>
  <c r="R28" i="6" s="1"/>
  <c r="T28" i="6" s="1"/>
  <c r="W3" i="6"/>
  <c r="R22" i="6" s="1"/>
  <c r="T22" i="6" s="1"/>
  <c r="P24" i="6"/>
  <c r="R24" i="6" s="1"/>
  <c r="T24" i="6" s="1"/>
  <c r="W24" i="6"/>
  <c r="W8" i="6"/>
  <c r="I100" i="7"/>
  <c r="J100" i="7"/>
  <c r="F100" i="7"/>
  <c r="H100" i="7"/>
  <c r="I94" i="7"/>
  <c r="J94" i="7"/>
  <c r="H52" i="7"/>
  <c r="G52" i="7"/>
  <c r="G59" i="7"/>
  <c r="H59" i="7"/>
  <c r="N57" i="9"/>
  <c r="N100" i="10"/>
  <c r="N92" i="10"/>
  <c r="N84" i="10"/>
  <c r="L76" i="10"/>
  <c r="I119" i="7"/>
  <c r="J119" i="7"/>
  <c r="F103" i="7"/>
  <c r="I84" i="7"/>
  <c r="J84" i="7"/>
  <c r="F84" i="7"/>
  <c r="H84" i="7"/>
  <c r="H77" i="7"/>
  <c r="G77" i="7"/>
  <c r="I75" i="7"/>
  <c r="J75" i="7"/>
  <c r="G67" i="7"/>
  <c r="H67" i="7"/>
  <c r="K73" i="9"/>
  <c r="L101" i="9"/>
  <c r="N99" i="9"/>
  <c r="G117" i="5"/>
  <c r="G101" i="5"/>
  <c r="G77" i="5"/>
  <c r="G60" i="5"/>
  <c r="F116" i="5"/>
  <c r="H116" i="5"/>
  <c r="F108" i="5"/>
  <c r="G108" i="5"/>
  <c r="I108" i="5"/>
  <c r="J108" i="5"/>
  <c r="F100" i="5"/>
  <c r="G100" i="5"/>
  <c r="F92" i="5"/>
  <c r="I92" i="5"/>
  <c r="J92" i="5"/>
  <c r="F84" i="5"/>
  <c r="H84" i="5"/>
  <c r="I84" i="5"/>
  <c r="J84" i="5"/>
  <c r="N12" i="5"/>
  <c r="N13" i="5"/>
  <c r="G13" i="5"/>
  <c r="G12" i="5"/>
  <c r="I116" i="7"/>
  <c r="J116" i="7"/>
  <c r="F116" i="7"/>
  <c r="H116" i="7"/>
  <c r="H109" i="7"/>
  <c r="G109" i="7"/>
  <c r="I107" i="7"/>
  <c r="J107" i="7"/>
  <c r="F87" i="7"/>
  <c r="H87" i="7"/>
  <c r="I78" i="7"/>
  <c r="J78" i="7"/>
  <c r="N91" i="9"/>
  <c r="K87" i="9"/>
  <c r="G66" i="9"/>
  <c r="I119" i="5"/>
  <c r="J119" i="5"/>
  <c r="I111" i="5"/>
  <c r="J111" i="5"/>
  <c r="I103" i="5"/>
  <c r="J103" i="5"/>
  <c r="I87" i="5"/>
  <c r="J87" i="5"/>
  <c r="I79" i="5"/>
  <c r="J79" i="5"/>
  <c r="F61" i="5"/>
  <c r="H61" i="5"/>
  <c r="F53" i="5"/>
  <c r="F37" i="5"/>
  <c r="G37" i="5" s="1"/>
  <c r="H37" i="5"/>
  <c r="F29" i="5"/>
  <c r="H29" i="5" s="1"/>
  <c r="F115" i="7"/>
  <c r="H115" i="7"/>
  <c r="I112" i="7"/>
  <c r="J112" i="7"/>
  <c r="F112" i="7"/>
  <c r="H112" i="7"/>
  <c r="F99" i="7"/>
  <c r="H99" i="7"/>
  <c r="I96" i="7"/>
  <c r="J96" i="7"/>
  <c r="F96" i="7"/>
  <c r="H96" i="7"/>
  <c r="I80" i="7"/>
  <c r="J80" i="7"/>
  <c r="F80" i="7"/>
  <c r="H80" i="7"/>
  <c r="N92" i="9"/>
  <c r="N90" i="9"/>
  <c r="N88" i="9"/>
  <c r="K86" i="9"/>
  <c r="N77" i="9"/>
  <c r="P70" i="9"/>
  <c r="K70" i="9"/>
  <c r="N61" i="9"/>
  <c r="N25" i="9"/>
  <c r="G118" i="5"/>
  <c r="G114" i="5"/>
  <c r="G106" i="5"/>
  <c r="G98" i="5"/>
  <c r="G94" i="5"/>
  <c r="G90" i="5"/>
  <c r="G86" i="5"/>
  <c r="G82" i="5"/>
  <c r="G78" i="5"/>
  <c r="G74" i="5"/>
  <c r="I21" i="5"/>
  <c r="J21" i="5" s="1"/>
  <c r="F111" i="7"/>
  <c r="H111" i="7"/>
  <c r="I108" i="7"/>
  <c r="J108" i="7"/>
  <c r="F108" i="7"/>
  <c r="F95" i="7"/>
  <c r="H95" i="7"/>
  <c r="I92" i="7"/>
  <c r="J92" i="7"/>
  <c r="F92" i="7"/>
  <c r="F79" i="7"/>
  <c r="G79" i="7"/>
  <c r="H79" i="7"/>
  <c r="I76" i="7"/>
  <c r="J76" i="7"/>
  <c r="F76" i="7"/>
  <c r="F47" i="7"/>
  <c r="H47" i="7" s="1"/>
  <c r="F44" i="7"/>
  <c r="G44" i="7" s="1"/>
  <c r="I44" i="7"/>
  <c r="J44" i="7" s="1"/>
  <c r="I36" i="7"/>
  <c r="J36" i="7" s="1"/>
  <c r="F32" i="7"/>
  <c r="H32" i="7" s="1"/>
  <c r="I32" i="7"/>
  <c r="J32" i="7" s="1"/>
  <c r="F24" i="7"/>
  <c r="I24" i="7"/>
  <c r="J24" i="7" s="1"/>
  <c r="N81" i="9"/>
  <c r="N74" i="9"/>
  <c r="K65" i="9"/>
  <c r="N58" i="9"/>
  <c r="N96" i="10"/>
  <c r="N88" i="10"/>
  <c r="K80" i="10"/>
  <c r="F12" i="5"/>
  <c r="G114" i="7"/>
  <c r="G98" i="7"/>
  <c r="G82" i="7"/>
  <c r="F73" i="5"/>
  <c r="H73" i="5"/>
  <c r="F65" i="5"/>
  <c r="H65" i="5"/>
  <c r="F57" i="5"/>
  <c r="H57" i="5"/>
  <c r="F41" i="5"/>
  <c r="H41" i="5" s="1"/>
  <c r="F33" i="5"/>
  <c r="H33" i="5" s="1"/>
  <c r="F25" i="5"/>
  <c r="H25" i="5" s="1"/>
  <c r="W13" i="6"/>
  <c r="P26" i="6"/>
  <c r="R26" i="6" s="1"/>
  <c r="T26" i="6" s="1"/>
  <c r="W22" i="6"/>
  <c r="W26" i="6"/>
  <c r="P31" i="6"/>
  <c r="R31" i="6" s="1"/>
  <c r="T31" i="6" s="1"/>
  <c r="P35" i="6"/>
  <c r="R35" i="6" s="1"/>
  <c r="T35" i="6" s="1"/>
  <c r="W25" i="6"/>
  <c r="I120" i="7"/>
  <c r="J120" i="7"/>
  <c r="F120" i="7"/>
  <c r="F107" i="7"/>
  <c r="H107" i="7"/>
  <c r="G107" i="7"/>
  <c r="I104" i="7"/>
  <c r="J104" i="7"/>
  <c r="F104" i="7"/>
  <c r="F91" i="7"/>
  <c r="I88" i="7"/>
  <c r="J88" i="7"/>
  <c r="F88" i="7"/>
  <c r="F75" i="7"/>
  <c r="H75" i="7"/>
  <c r="F55" i="7"/>
  <c r="H55" i="7"/>
  <c r="N93" i="9"/>
  <c r="N89" i="9"/>
  <c r="K85" i="9"/>
  <c r="K78" i="9"/>
  <c r="L69" i="9"/>
  <c r="L62" i="9"/>
  <c r="P12" i="8"/>
  <c r="G67" i="5"/>
  <c r="G59" i="5"/>
  <c r="H13" i="5"/>
  <c r="I122" i="7"/>
  <c r="J122" i="7"/>
  <c r="G117" i="7"/>
  <c r="G110" i="7"/>
  <c r="I106" i="7"/>
  <c r="J106" i="7"/>
  <c r="G101" i="7"/>
  <c r="G94" i="7"/>
  <c r="I90" i="7"/>
  <c r="J90" i="7"/>
  <c r="G85" i="7"/>
  <c r="G78" i="7"/>
  <c r="I74" i="7"/>
  <c r="J74" i="7"/>
  <c r="H65" i="7"/>
  <c r="H57" i="7"/>
  <c r="I47" i="7"/>
  <c r="J47" i="7" s="1"/>
  <c r="L59" i="9"/>
  <c r="R48" i="10"/>
  <c r="T48" i="10"/>
  <c r="U48" i="10"/>
  <c r="R41" i="10"/>
  <c r="T41" i="10"/>
  <c r="U41" i="10"/>
  <c r="G150" i="4"/>
  <c r="F218" i="4"/>
  <c r="E125" i="11"/>
  <c r="G53" i="7"/>
  <c r="D15" i="10"/>
  <c r="C19" i="10" s="1"/>
  <c r="R49" i="10"/>
  <c r="T49" i="10"/>
  <c r="U49" i="10"/>
  <c r="F42" i="7"/>
  <c r="H42" i="7" s="1"/>
  <c r="F30" i="7"/>
  <c r="G30" i="7" s="1"/>
  <c r="H30" i="7"/>
  <c r="F22" i="7"/>
  <c r="N54" i="9"/>
  <c r="Y3" i="10"/>
  <c r="P24" i="10"/>
  <c r="R24" i="10"/>
  <c r="T24" i="10"/>
  <c r="P26" i="10"/>
  <c r="P30" i="10"/>
  <c r="P34" i="10"/>
  <c r="P38" i="10"/>
  <c r="P42" i="10"/>
  <c r="P46" i="10"/>
  <c r="P50" i="10"/>
  <c r="P53" i="10"/>
  <c r="Y7" i="10"/>
  <c r="Y21" i="10"/>
  <c r="Y22" i="10"/>
  <c r="Y23" i="10"/>
  <c r="Y5" i="10"/>
  <c r="P25" i="10"/>
  <c r="P27" i="10"/>
  <c r="P31" i="10"/>
  <c r="P35" i="10"/>
  <c r="R35" i="10"/>
  <c r="T35" i="10"/>
  <c r="P39" i="10"/>
  <c r="P43" i="10"/>
  <c r="P47" i="10"/>
  <c r="P51" i="10"/>
  <c r="P57" i="10"/>
  <c r="U57" i="10"/>
  <c r="P58" i="10"/>
  <c r="P61" i="10"/>
  <c r="P62" i="10"/>
  <c r="R62" i="10"/>
  <c r="T62" i="10"/>
  <c r="P65" i="10"/>
  <c r="P66" i="10"/>
  <c r="R66" i="10"/>
  <c r="T66" i="10"/>
  <c r="P69" i="10"/>
  <c r="R69" i="10"/>
  <c r="T69" i="10"/>
  <c r="P70" i="10"/>
  <c r="R70" i="10"/>
  <c r="T70" i="10"/>
  <c r="P73" i="10"/>
  <c r="P74" i="10"/>
  <c r="U74" i="10"/>
  <c r="P77" i="10"/>
  <c r="P78" i="10"/>
  <c r="R78" i="10"/>
  <c r="T78" i="10"/>
  <c r="P81" i="10"/>
  <c r="U81" i="10"/>
  <c r="P82" i="10"/>
  <c r="P85" i="10"/>
  <c r="U85" i="10"/>
  <c r="R85" i="10"/>
  <c r="T85" i="10"/>
  <c r="P86" i="10"/>
  <c r="R86" i="10"/>
  <c r="T86" i="10"/>
  <c r="P89" i="10"/>
  <c r="U89" i="10"/>
  <c r="P90" i="10"/>
  <c r="R90" i="10"/>
  <c r="T90" i="10"/>
  <c r="P93" i="10"/>
  <c r="U93" i="10"/>
  <c r="R93" i="10"/>
  <c r="T93" i="10"/>
  <c r="P94" i="10"/>
  <c r="R94" i="10"/>
  <c r="T94" i="10"/>
  <c r="P97" i="10"/>
  <c r="U97" i="10"/>
  <c r="P98" i="10"/>
  <c r="R98" i="10"/>
  <c r="T98" i="10"/>
  <c r="P101" i="10"/>
  <c r="R101" i="10"/>
  <c r="T101" i="10"/>
  <c r="P102" i="10"/>
  <c r="R102" i="10"/>
  <c r="T102" i="10"/>
  <c r="Y10" i="10"/>
  <c r="Y14" i="10"/>
  <c r="Y15" i="10"/>
  <c r="Y18" i="10"/>
  <c r="Y20" i="10"/>
  <c r="Y25" i="10"/>
  <c r="Y26" i="10"/>
  <c r="Y4" i="10"/>
  <c r="P23" i="10"/>
  <c r="P22" i="10"/>
  <c r="P52" i="10"/>
  <c r="P54" i="10"/>
  <c r="U54" i="10"/>
  <c r="P55" i="10"/>
  <c r="P56" i="10"/>
  <c r="P59" i="10"/>
  <c r="P60" i="10"/>
  <c r="R60" i="10"/>
  <c r="T60" i="10"/>
  <c r="P63" i="10"/>
  <c r="P64" i="10"/>
  <c r="P67" i="10"/>
  <c r="P68" i="10"/>
  <c r="U68" i="10"/>
  <c r="P71" i="10"/>
  <c r="P72" i="10"/>
  <c r="P75" i="10"/>
  <c r="P76" i="10"/>
  <c r="U76" i="10"/>
  <c r="P79" i="10"/>
  <c r="P80" i="10"/>
  <c r="R80" i="10"/>
  <c r="T80" i="10"/>
  <c r="P83" i="10"/>
  <c r="P84" i="10"/>
  <c r="R84" i="10"/>
  <c r="T84" i="10"/>
  <c r="P87" i="10"/>
  <c r="P88" i="10"/>
  <c r="U88" i="10"/>
  <c r="P91" i="10"/>
  <c r="R91" i="10"/>
  <c r="T91" i="10"/>
  <c r="P92" i="10"/>
  <c r="R92" i="10"/>
  <c r="T92" i="10"/>
  <c r="P95" i="10"/>
  <c r="P96" i="10"/>
  <c r="R96" i="10"/>
  <c r="T96" i="10"/>
  <c r="P99" i="10"/>
  <c r="P100" i="10"/>
  <c r="R100" i="10"/>
  <c r="T100" i="10"/>
  <c r="P103" i="10"/>
  <c r="Y8" i="10"/>
  <c r="Y9" i="10"/>
  <c r="Y11" i="10"/>
  <c r="P29" i="10"/>
  <c r="P36" i="10"/>
  <c r="P45" i="10"/>
  <c r="Y13" i="10"/>
  <c r="P28" i="10"/>
  <c r="P37" i="10"/>
  <c r="P44" i="10"/>
  <c r="Y6" i="10"/>
  <c r="Y12" i="10"/>
  <c r="Y19" i="10"/>
  <c r="O12" i="7"/>
  <c r="I13" i="7"/>
  <c r="E12" i="7"/>
  <c r="H13" i="7"/>
  <c r="F12" i="7"/>
  <c r="U98" i="10"/>
  <c r="N98" i="10"/>
  <c r="U90" i="10"/>
  <c r="N90" i="10"/>
  <c r="N82" i="10"/>
  <c r="R75" i="10"/>
  <c r="T75" i="10"/>
  <c r="U75" i="10"/>
  <c r="N74" i="10"/>
  <c r="R71" i="10"/>
  <c r="T71" i="10"/>
  <c r="U71" i="10"/>
  <c r="R67" i="10"/>
  <c r="T67" i="10"/>
  <c r="U67" i="10"/>
  <c r="R63" i="10"/>
  <c r="T63" i="10"/>
  <c r="U63" i="10"/>
  <c r="R59" i="10"/>
  <c r="T59" i="10"/>
  <c r="U59" i="10"/>
  <c r="L59" i="10"/>
  <c r="U24" i="10"/>
  <c r="N24" i="10"/>
  <c r="G37" i="4"/>
  <c r="E149" i="12"/>
  <c r="P64" i="9"/>
  <c r="R64" i="9" s="1"/>
  <c r="T64" i="9" s="1"/>
  <c r="Y21" i="9"/>
  <c r="R103" i="10"/>
  <c r="T103" i="10"/>
  <c r="U103" i="10"/>
  <c r="U102" i="10"/>
  <c r="N102" i="10"/>
  <c r="R95" i="10"/>
  <c r="T95" i="10"/>
  <c r="U95" i="10"/>
  <c r="U94" i="10"/>
  <c r="N94" i="10"/>
  <c r="R87" i="10"/>
  <c r="T87" i="10"/>
  <c r="U87" i="10"/>
  <c r="U86" i="10"/>
  <c r="K86" i="10"/>
  <c r="R79" i="10"/>
  <c r="T79" i="10"/>
  <c r="U79" i="10"/>
  <c r="U78" i="10"/>
  <c r="K78" i="10"/>
  <c r="K72" i="10"/>
  <c r="N68" i="10"/>
  <c r="U64" i="10"/>
  <c r="K64" i="10"/>
  <c r="R64" i="10"/>
  <c r="T64" i="10"/>
  <c r="N60" i="10"/>
  <c r="U56" i="10"/>
  <c r="R56" i="10"/>
  <c r="T56" i="10"/>
  <c r="K56" i="10"/>
  <c r="N54" i="10"/>
  <c r="R52" i="10"/>
  <c r="T52" i="10"/>
  <c r="U52" i="10"/>
  <c r="N52" i="10"/>
  <c r="N89" i="13"/>
  <c r="P26" i="13"/>
  <c r="R26" i="13" s="1"/>
  <c r="T26" i="13" s="1"/>
  <c r="N26" i="13"/>
  <c r="N24" i="13"/>
  <c r="G148" i="13"/>
  <c r="G140" i="13"/>
  <c r="N135" i="13"/>
  <c r="N127" i="13"/>
  <c r="N119" i="13"/>
  <c r="K108" i="13"/>
  <c r="L103" i="13"/>
  <c r="K100" i="13"/>
  <c r="L94" i="13"/>
  <c r="G138" i="13"/>
  <c r="N114" i="13"/>
  <c r="K109" i="13"/>
  <c r="K101" i="13"/>
  <c r="L97" i="13"/>
  <c r="G165" i="8"/>
  <c r="K165" i="8"/>
  <c r="L165" i="8"/>
  <c r="G161" i="8"/>
  <c r="K161" i="8"/>
  <c r="L161" i="8"/>
  <c r="L155" i="8"/>
  <c r="G155" i="8"/>
  <c r="K155" i="8"/>
  <c r="G145" i="8"/>
  <c r="K145" i="8"/>
  <c r="L145" i="8"/>
  <c r="L139" i="8"/>
  <c r="G139" i="8"/>
  <c r="K139" i="8"/>
  <c r="G133" i="8"/>
  <c r="K133" i="8"/>
  <c r="L133" i="8"/>
  <c r="L127" i="8"/>
  <c r="G127" i="8"/>
  <c r="K127" i="8"/>
  <c r="G117" i="8"/>
  <c r="K117" i="8"/>
  <c r="L117" i="8"/>
  <c r="L111" i="8"/>
  <c r="G111" i="8"/>
  <c r="K111" i="8"/>
  <c r="G101" i="8"/>
  <c r="K101" i="8"/>
  <c r="L101" i="8"/>
  <c r="G97" i="8"/>
  <c r="K97" i="8"/>
  <c r="L97" i="8"/>
  <c r="L91" i="8"/>
  <c r="G91" i="8"/>
  <c r="K91" i="8"/>
  <c r="G85" i="8"/>
  <c r="K85" i="8"/>
  <c r="L85" i="8"/>
  <c r="G81" i="8"/>
  <c r="K81" i="8"/>
  <c r="L81" i="8"/>
  <c r="G77" i="8"/>
  <c r="K77" i="8"/>
  <c r="L77" i="8"/>
  <c r="L71" i="8"/>
  <c r="G71" i="8"/>
  <c r="K71" i="8"/>
  <c r="G57" i="8"/>
  <c r="K57" i="8"/>
  <c r="L57" i="8"/>
  <c r="L47" i="8"/>
  <c r="G47" i="8"/>
  <c r="K47" i="8"/>
  <c r="L43" i="8"/>
  <c r="G43" i="8"/>
  <c r="K43" i="8"/>
  <c r="L39" i="8"/>
  <c r="G39" i="8"/>
  <c r="K39" i="8"/>
  <c r="D16" i="10"/>
  <c r="D19" i="10" s="1"/>
  <c r="R73" i="10"/>
  <c r="T73" i="10"/>
  <c r="U73" i="10"/>
  <c r="U69" i="10"/>
  <c r="R65" i="10"/>
  <c r="T65" i="10"/>
  <c r="U65" i="10"/>
  <c r="R57" i="10"/>
  <c r="T57" i="10"/>
  <c r="N57" i="10"/>
  <c r="G144" i="13"/>
  <c r="N115" i="13"/>
  <c r="L112" i="13"/>
  <c r="N104" i="13"/>
  <c r="L98" i="13"/>
  <c r="U66" i="10"/>
  <c r="E31" i="12"/>
  <c r="E160" i="12"/>
  <c r="P134" i="13"/>
  <c r="V134" i="13" s="1"/>
  <c r="N110" i="13"/>
  <c r="F84" i="4"/>
  <c r="P84" i="4" s="1"/>
  <c r="E135" i="11"/>
  <c r="G55" i="4"/>
  <c r="G61" i="4"/>
  <c r="G31" i="4"/>
  <c r="U116" i="4"/>
  <c r="P116" i="4"/>
  <c r="G180" i="4"/>
  <c r="G210" i="4"/>
  <c r="K210" i="4" s="1"/>
  <c r="X10" i="13"/>
  <c r="P124" i="13"/>
  <c r="P34" i="13"/>
  <c r="P106" i="13"/>
  <c r="U115" i="13"/>
  <c r="N93" i="13"/>
  <c r="G151" i="13"/>
  <c r="G147" i="13"/>
  <c r="G143" i="13"/>
  <c r="G139" i="13"/>
  <c r="G137" i="13"/>
  <c r="G129" i="13"/>
  <c r="G121" i="13"/>
  <c r="G113" i="13"/>
  <c r="G105" i="13"/>
  <c r="G96" i="13"/>
  <c r="E34" i="11"/>
  <c r="G45" i="4"/>
  <c r="G58" i="4"/>
  <c r="K12" i="8"/>
  <c r="G196" i="4"/>
  <c r="K196" i="4" s="1"/>
  <c r="G191" i="4"/>
  <c r="G159" i="4"/>
  <c r="H12" i="8"/>
  <c r="L171" i="8"/>
  <c r="G171" i="8"/>
  <c r="K171" i="8"/>
  <c r="L151" i="8"/>
  <c r="G151" i="8"/>
  <c r="K151" i="8"/>
  <c r="L147" i="8"/>
  <c r="G147" i="8"/>
  <c r="K147" i="8"/>
  <c r="G141" i="8"/>
  <c r="K141" i="8"/>
  <c r="L135" i="8"/>
  <c r="G135" i="8"/>
  <c r="K135" i="8"/>
  <c r="L123" i="8"/>
  <c r="G123" i="8"/>
  <c r="K123" i="8"/>
  <c r="G113" i="8"/>
  <c r="K113" i="8"/>
  <c r="L107" i="8"/>
  <c r="G107" i="8"/>
  <c r="K107" i="8"/>
  <c r="L67" i="8"/>
  <c r="G67" i="8"/>
  <c r="K67" i="8"/>
  <c r="L63" i="8"/>
  <c r="G63" i="8"/>
  <c r="K63" i="8"/>
  <c r="G53" i="8"/>
  <c r="K53" i="8"/>
  <c r="G49" i="8"/>
  <c r="K49" i="8"/>
  <c r="G186" i="4"/>
  <c r="G179" i="4"/>
  <c r="G163" i="4"/>
  <c r="G138" i="4"/>
  <c r="G172" i="4"/>
  <c r="L12" i="8"/>
  <c r="I12" i="8"/>
  <c r="G173" i="8"/>
  <c r="K173" i="8"/>
  <c r="G169" i="8"/>
  <c r="K169" i="8"/>
  <c r="L159" i="8"/>
  <c r="G159" i="8"/>
  <c r="K159" i="8"/>
  <c r="G153" i="8"/>
  <c r="K153" i="8"/>
  <c r="G149" i="8"/>
  <c r="K149" i="8"/>
  <c r="L131" i="8"/>
  <c r="G131" i="8"/>
  <c r="K131" i="8"/>
  <c r="G121" i="8"/>
  <c r="K121" i="8"/>
  <c r="L115" i="8"/>
  <c r="G115" i="8"/>
  <c r="K115" i="8"/>
  <c r="G109" i="8"/>
  <c r="K109" i="8"/>
  <c r="G105" i="8"/>
  <c r="K105" i="8"/>
  <c r="L95" i="8"/>
  <c r="G95" i="8"/>
  <c r="K95" i="8"/>
  <c r="G89" i="8"/>
  <c r="K89" i="8"/>
  <c r="L75" i="8"/>
  <c r="G75" i="8"/>
  <c r="K75" i="8"/>
  <c r="G65" i="8"/>
  <c r="K65" i="8"/>
  <c r="G61" i="8"/>
  <c r="K61" i="8"/>
  <c r="L51" i="8"/>
  <c r="G51" i="8"/>
  <c r="K51" i="8"/>
  <c r="L31" i="8"/>
  <c r="G31" i="8"/>
  <c r="K31" i="8"/>
  <c r="G25" i="8"/>
  <c r="K25" i="8"/>
  <c r="G203" i="4"/>
  <c r="V203" i="4" s="1"/>
  <c r="G171" i="4"/>
  <c r="G155" i="4"/>
  <c r="G146" i="4"/>
  <c r="K146" i="4" s="1"/>
  <c r="G101" i="4"/>
  <c r="J101" i="4" s="1"/>
  <c r="C12" i="8"/>
  <c r="L167" i="8"/>
  <c r="G167" i="8"/>
  <c r="K167" i="8"/>
  <c r="L163" i="8"/>
  <c r="G163" i="8"/>
  <c r="K163" i="8"/>
  <c r="G157" i="8"/>
  <c r="K157" i="8"/>
  <c r="L143" i="8"/>
  <c r="G143" i="8"/>
  <c r="K143" i="8"/>
  <c r="G137" i="8"/>
  <c r="K137" i="8"/>
  <c r="G129" i="8"/>
  <c r="K129" i="8"/>
  <c r="G125" i="8"/>
  <c r="K125" i="8"/>
  <c r="L119" i="8"/>
  <c r="G119" i="8"/>
  <c r="K119" i="8"/>
  <c r="L103" i="8"/>
  <c r="G103" i="8"/>
  <c r="K103" i="8"/>
  <c r="L99" i="8"/>
  <c r="G99" i="8"/>
  <c r="K99" i="8"/>
  <c r="G93" i="8"/>
  <c r="K93" i="8"/>
  <c r="L87" i="8"/>
  <c r="G87" i="8"/>
  <c r="K87" i="8"/>
  <c r="L83" i="8"/>
  <c r="G83" i="8"/>
  <c r="K83" i="8"/>
  <c r="L79" i="8"/>
  <c r="G79" i="8"/>
  <c r="K79" i="8"/>
  <c r="G73" i="8"/>
  <c r="K73" i="8"/>
  <c r="G69" i="8"/>
  <c r="K69" i="8"/>
  <c r="L59" i="8"/>
  <c r="G59" i="8"/>
  <c r="K59" i="8"/>
  <c r="L55" i="8"/>
  <c r="G55" i="8"/>
  <c r="K55" i="8"/>
  <c r="G45" i="8"/>
  <c r="K45" i="8"/>
  <c r="G41" i="8"/>
  <c r="K41" i="8"/>
  <c r="G37" i="8"/>
  <c r="K37" i="8"/>
  <c r="K29" i="8"/>
  <c r="X31" i="4"/>
  <c r="X30" i="4"/>
  <c r="X28" i="4"/>
  <c r="X32" i="4"/>
  <c r="G206" i="4"/>
  <c r="K206" i="4" s="1"/>
  <c r="G199" i="4"/>
  <c r="G174" i="4"/>
  <c r="G125" i="4"/>
  <c r="G226" i="4"/>
  <c r="G209" i="4"/>
  <c r="K209" i="4" s="1"/>
  <c r="K200" i="4"/>
  <c r="K219" i="4"/>
  <c r="K197" i="4"/>
  <c r="K250" i="4"/>
  <c r="J163" i="4"/>
  <c r="N121" i="13"/>
  <c r="H76" i="7"/>
  <c r="G76" i="7"/>
  <c r="N96" i="13"/>
  <c r="N129" i="13"/>
  <c r="N147" i="13"/>
  <c r="K180" i="4"/>
  <c r="N138" i="13"/>
  <c r="R44" i="10"/>
  <c r="T44" i="10"/>
  <c r="U44" i="10"/>
  <c r="R45" i="10"/>
  <c r="T45" i="10"/>
  <c r="U45" i="10"/>
  <c r="U47" i="10"/>
  <c r="R47" i="10"/>
  <c r="T47" i="10"/>
  <c r="U31" i="10"/>
  <c r="R31" i="10"/>
  <c r="T31" i="10"/>
  <c r="R53" i="10"/>
  <c r="T53" i="10"/>
  <c r="U53" i="10"/>
  <c r="R38" i="10"/>
  <c r="T38" i="10"/>
  <c r="U38" i="10"/>
  <c r="U62" i="10"/>
  <c r="U60" i="10"/>
  <c r="R68" i="10"/>
  <c r="T68" i="10"/>
  <c r="G96" i="7"/>
  <c r="G65" i="5"/>
  <c r="U80" i="10"/>
  <c r="G116" i="7"/>
  <c r="G84" i="5"/>
  <c r="G116" i="5"/>
  <c r="G84" i="7"/>
  <c r="U84" i="10"/>
  <c r="G100" i="7"/>
  <c r="G80" i="5"/>
  <c r="G112" i="5"/>
  <c r="R51" i="10"/>
  <c r="T51" i="10"/>
  <c r="U51" i="10"/>
  <c r="H92" i="7"/>
  <c r="G92" i="7"/>
  <c r="J155" i="4"/>
  <c r="K186" i="4"/>
  <c r="J58" i="4"/>
  <c r="N113" i="13"/>
  <c r="L139" i="13"/>
  <c r="G84" i="4"/>
  <c r="R28" i="10"/>
  <c r="T28" i="10"/>
  <c r="U28" i="10"/>
  <c r="R55" i="10"/>
  <c r="T55" i="10"/>
  <c r="U55" i="10"/>
  <c r="R23" i="10"/>
  <c r="T23" i="10"/>
  <c r="U23" i="10"/>
  <c r="U39" i="10"/>
  <c r="R39" i="10"/>
  <c r="T39" i="10"/>
  <c r="R25" i="10"/>
  <c r="T25" i="10"/>
  <c r="U25" i="10"/>
  <c r="R46" i="10"/>
  <c r="T46" i="10"/>
  <c r="U46" i="10"/>
  <c r="R30" i="10"/>
  <c r="T30" i="10"/>
  <c r="U30" i="10"/>
  <c r="U92" i="10"/>
  <c r="U70" i="10"/>
  <c r="G26" i="7"/>
  <c r="G42" i="7"/>
  <c r="R81" i="10"/>
  <c r="T81" i="10"/>
  <c r="R89" i="10"/>
  <c r="T89" i="10"/>
  <c r="R97" i="10"/>
  <c r="T97" i="10"/>
  <c r="G80" i="7"/>
  <c r="G112" i="7"/>
  <c r="G41" i="5"/>
  <c r="G57" i="5"/>
  <c r="G73" i="5"/>
  <c r="U96" i="10"/>
  <c r="G87" i="7"/>
  <c r="U100" i="10"/>
  <c r="K143" i="13"/>
  <c r="U35" i="10"/>
  <c r="U42" i="10"/>
  <c r="R42" i="10"/>
  <c r="T42" i="10"/>
  <c r="H108" i="7"/>
  <c r="G108" i="7"/>
  <c r="L105" i="13"/>
  <c r="L151" i="13"/>
  <c r="K148" i="13"/>
  <c r="R37" i="10"/>
  <c r="T37" i="10"/>
  <c r="U37" i="10"/>
  <c r="U36" i="10"/>
  <c r="R36" i="10"/>
  <c r="T36" i="10"/>
  <c r="R58" i="10"/>
  <c r="T58" i="10"/>
  <c r="U58" i="10"/>
  <c r="U43" i="10"/>
  <c r="R43" i="10"/>
  <c r="T43" i="10"/>
  <c r="U27" i="10"/>
  <c r="R27" i="10"/>
  <c r="T27" i="10"/>
  <c r="U50" i="10"/>
  <c r="R50" i="10"/>
  <c r="T50" i="10"/>
  <c r="U34" i="10"/>
  <c r="R34" i="10"/>
  <c r="T34" i="10"/>
  <c r="K150" i="4"/>
  <c r="H104" i="7"/>
  <c r="G104" i="7"/>
  <c r="H120" i="7"/>
  <c r="G120" i="7"/>
  <c r="K66" i="9"/>
  <c r="R76" i="10"/>
  <c r="T76" i="10"/>
  <c r="R54" i="10"/>
  <c r="T54" i="10"/>
  <c r="G55" i="7"/>
  <c r="G95" i="7"/>
  <c r="G111" i="7"/>
  <c r="G99" i="7"/>
  <c r="G115" i="7"/>
  <c r="G29" i="5"/>
  <c r="G61" i="5"/>
  <c r="G23" i="5"/>
  <c r="G55" i="5"/>
  <c r="G262" i="4"/>
  <c r="P262" i="4"/>
  <c r="H27" i="5"/>
  <c r="G27" i="5"/>
  <c r="K107" i="13"/>
  <c r="P247" i="4"/>
  <c r="G122" i="5"/>
  <c r="H122" i="5"/>
  <c r="K111" i="13"/>
  <c r="J45" i="4"/>
  <c r="N137" i="13"/>
  <c r="F83" i="7"/>
  <c r="H83" i="7"/>
  <c r="G102" i="13"/>
  <c r="H88" i="7"/>
  <c r="G88" i="7"/>
  <c r="R29" i="10"/>
  <c r="T29" i="10"/>
  <c r="U29" i="10"/>
  <c r="U22" i="10"/>
  <c r="R22" i="10"/>
  <c r="T22" i="10"/>
  <c r="R82" i="10"/>
  <c r="T82" i="10"/>
  <c r="U82" i="10"/>
  <c r="O12" i="5"/>
  <c r="O13" i="5"/>
  <c r="R72" i="10"/>
  <c r="T72" i="10"/>
  <c r="U72" i="10"/>
  <c r="H53" i="5"/>
  <c r="G53" i="5"/>
  <c r="N12" i="8"/>
  <c r="K144" i="13"/>
  <c r="H36" i="7"/>
  <c r="G36" i="7"/>
  <c r="R134" i="13"/>
  <c r="T134" i="13" s="1"/>
  <c r="R26" i="10"/>
  <c r="T26" i="10"/>
  <c r="U26" i="10"/>
  <c r="H63" i="5"/>
  <c r="G63" i="5"/>
  <c r="N140" i="13"/>
  <c r="R99" i="10"/>
  <c r="T99" i="10"/>
  <c r="U99" i="10"/>
  <c r="R83" i="10"/>
  <c r="T83" i="10"/>
  <c r="U83" i="10"/>
  <c r="U77" i="10"/>
  <c r="R77" i="10"/>
  <c r="T77" i="10"/>
  <c r="R61" i="10"/>
  <c r="T61" i="10"/>
  <c r="U61" i="10"/>
  <c r="G119" i="5"/>
  <c r="U91" i="10"/>
  <c r="H92" i="5"/>
  <c r="G92" i="5"/>
  <c r="Q12" i="8"/>
  <c r="F95" i="5"/>
  <c r="H95" i="5"/>
  <c r="I95" i="5"/>
  <c r="J95" i="5"/>
  <c r="F26" i="5"/>
  <c r="H26" i="5" s="1"/>
  <c r="N95" i="9"/>
  <c r="R88" i="10"/>
  <c r="T88" i="10"/>
  <c r="R74" i="10"/>
  <c r="T74" i="10"/>
  <c r="F115" i="5"/>
  <c r="H115" i="5"/>
  <c r="H110" i="5"/>
  <c r="G110" i="5"/>
  <c r="H91" i="5"/>
  <c r="G91" i="5"/>
  <c r="J13" i="5"/>
  <c r="J12" i="5"/>
  <c r="I12" i="5"/>
  <c r="I13" i="5"/>
  <c r="D12" i="5"/>
  <c r="D13" i="5"/>
  <c r="N12" i="7"/>
  <c r="N13" i="7"/>
  <c r="G13" i="7"/>
  <c r="G12" i="7"/>
  <c r="H91" i="7"/>
  <c r="G91" i="7"/>
  <c r="I109" i="5"/>
  <c r="J109" i="5"/>
  <c r="G104" i="5"/>
  <c r="F104" i="5"/>
  <c r="H104" i="5"/>
  <c r="I104" i="5"/>
  <c r="J104" i="5"/>
  <c r="U101" i="10"/>
  <c r="M12" i="8"/>
  <c r="M13" i="8"/>
  <c r="F109" i="5"/>
  <c r="H109" i="5"/>
  <c r="I69" i="5"/>
  <c r="J69" i="5"/>
  <c r="F69" i="5"/>
  <c r="H69" i="5"/>
  <c r="H30" i="5"/>
  <c r="K174" i="4"/>
  <c r="E13" i="8"/>
  <c r="E12" i="8"/>
  <c r="H93" i="5"/>
  <c r="G93" i="5"/>
  <c r="G75" i="7"/>
  <c r="O12" i="8"/>
  <c r="H103" i="7"/>
  <c r="G103" i="7"/>
  <c r="G102" i="5"/>
  <c r="H102" i="5"/>
  <c r="G85" i="5"/>
  <c r="H85" i="5"/>
  <c r="F76" i="5"/>
  <c r="I76" i="5"/>
  <c r="J76" i="5"/>
  <c r="L12" i="5"/>
  <c r="L13" i="5"/>
  <c r="H108" i="5"/>
  <c r="G71" i="5"/>
  <c r="F119" i="5"/>
  <c r="H119" i="5"/>
  <c r="G113" i="5"/>
  <c r="G103" i="5"/>
  <c r="F97" i="5"/>
  <c r="H97" i="5"/>
  <c r="I22" i="5"/>
  <c r="J22" i="5" s="1"/>
  <c r="F56" i="5"/>
  <c r="H56" i="5"/>
  <c r="G106" i="7"/>
  <c r="G62" i="7"/>
  <c r="G105" i="5"/>
  <c r="H41" i="7"/>
  <c r="G41" i="7"/>
  <c r="F121" i="5"/>
  <c r="G107" i="5"/>
  <c r="F54" i="5"/>
  <c r="H54" i="5"/>
  <c r="G118" i="7"/>
  <c r="F102" i="7"/>
  <c r="H102" i="7"/>
  <c r="I102" i="7"/>
  <c r="J102" i="7"/>
  <c r="I99" i="7"/>
  <c r="J99" i="7"/>
  <c r="F90" i="7"/>
  <c r="H90" i="7"/>
  <c r="G90" i="7"/>
  <c r="L12" i="7"/>
  <c r="L13" i="7"/>
  <c r="H100" i="5"/>
  <c r="G79" i="5"/>
  <c r="G105" i="7"/>
  <c r="F105" i="7"/>
  <c r="H105" i="7"/>
  <c r="F22" i="5"/>
  <c r="G22" i="5" s="1"/>
  <c r="F121" i="7"/>
  <c r="H121" i="7"/>
  <c r="G121" i="7"/>
  <c r="I121" i="7"/>
  <c r="J121" i="7"/>
  <c r="F93" i="7"/>
  <c r="I93" i="7"/>
  <c r="J93" i="7"/>
  <c r="G99" i="5"/>
  <c r="G70" i="5"/>
  <c r="F58" i="5"/>
  <c r="H58" i="5"/>
  <c r="F40" i="5"/>
  <c r="H40" i="5" s="1"/>
  <c r="F89" i="7"/>
  <c r="H89" i="7"/>
  <c r="G89" i="7"/>
  <c r="I89" i="7"/>
  <c r="J89" i="7"/>
  <c r="G54" i="7"/>
  <c r="F54" i="7"/>
  <c r="H54" i="7"/>
  <c r="I83" i="7"/>
  <c r="J83" i="7"/>
  <c r="G66" i="7"/>
  <c r="H72" i="7"/>
  <c r="G72" i="7"/>
  <c r="I60" i="7"/>
  <c r="J60" i="7"/>
  <c r="I23" i="7"/>
  <c r="J23" i="7" s="1"/>
  <c r="P43" i="9"/>
  <c r="P32" i="10"/>
  <c r="G145" i="13"/>
  <c r="G122" i="7"/>
  <c r="I117" i="7"/>
  <c r="J117" i="7"/>
  <c r="I103" i="7"/>
  <c r="J103" i="7"/>
  <c r="G69" i="7"/>
  <c r="G68" i="7"/>
  <c r="G63" i="7"/>
  <c r="P40" i="10"/>
  <c r="I113" i="7"/>
  <c r="J113" i="7"/>
  <c r="F97" i="7"/>
  <c r="H97" i="7"/>
  <c r="I85" i="7"/>
  <c r="J85" i="7"/>
  <c r="I66" i="7"/>
  <c r="J66" i="7"/>
  <c r="J13" i="7"/>
  <c r="J12" i="7"/>
  <c r="Y8" i="9"/>
  <c r="P102" i="9"/>
  <c r="P23" i="9"/>
  <c r="R23" i="9" s="1"/>
  <c r="T23" i="9" s="1"/>
  <c r="I118" i="7"/>
  <c r="J118" i="7"/>
  <c r="I105" i="7"/>
  <c r="J105" i="7"/>
  <c r="I98" i="7"/>
  <c r="J98" i="7"/>
  <c r="G58" i="7"/>
  <c r="G70" i="7"/>
  <c r="G65" i="7"/>
  <c r="M13" i="7"/>
  <c r="M12" i="7"/>
  <c r="G33" i="7"/>
  <c r="H33" i="7"/>
  <c r="G60" i="7"/>
  <c r="G133" i="13"/>
  <c r="X24" i="13"/>
  <c r="X5" i="13"/>
  <c r="X29" i="13"/>
  <c r="I63" i="7"/>
  <c r="J63" i="7"/>
  <c r="Y2" i="10"/>
  <c r="P58" i="13"/>
  <c r="P39" i="4"/>
  <c r="G39" i="4"/>
  <c r="P33" i="10"/>
  <c r="Y17" i="10"/>
  <c r="G91" i="13"/>
  <c r="P99" i="13"/>
  <c r="Y16" i="10"/>
  <c r="J41" i="4"/>
  <c r="G42" i="4"/>
  <c r="J42" i="4" s="1"/>
  <c r="P42" i="4"/>
  <c r="P83" i="4"/>
  <c r="R83" i="4" s="1"/>
  <c r="T83" i="4" s="1"/>
  <c r="G83" i="4"/>
  <c r="J83" i="4" s="1"/>
  <c r="P52" i="4"/>
  <c r="V52" i="4" s="1"/>
  <c r="G52" i="4"/>
  <c r="P82" i="4"/>
  <c r="R82" i="4" s="1"/>
  <c r="T82" i="4" s="1"/>
  <c r="G82" i="4"/>
  <c r="P35" i="4"/>
  <c r="G35" i="4"/>
  <c r="P181" i="4"/>
  <c r="G181" i="4"/>
  <c r="P153" i="4"/>
  <c r="G130" i="4"/>
  <c r="K130" i="4" s="1"/>
  <c r="P130" i="4"/>
  <c r="P211" i="4"/>
  <c r="G211" i="4"/>
  <c r="N92" i="13"/>
  <c r="P57" i="13"/>
  <c r="P28" i="4"/>
  <c r="G28" i="4"/>
  <c r="I28" i="4" s="1"/>
  <c r="P92" i="13"/>
  <c r="V92" i="13" s="1"/>
  <c r="P40" i="4"/>
  <c r="G40" i="4"/>
  <c r="J40" i="4" s="1"/>
  <c r="G54" i="4"/>
  <c r="J54" i="4" s="1"/>
  <c r="P109" i="13"/>
  <c r="U75" i="4"/>
  <c r="P75" i="4"/>
  <c r="P194" i="4"/>
  <c r="R194" i="4" s="1"/>
  <c r="T194" i="4" s="1"/>
  <c r="G194" i="4"/>
  <c r="G147" i="4"/>
  <c r="P147" i="4"/>
  <c r="R147" i="4" s="1"/>
  <c r="T147" i="4" s="1"/>
  <c r="G128" i="4"/>
  <c r="P128" i="4"/>
  <c r="G245" i="4"/>
  <c r="P245" i="4"/>
  <c r="R245" i="4" s="1"/>
  <c r="T245" i="4" s="1"/>
  <c r="G69" i="4"/>
  <c r="J69" i="4" s="1"/>
  <c r="G51" i="4"/>
  <c r="G57" i="4"/>
  <c r="J57" i="4" s="1"/>
  <c r="G164" i="8"/>
  <c r="K164" i="8"/>
  <c r="G132" i="8"/>
  <c r="K132" i="8"/>
  <c r="G100" i="8"/>
  <c r="K100" i="8"/>
  <c r="G68" i="8"/>
  <c r="K68" i="8"/>
  <c r="G36" i="8"/>
  <c r="K36" i="8"/>
  <c r="P224" i="4"/>
  <c r="G224" i="4"/>
  <c r="K224" i="4" s="1"/>
  <c r="G127" i="4"/>
  <c r="J127" i="4" s="1"/>
  <c r="G22" i="4"/>
  <c r="P141" i="4"/>
  <c r="R141" i="4" s="1"/>
  <c r="T141" i="4" s="1"/>
  <c r="G141" i="4"/>
  <c r="G227" i="4"/>
  <c r="P227" i="4"/>
  <c r="R227" i="4" s="1"/>
  <c r="T227" i="4" s="1"/>
  <c r="P121" i="4"/>
  <c r="V121" i="4" s="1"/>
  <c r="G121" i="4"/>
  <c r="G148" i="8"/>
  <c r="K148" i="8"/>
  <c r="G116" i="8"/>
  <c r="K116" i="8"/>
  <c r="G84" i="8"/>
  <c r="K84" i="8"/>
  <c r="G52" i="8"/>
  <c r="K52" i="8"/>
  <c r="P217" i="4"/>
  <c r="G217" i="4"/>
  <c r="P242" i="4"/>
  <c r="G242" i="4"/>
  <c r="R242" i="4" s="1"/>
  <c r="T242" i="4" s="1"/>
  <c r="G237" i="4"/>
  <c r="K237" i="4" s="1"/>
  <c r="P237" i="4"/>
  <c r="V237" i="4" s="1"/>
  <c r="G115" i="4"/>
  <c r="J115" i="4" s="1"/>
  <c r="G222" i="4"/>
  <c r="G248" i="4"/>
  <c r="K248" i="4" s="1"/>
  <c r="G252" i="4"/>
  <c r="K252" i="4" s="1"/>
  <c r="P252" i="4"/>
  <c r="G240" i="4"/>
  <c r="K240" i="4" s="1"/>
  <c r="P240" i="4"/>
  <c r="V240" i="4" s="1"/>
  <c r="G176" i="4"/>
  <c r="G136" i="4"/>
  <c r="G132" i="4"/>
  <c r="J132" i="4" s="1"/>
  <c r="G120" i="4"/>
  <c r="G216" i="4"/>
  <c r="G232" i="4"/>
  <c r="K232" i="4" s="1"/>
  <c r="P228" i="4"/>
  <c r="R228" i="4" s="1"/>
  <c r="T228" i="4" s="1"/>
  <c r="G251" i="4"/>
  <c r="G235" i="4"/>
  <c r="K235" i="4" s="1"/>
  <c r="P235" i="4"/>
  <c r="K259" i="4"/>
  <c r="K194" i="4"/>
  <c r="K181" i="4"/>
  <c r="J82" i="4"/>
  <c r="J39" i="4"/>
  <c r="K141" i="4"/>
  <c r="G102" i="7"/>
  <c r="H121" i="5"/>
  <c r="G121" i="5"/>
  <c r="K251" i="4"/>
  <c r="J147" i="4"/>
  <c r="H22" i="5"/>
  <c r="G69" i="5"/>
  <c r="G115" i="5"/>
  <c r="R32" i="10"/>
  <c r="T32" i="10"/>
  <c r="E14" i="10"/>
  <c r="U32" i="10"/>
  <c r="G97" i="7"/>
  <c r="G56" i="5"/>
  <c r="G97" i="5"/>
  <c r="R33" i="10"/>
  <c r="T33" i="10"/>
  <c r="U33" i="10"/>
  <c r="K216" i="4"/>
  <c r="K242" i="4"/>
  <c r="J211" i="4"/>
  <c r="K121" i="4"/>
  <c r="N133" i="13"/>
  <c r="G58" i="5"/>
  <c r="H93" i="7"/>
  <c r="G93" i="7"/>
  <c r="G109" i="5"/>
  <c r="K102" i="13"/>
  <c r="R42" i="4"/>
  <c r="T42" i="4" s="1"/>
  <c r="K136" i="4"/>
  <c r="K91" i="13"/>
  <c r="R40" i="10"/>
  <c r="T40" i="10"/>
  <c r="U40" i="10"/>
  <c r="N145" i="13"/>
  <c r="G54" i="5"/>
  <c r="H76" i="5"/>
  <c r="G76" i="5"/>
  <c r="G95" i="5"/>
  <c r="G83" i="7"/>
  <c r="U6" i="10"/>
  <c r="G29" i="8"/>
  <c r="I46" i="7"/>
  <c r="J46" i="7" s="1"/>
  <c r="I49" i="5"/>
  <c r="J49" i="5" s="1"/>
  <c r="F49" i="5"/>
  <c r="H49" i="5" s="1"/>
  <c r="P13" i="8"/>
  <c r="I13" i="8"/>
  <c r="I34" i="7"/>
  <c r="J34" i="7" s="1"/>
  <c r="F34" i="7"/>
  <c r="G34" i="7" s="1"/>
  <c r="H27" i="7"/>
  <c r="G27" i="7"/>
  <c r="H48" i="5"/>
  <c r="F32" i="8"/>
  <c r="L32" i="8"/>
  <c r="I32" i="8"/>
  <c r="I27" i="7"/>
  <c r="J27" i="7" s="1"/>
  <c r="L30" i="8"/>
  <c r="P241" i="4"/>
  <c r="P183" i="4"/>
  <c r="P256" i="4"/>
  <c r="V256" i="4" s="1"/>
  <c r="P250" i="4"/>
  <c r="V250" i="4" s="1"/>
  <c r="P259" i="4"/>
  <c r="F28" i="8"/>
  <c r="K32" i="8"/>
  <c r="J32" i="8"/>
  <c r="C11" i="6"/>
  <c r="C12" i="13"/>
  <c r="E18" i="5"/>
  <c r="D18" i="7"/>
  <c r="C11" i="9"/>
  <c r="D18" i="5"/>
  <c r="C12" i="10"/>
  <c r="E18" i="7"/>
  <c r="C12" i="6"/>
  <c r="C12" i="9"/>
  <c r="C11" i="10"/>
  <c r="C11" i="13"/>
  <c r="E18" i="8"/>
  <c r="R256" i="4" l="1"/>
  <c r="T256" i="4" s="1"/>
  <c r="F43" i="7"/>
  <c r="H43" i="7" s="1"/>
  <c r="R35" i="4"/>
  <c r="T35" i="4" s="1"/>
  <c r="R199" i="4"/>
  <c r="T199" i="4" s="1"/>
  <c r="I31" i="5"/>
  <c r="J31" i="5" s="1"/>
  <c r="F25" i="8"/>
  <c r="G26" i="8"/>
  <c r="P179" i="4"/>
  <c r="V179" i="4" s="1"/>
  <c r="G40" i="5"/>
  <c r="V227" i="4"/>
  <c r="F28" i="7"/>
  <c r="H28" i="7" s="1"/>
  <c r="K26" i="8"/>
  <c r="I30" i="8"/>
  <c r="P51" i="4"/>
  <c r="H34" i="8"/>
  <c r="P47" i="4"/>
  <c r="P176" i="4"/>
  <c r="V176" i="4" s="1"/>
  <c r="P101" i="4"/>
  <c r="P236" i="4"/>
  <c r="P150" i="4"/>
  <c r="I35" i="7"/>
  <c r="J35" i="7" s="1"/>
  <c r="J35" i="8"/>
  <c r="F31" i="7"/>
  <c r="F30" i="8"/>
  <c r="I25" i="8"/>
  <c r="P196" i="4"/>
  <c r="R196" i="4" s="1"/>
  <c r="T196" i="4" s="1"/>
  <c r="P191" i="4"/>
  <c r="V191" i="4" s="1"/>
  <c r="G49" i="5"/>
  <c r="H39" i="5"/>
  <c r="P58" i="4"/>
  <c r="R58" i="4" s="1"/>
  <c r="T58" i="4" s="1"/>
  <c r="J30" i="8"/>
  <c r="P206" i="4"/>
  <c r="R206" i="4" s="1"/>
  <c r="T206" i="4" s="1"/>
  <c r="P221" i="4"/>
  <c r="K30" i="8"/>
  <c r="I46" i="5"/>
  <c r="J46" i="5" s="1"/>
  <c r="G46" i="5"/>
  <c r="P125" i="4"/>
  <c r="P248" i="4"/>
  <c r="V248" i="4" s="1"/>
  <c r="G266" i="4"/>
  <c r="P266" i="4"/>
  <c r="V34" i="13"/>
  <c r="R34" i="13"/>
  <c r="T34" i="13" s="1"/>
  <c r="H22" i="7"/>
  <c r="G22" i="7"/>
  <c r="V124" i="13"/>
  <c r="R124" i="13"/>
  <c r="T124" i="13" s="1"/>
  <c r="H24" i="7"/>
  <c r="G24" i="7"/>
  <c r="F8" i="13"/>
  <c r="P76" i="13"/>
  <c r="P140" i="13"/>
  <c r="R140" i="13" s="1"/>
  <c r="T140" i="13" s="1"/>
  <c r="P97" i="13"/>
  <c r="V97" i="13" s="1"/>
  <c r="P90" i="13"/>
  <c r="P32" i="13"/>
  <c r="P73" i="13"/>
  <c r="P28" i="13"/>
  <c r="P142" i="13"/>
  <c r="V142" i="13" s="1"/>
  <c r="P71" i="13"/>
  <c r="P93" i="13"/>
  <c r="P120" i="13"/>
  <c r="X8" i="13"/>
  <c r="P27" i="13"/>
  <c r="X26" i="13"/>
  <c r="D16" i="13"/>
  <c r="D19" i="13" s="1"/>
  <c r="P72" i="13"/>
  <c r="P116" i="13"/>
  <c r="P133" i="13"/>
  <c r="X16" i="13"/>
  <c r="P85" i="13"/>
  <c r="F7" i="13"/>
  <c r="P63" i="13"/>
  <c r="P78" i="13"/>
  <c r="R109" i="13"/>
  <c r="T109" i="13" s="1"/>
  <c r="V109" i="13"/>
  <c r="F51" i="5"/>
  <c r="I51" i="5"/>
  <c r="J51" i="5" s="1"/>
  <c r="F43" i="5"/>
  <c r="I43" i="5"/>
  <c r="J43" i="5" s="1"/>
  <c r="I36" i="5"/>
  <c r="J36" i="5" s="1"/>
  <c r="F36" i="5"/>
  <c r="H36" i="5" s="1"/>
  <c r="G21" i="5"/>
  <c r="H21" i="5"/>
  <c r="G25" i="7"/>
  <c r="H25" i="7"/>
  <c r="R129" i="13"/>
  <c r="T129" i="13" s="1"/>
  <c r="V129" i="13"/>
  <c r="P49" i="13"/>
  <c r="R102" i="9"/>
  <c r="T102" i="9" s="1"/>
  <c r="U102" i="9"/>
  <c r="R106" i="13"/>
  <c r="T106" i="13" s="1"/>
  <c r="V106" i="13"/>
  <c r="G28" i="5"/>
  <c r="F39" i="7"/>
  <c r="H39" i="7" s="1"/>
  <c r="I39" i="7"/>
  <c r="J39" i="7" s="1"/>
  <c r="L34" i="8"/>
  <c r="G42" i="5"/>
  <c r="L13" i="8"/>
  <c r="G51" i="7"/>
  <c r="P39" i="13"/>
  <c r="P139" i="13"/>
  <c r="V139" i="13" s="1"/>
  <c r="P66" i="13"/>
  <c r="P143" i="13"/>
  <c r="R143" i="13" s="1"/>
  <c r="T143" i="13" s="1"/>
  <c r="R52" i="4"/>
  <c r="T52" i="4" s="1"/>
  <c r="P41" i="13"/>
  <c r="P91" i="13"/>
  <c r="P113" i="13"/>
  <c r="X14" i="13"/>
  <c r="X17" i="13"/>
  <c r="W20" i="6"/>
  <c r="P102" i="13"/>
  <c r="P98" i="13"/>
  <c r="P89" i="13"/>
  <c r="P25" i="13"/>
  <c r="V25" i="13" s="1"/>
  <c r="P84" i="13"/>
  <c r="X6" i="13"/>
  <c r="P128" i="13"/>
  <c r="V128" i="13" s="1"/>
  <c r="W19" i="6"/>
  <c r="W21" i="6"/>
  <c r="W5" i="6"/>
  <c r="W18" i="6"/>
  <c r="W23" i="6"/>
  <c r="W4" i="6"/>
  <c r="I28" i="5"/>
  <c r="J28" i="5" s="1"/>
  <c r="W7" i="6"/>
  <c r="F48" i="7"/>
  <c r="X25" i="13"/>
  <c r="P64" i="13"/>
  <c r="P37" i="4"/>
  <c r="P49" i="4"/>
  <c r="P31" i="4"/>
  <c r="R31" i="4" s="1"/>
  <c r="T31" i="4" s="1"/>
  <c r="F21" i="8"/>
  <c r="K34" i="8"/>
  <c r="H33" i="8"/>
  <c r="X29" i="4"/>
  <c r="P200" i="4"/>
  <c r="P186" i="4"/>
  <c r="P180" i="4"/>
  <c r="P171" i="4"/>
  <c r="V171" i="4" s="1"/>
  <c r="P165" i="4"/>
  <c r="P136" i="4"/>
  <c r="H13" i="8"/>
  <c r="P23" i="13"/>
  <c r="P69" i="13"/>
  <c r="P125" i="13"/>
  <c r="P22" i="13"/>
  <c r="V22" i="13" s="1"/>
  <c r="P141" i="13"/>
  <c r="P83" i="13"/>
  <c r="P111" i="13"/>
  <c r="P59" i="13"/>
  <c r="P33" i="6"/>
  <c r="R33" i="6" s="1"/>
  <c r="T33" i="6" s="1"/>
  <c r="O13" i="8"/>
  <c r="G47" i="5"/>
  <c r="Q13" i="8"/>
  <c r="P107" i="13"/>
  <c r="P126" i="13"/>
  <c r="P86" i="13"/>
  <c r="X13" i="13"/>
  <c r="P112" i="13"/>
  <c r="P80" i="13"/>
  <c r="P136" i="13"/>
  <c r="V136" i="13" s="1"/>
  <c r="P114" i="13"/>
  <c r="V114" i="13" s="1"/>
  <c r="P148" i="13"/>
  <c r="W16" i="6"/>
  <c r="P27" i="6"/>
  <c r="R27" i="6" s="1"/>
  <c r="T27" i="6" s="1"/>
  <c r="P42" i="6"/>
  <c r="R42" i="6" s="1"/>
  <c r="T42" i="6" s="1"/>
  <c r="W15" i="6"/>
  <c r="P22" i="6"/>
  <c r="I50" i="7"/>
  <c r="J50" i="7" s="1"/>
  <c r="P56" i="13"/>
  <c r="P53" i="13"/>
  <c r="P50" i="13"/>
  <c r="P44" i="13"/>
  <c r="P88" i="13"/>
  <c r="R88" i="13" s="1"/>
  <c r="T88" i="13" s="1"/>
  <c r="P96" i="13"/>
  <c r="P41" i="4"/>
  <c r="P55" i="4"/>
  <c r="R55" i="4" s="1"/>
  <c r="T55" i="4" s="1"/>
  <c r="P174" i="4"/>
  <c r="F13" i="8"/>
  <c r="G50" i="5"/>
  <c r="X9" i="13"/>
  <c r="X18" i="13"/>
  <c r="P150" i="13"/>
  <c r="P42" i="13"/>
  <c r="P119" i="13"/>
  <c r="P37" i="13"/>
  <c r="P35" i="13"/>
  <c r="V35" i="13" s="1"/>
  <c r="P68" i="13"/>
  <c r="W9" i="6"/>
  <c r="G26" i="5"/>
  <c r="D15" i="13"/>
  <c r="C19" i="13" s="1"/>
  <c r="P115" i="13"/>
  <c r="R115" i="13" s="1"/>
  <c r="T115" i="13" s="1"/>
  <c r="P82" i="13"/>
  <c r="X7" i="13"/>
  <c r="P47" i="13"/>
  <c r="P95" i="13"/>
  <c r="P144" i="13"/>
  <c r="R150" i="4"/>
  <c r="T150" i="4" s="1"/>
  <c r="P23" i="6"/>
  <c r="R23" i="6" s="1"/>
  <c r="T23" i="6" s="1"/>
  <c r="P38" i="6"/>
  <c r="R38" i="6" s="1"/>
  <c r="T38" i="6" s="1"/>
  <c r="W17" i="6"/>
  <c r="P41" i="6"/>
  <c r="R41" i="6" s="1"/>
  <c r="T41" i="6" s="1"/>
  <c r="P45" i="6"/>
  <c r="R45" i="6" s="1"/>
  <c r="T45" i="6" s="1"/>
  <c r="P62" i="13"/>
  <c r="X28" i="13"/>
  <c r="P79" i="13"/>
  <c r="P75" i="13"/>
  <c r="P70" i="13"/>
  <c r="P31" i="13"/>
  <c r="P33" i="13"/>
  <c r="P62" i="4"/>
  <c r="P57" i="4"/>
  <c r="P22" i="4"/>
  <c r="R22" i="4" s="1"/>
  <c r="T22" i="4" s="1"/>
  <c r="H21" i="8"/>
  <c r="P185" i="4"/>
  <c r="V185" i="4" s="1"/>
  <c r="P163" i="4"/>
  <c r="P157" i="4"/>
  <c r="K13" i="8"/>
  <c r="G28" i="7"/>
  <c r="R136" i="4"/>
  <c r="T136" i="4" s="1"/>
  <c r="X11" i="13"/>
  <c r="X2" i="13"/>
  <c r="P87" i="13"/>
  <c r="P48" i="13"/>
  <c r="P29" i="13"/>
  <c r="P61" i="13"/>
  <c r="P43" i="13"/>
  <c r="X23" i="13"/>
  <c r="P151" i="13"/>
  <c r="V151" i="13" s="1"/>
  <c r="P137" i="13"/>
  <c r="R137" i="13" s="1"/>
  <c r="T137" i="13" s="1"/>
  <c r="P145" i="13"/>
  <c r="D16" i="6"/>
  <c r="D19" i="6" s="1"/>
  <c r="P122" i="13"/>
  <c r="P74" i="13"/>
  <c r="X4" i="13"/>
  <c r="P108" i="13"/>
  <c r="P40" i="13"/>
  <c r="R40" i="13" s="1"/>
  <c r="T40" i="13" s="1"/>
  <c r="P110" i="13"/>
  <c r="P130" i="13"/>
  <c r="P43" i="6"/>
  <c r="R43" i="6" s="1"/>
  <c r="T43" i="6" s="1"/>
  <c r="W11" i="6"/>
  <c r="W14" i="6"/>
  <c r="P40" i="6"/>
  <c r="R40" i="6" s="1"/>
  <c r="T40" i="6" s="1"/>
  <c r="P44" i="6"/>
  <c r="R44" i="6" s="1"/>
  <c r="T44" i="6" s="1"/>
  <c r="P101" i="13"/>
  <c r="J23" i="8"/>
  <c r="R37" i="4"/>
  <c r="T37" i="4" s="1"/>
  <c r="I42" i="5"/>
  <c r="J42" i="5" s="1"/>
  <c r="D13" i="8"/>
  <c r="R176" i="4"/>
  <c r="T176" i="4" s="1"/>
  <c r="X12" i="13"/>
  <c r="X3" i="13"/>
  <c r="R22" i="13" s="1"/>
  <c r="T22" i="13" s="1"/>
  <c r="P127" i="13"/>
  <c r="P117" i="13"/>
  <c r="P54" i="13"/>
  <c r="X15" i="13"/>
  <c r="P77" i="13"/>
  <c r="P67" i="13"/>
  <c r="X21" i="13"/>
  <c r="P147" i="13"/>
  <c r="P105" i="13"/>
  <c r="D15" i="6"/>
  <c r="C19" i="6" s="1"/>
  <c r="P123" i="13"/>
  <c r="P45" i="13"/>
  <c r="P104" i="13"/>
  <c r="P36" i="13"/>
  <c r="P138" i="13"/>
  <c r="P24" i="13"/>
  <c r="V24" i="13" s="1"/>
  <c r="P39" i="6"/>
  <c r="R39" i="6" s="1"/>
  <c r="T39" i="6" s="1"/>
  <c r="W6" i="6"/>
  <c r="P34" i="6"/>
  <c r="R34" i="6" s="1"/>
  <c r="T34" i="6" s="1"/>
  <c r="P36" i="6"/>
  <c r="R36" i="6" s="1"/>
  <c r="T36" i="6" s="1"/>
  <c r="P25" i="6"/>
  <c r="R25" i="6" s="1"/>
  <c r="T25" i="6" s="1"/>
  <c r="P55" i="13"/>
  <c r="P60" i="4"/>
  <c r="P95" i="4"/>
  <c r="P193" i="4"/>
  <c r="P127" i="4"/>
  <c r="V127" i="4" s="1"/>
  <c r="P105" i="4"/>
  <c r="X19" i="13"/>
  <c r="I50" i="5"/>
  <c r="J50" i="5" s="1"/>
  <c r="J13" i="8"/>
  <c r="B15" i="8"/>
  <c r="P81" i="13"/>
  <c r="P103" i="13"/>
  <c r="P94" i="13"/>
  <c r="P146" i="13"/>
  <c r="P60" i="13"/>
  <c r="X20" i="13"/>
  <c r="X22" i="13"/>
  <c r="P149" i="13"/>
  <c r="V149" i="13" s="1"/>
  <c r="P135" i="13"/>
  <c r="P121" i="13"/>
  <c r="X27" i="13"/>
  <c r="R125" i="4"/>
  <c r="T125" i="4" s="1"/>
  <c r="P131" i="13"/>
  <c r="P38" i="13"/>
  <c r="P132" i="13"/>
  <c r="P100" i="13"/>
  <c r="V100" i="13" s="1"/>
  <c r="P30" i="13"/>
  <c r="R30" i="13" s="1"/>
  <c r="T30" i="13" s="1"/>
  <c r="P118" i="13"/>
  <c r="W2" i="6"/>
  <c r="P30" i="6"/>
  <c r="R30" i="6" s="1"/>
  <c r="T30" i="6" s="1"/>
  <c r="W10" i="6"/>
  <c r="P29" i="6"/>
  <c r="R29" i="6" s="1"/>
  <c r="T29" i="6" s="1"/>
  <c r="V200" i="4"/>
  <c r="I33" i="7"/>
  <c r="J33" i="7" s="1"/>
  <c r="P52" i="13"/>
  <c r="P65" i="13"/>
  <c r="P46" i="13"/>
  <c r="P69" i="4"/>
  <c r="X27" i="4"/>
  <c r="P61" i="4"/>
  <c r="R61" i="4" s="1"/>
  <c r="T61" i="4" s="1"/>
  <c r="P26" i="4"/>
  <c r="L35" i="8"/>
  <c r="L28" i="8"/>
  <c r="P197" i="4"/>
  <c r="P188" i="4"/>
  <c r="P172" i="4"/>
  <c r="R172" i="4" s="1"/>
  <c r="T172" i="4" s="1"/>
  <c r="P155" i="4"/>
  <c r="P215" i="4"/>
  <c r="V215" i="4" s="1"/>
  <c r="P68" i="4"/>
  <c r="G68" i="4"/>
  <c r="J68" i="4" s="1"/>
  <c r="U43" i="4"/>
  <c r="P43" i="4"/>
  <c r="P33" i="4"/>
  <c r="G33" i="4"/>
  <c r="P25" i="4"/>
  <c r="G25" i="4"/>
  <c r="U100" i="4"/>
  <c r="P100" i="4"/>
  <c r="G201" i="4"/>
  <c r="K201" i="4" s="1"/>
  <c r="P201" i="4"/>
  <c r="P214" i="4"/>
  <c r="G214" i="4"/>
  <c r="I214" i="4" s="1"/>
  <c r="P208" i="4"/>
  <c r="V208" i="4" s="1"/>
  <c r="G208" i="4"/>
  <c r="J208" i="4" s="1"/>
  <c r="P229" i="4"/>
  <c r="R229" i="4" s="1"/>
  <c r="T229" i="4" s="1"/>
  <c r="G229" i="4"/>
  <c r="G246" i="4"/>
  <c r="P246" i="4"/>
  <c r="P86" i="4"/>
  <c r="U86" i="4"/>
  <c r="R56" i="4"/>
  <c r="T56" i="4" s="1"/>
  <c r="V56" i="4"/>
  <c r="P46" i="4"/>
  <c r="G46" i="4"/>
  <c r="P99" i="4"/>
  <c r="U99" i="4"/>
  <c r="P175" i="4"/>
  <c r="G175" i="4"/>
  <c r="P225" i="4"/>
  <c r="R225" i="4" s="1"/>
  <c r="T225" i="4" s="1"/>
  <c r="G225" i="4"/>
  <c r="K225" i="4" s="1"/>
  <c r="G238" i="4"/>
  <c r="P238" i="4"/>
  <c r="P89" i="4"/>
  <c r="G89" i="4"/>
  <c r="P234" i="4"/>
  <c r="R234" i="4" s="1"/>
  <c r="T234" i="4" s="1"/>
  <c r="G234" i="4"/>
  <c r="K234" i="4" s="1"/>
  <c r="P30" i="4"/>
  <c r="R30" i="4" s="1"/>
  <c r="T30" i="4" s="1"/>
  <c r="G30" i="4"/>
  <c r="I30" i="4" s="1"/>
  <c r="P205" i="4"/>
  <c r="G205" i="4"/>
  <c r="P195" i="4"/>
  <c r="G195" i="4"/>
  <c r="P212" i="4"/>
  <c r="G212" i="4"/>
  <c r="K212" i="4" s="1"/>
  <c r="P244" i="4"/>
  <c r="V244" i="4" s="1"/>
  <c r="G244" i="4"/>
  <c r="K244" i="4" s="1"/>
  <c r="P79" i="4"/>
  <c r="U79" i="4"/>
  <c r="P44" i="4"/>
  <c r="G44" i="4"/>
  <c r="G29" i="4"/>
  <c r="H29" i="4" s="1"/>
  <c r="P29" i="4"/>
  <c r="G204" i="4"/>
  <c r="P204" i="4"/>
  <c r="P190" i="4"/>
  <c r="G190" i="4"/>
  <c r="G169" i="4"/>
  <c r="P169" i="4"/>
  <c r="P102" i="4"/>
  <c r="G102" i="4"/>
  <c r="P192" i="4"/>
  <c r="G192" i="4"/>
  <c r="U92" i="4"/>
  <c r="P92" i="4"/>
  <c r="P107" i="4"/>
  <c r="U107" i="4"/>
  <c r="G118" i="4"/>
  <c r="J118" i="4" s="1"/>
  <c r="P118" i="4"/>
  <c r="P223" i="4"/>
  <c r="G223" i="4"/>
  <c r="K223" i="4" s="1"/>
  <c r="G202" i="4"/>
  <c r="P202" i="4"/>
  <c r="U65" i="4"/>
  <c r="P65" i="4"/>
  <c r="P27" i="4"/>
  <c r="G27" i="4"/>
  <c r="I27" i="4" s="1"/>
  <c r="P198" i="4"/>
  <c r="G198" i="4"/>
  <c r="R198" i="4" s="1"/>
  <c r="T198" i="4" s="1"/>
  <c r="G139" i="4"/>
  <c r="K139" i="4" s="1"/>
  <c r="P139" i="4"/>
  <c r="G122" i="4"/>
  <c r="P122" i="4"/>
  <c r="P117" i="4"/>
  <c r="G117" i="4"/>
  <c r="J117" i="4" s="1"/>
  <c r="K241" i="4"/>
  <c r="V241" i="4"/>
  <c r="U94" i="4"/>
  <c r="P94" i="4"/>
  <c r="P144" i="4"/>
  <c r="G144" i="4"/>
  <c r="P48" i="4"/>
  <c r="G48" i="4"/>
  <c r="U134" i="4"/>
  <c r="P134" i="4"/>
  <c r="G177" i="4"/>
  <c r="P177" i="4"/>
  <c r="G97" i="4"/>
  <c r="J97" i="4" s="1"/>
  <c r="P97" i="4"/>
  <c r="R97" i="4" s="1"/>
  <c r="T97" i="4" s="1"/>
  <c r="G231" i="4"/>
  <c r="K231" i="4" s="1"/>
  <c r="P231" i="4"/>
  <c r="V231" i="4" s="1"/>
  <c r="G254" i="4"/>
  <c r="K254" i="4" s="1"/>
  <c r="P254" i="4"/>
  <c r="R254" i="4" s="1"/>
  <c r="T254" i="4" s="1"/>
  <c r="R183" i="4"/>
  <c r="T183" i="4" s="1"/>
  <c r="R153" i="4"/>
  <c r="T153" i="4" s="1"/>
  <c r="R241" i="4"/>
  <c r="T241" i="4" s="1"/>
  <c r="J52" i="4"/>
  <c r="K227" i="4"/>
  <c r="P243" i="4"/>
  <c r="V243" i="4" s="1"/>
  <c r="V37" i="4"/>
  <c r="G215" i="4"/>
  <c r="R215" i="4" s="1"/>
  <c r="T215" i="4" s="1"/>
  <c r="E21" i="12"/>
  <c r="E56" i="12"/>
  <c r="E96" i="12"/>
  <c r="E78" i="11"/>
  <c r="R250" i="4"/>
  <c r="T250" i="4" s="1"/>
  <c r="G157" i="4"/>
  <c r="K157" i="4" s="1"/>
  <c r="R121" i="4"/>
  <c r="T121" i="4" s="1"/>
  <c r="V242" i="4"/>
  <c r="J37" i="4"/>
  <c r="V150" i="4"/>
  <c r="G105" i="4"/>
  <c r="E116" i="12"/>
  <c r="E62" i="12"/>
  <c r="E30" i="11"/>
  <c r="E67" i="11"/>
  <c r="E112" i="11"/>
  <c r="E120" i="11"/>
  <c r="U95" i="4"/>
  <c r="E130" i="12"/>
  <c r="G193" i="4"/>
  <c r="P255" i="4"/>
  <c r="R255" i="4" s="1"/>
  <c r="T255" i="4" s="1"/>
  <c r="P257" i="4"/>
  <c r="R257" i="4" s="1"/>
  <c r="T257" i="4" s="1"/>
  <c r="G49" i="4"/>
  <c r="J49" i="4" s="1"/>
  <c r="K179" i="4"/>
  <c r="R186" i="4"/>
  <c r="T186" i="4" s="1"/>
  <c r="E148" i="11"/>
  <c r="E18" i="11"/>
  <c r="E137" i="11"/>
  <c r="E113" i="11"/>
  <c r="P251" i="4"/>
  <c r="V251" i="4" s="1"/>
  <c r="I35" i="4"/>
  <c r="G221" i="4"/>
  <c r="P108" i="4"/>
  <c r="E49" i="12"/>
  <c r="E57" i="12"/>
  <c r="E154" i="12"/>
  <c r="V42" i="4"/>
  <c r="R248" i="4"/>
  <c r="T248" i="4" s="1"/>
  <c r="P161" i="4"/>
  <c r="R161" i="4" s="1"/>
  <c r="T161" i="4" s="1"/>
  <c r="G26" i="4"/>
  <c r="H26" i="4" s="1"/>
  <c r="V245" i="4"/>
  <c r="V39" i="4"/>
  <c r="G188" i="4"/>
  <c r="G47" i="4"/>
  <c r="R47" i="4" s="1"/>
  <c r="T47" i="4" s="1"/>
  <c r="E123" i="12"/>
  <c r="E36" i="12"/>
  <c r="E65" i="12"/>
  <c r="E157" i="12"/>
  <c r="E102" i="12"/>
  <c r="E32" i="11"/>
  <c r="I22" i="4"/>
  <c r="R237" i="4"/>
  <c r="T237" i="4" s="1"/>
  <c r="E98" i="12"/>
  <c r="V51" i="4"/>
  <c r="G261" i="4"/>
  <c r="P261" i="4"/>
  <c r="H34" i="5"/>
  <c r="G34" i="5"/>
  <c r="H35" i="7"/>
  <c r="G35" i="7"/>
  <c r="G31" i="5"/>
  <c r="H31" i="5"/>
  <c r="U36" i="9"/>
  <c r="R36" i="9"/>
  <c r="T36" i="9" s="1"/>
  <c r="H23" i="7"/>
  <c r="G23" i="7"/>
  <c r="F38" i="7"/>
  <c r="H38" i="7" s="1"/>
  <c r="F45" i="5"/>
  <c r="H45" i="5" s="1"/>
  <c r="R35" i="13"/>
  <c r="T35" i="13" s="1"/>
  <c r="Y10" i="9"/>
  <c r="R25" i="13"/>
  <c r="T25" i="13" s="1"/>
  <c r="G25" i="5"/>
  <c r="R100" i="13"/>
  <c r="T100" i="13" s="1"/>
  <c r="K27" i="8"/>
  <c r="R24" i="13"/>
  <c r="T24" i="13" s="1"/>
  <c r="P46" i="9"/>
  <c r="L21" i="8"/>
  <c r="P168" i="4"/>
  <c r="P164" i="4"/>
  <c r="R164" i="4" s="1"/>
  <c r="T164" i="4" s="1"/>
  <c r="P160" i="4"/>
  <c r="V160" i="4" s="1"/>
  <c r="P219" i="4"/>
  <c r="V219" i="4" s="1"/>
  <c r="P210" i="4"/>
  <c r="V210" i="4" s="1"/>
  <c r="P233" i="4"/>
  <c r="L29" i="8"/>
  <c r="R128" i="13"/>
  <c r="T128" i="13" s="1"/>
  <c r="I28" i="8"/>
  <c r="I38" i="7"/>
  <c r="J38" i="7" s="1"/>
  <c r="G52" i="5"/>
  <c r="V147" i="4"/>
  <c r="R217" i="4"/>
  <c r="T217" i="4" s="1"/>
  <c r="Y7" i="9"/>
  <c r="R97" i="13"/>
  <c r="T97" i="13" s="1"/>
  <c r="G27" i="8"/>
  <c r="Y25" i="9"/>
  <c r="I33" i="8"/>
  <c r="P142" i="4"/>
  <c r="P138" i="4"/>
  <c r="R138" i="4" s="1"/>
  <c r="T138" i="4" s="1"/>
  <c r="P133" i="4"/>
  <c r="R133" i="4" s="1"/>
  <c r="T133" i="4" s="1"/>
  <c r="P124" i="4"/>
  <c r="V124" i="4" s="1"/>
  <c r="P226" i="4"/>
  <c r="R226" i="4" s="1"/>
  <c r="T226" i="4" s="1"/>
  <c r="P222" i="4"/>
  <c r="P209" i="4"/>
  <c r="R209" i="4" s="1"/>
  <c r="T209" i="4" s="1"/>
  <c r="P216" i="4"/>
  <c r="V26" i="13"/>
  <c r="L22" i="8"/>
  <c r="J28" i="8"/>
  <c r="I32" i="5"/>
  <c r="J32" i="5" s="1"/>
  <c r="R92" i="13"/>
  <c r="T92" i="13" s="1"/>
  <c r="V141" i="4"/>
  <c r="Y19" i="9"/>
  <c r="U64" i="9"/>
  <c r="V115" i="13"/>
  <c r="V88" i="13"/>
  <c r="P65" i="9"/>
  <c r="H44" i="7"/>
  <c r="P25" i="9"/>
  <c r="I21" i="7"/>
  <c r="J21" i="7" s="1"/>
  <c r="F29" i="8"/>
  <c r="K22" i="8"/>
  <c r="L25" i="8"/>
  <c r="P167" i="4"/>
  <c r="R167" i="4" s="1"/>
  <c r="T167" i="4" s="1"/>
  <c r="P159" i="4"/>
  <c r="R159" i="4" s="1"/>
  <c r="T159" i="4" s="1"/>
  <c r="P146" i="4"/>
  <c r="V146" i="4" s="1"/>
  <c r="P120" i="4"/>
  <c r="R120" i="4" s="1"/>
  <c r="T120" i="4" s="1"/>
  <c r="P232" i="4"/>
  <c r="V232" i="4" s="1"/>
  <c r="R146" i="4"/>
  <c r="T146" i="4" s="1"/>
  <c r="G43" i="7"/>
  <c r="H34" i="7"/>
  <c r="J24" i="8"/>
  <c r="K24" i="8"/>
  <c r="F32" i="5"/>
  <c r="H32" i="5" s="1"/>
  <c r="V137" i="13"/>
  <c r="V234" i="4"/>
  <c r="V140" i="13"/>
  <c r="G47" i="7"/>
  <c r="V40" i="13"/>
  <c r="V30" i="13"/>
  <c r="K35" i="8"/>
  <c r="P26" i="9"/>
  <c r="P83" i="9"/>
  <c r="I44" i="5"/>
  <c r="J44" i="5" s="1"/>
  <c r="P39" i="9"/>
  <c r="U39" i="9" s="1"/>
  <c r="P95" i="9"/>
  <c r="G33" i="5"/>
  <c r="G32" i="7"/>
  <c r="K21" i="8"/>
  <c r="G35" i="8"/>
  <c r="P49" i="9"/>
  <c r="D16" i="9"/>
  <c r="D19" i="9" s="1"/>
  <c r="I38" i="5"/>
  <c r="J38" i="5" s="1"/>
  <c r="I29" i="8"/>
  <c r="J29" i="8"/>
  <c r="P166" i="4"/>
  <c r="P158" i="4"/>
  <c r="R158" i="4" s="1"/>
  <c r="T158" i="4" s="1"/>
  <c r="P132" i="4"/>
  <c r="P126" i="4"/>
  <c r="P115" i="4"/>
  <c r="X17" i="4"/>
  <c r="R240" i="4"/>
  <c r="T240" i="4" s="1"/>
  <c r="G46" i="7"/>
  <c r="F24" i="8"/>
  <c r="U23" i="9"/>
  <c r="V143" i="13"/>
  <c r="I24" i="8"/>
  <c r="R39" i="4"/>
  <c r="T39" i="4" s="1"/>
  <c r="P103" i="9"/>
  <c r="P27" i="9"/>
  <c r="F38" i="5"/>
  <c r="H38" i="5" s="1"/>
  <c r="I37" i="7"/>
  <c r="J37" i="7" s="1"/>
  <c r="P187" i="4"/>
  <c r="G187" i="4"/>
  <c r="P113" i="4"/>
  <c r="G113" i="4"/>
  <c r="P220" i="4"/>
  <c r="G220" i="4"/>
  <c r="R51" i="4"/>
  <c r="T51" i="4" s="1"/>
  <c r="J51" i="4"/>
  <c r="F88" i="4"/>
  <c r="E43" i="11"/>
  <c r="E41" i="12"/>
  <c r="U80" i="4"/>
  <c r="P80" i="4"/>
  <c r="U73" i="4"/>
  <c r="P73" i="4"/>
  <c r="P50" i="4"/>
  <c r="G50" i="4"/>
  <c r="V41" i="4"/>
  <c r="R41" i="4"/>
  <c r="T41" i="4" s="1"/>
  <c r="P74" i="4"/>
  <c r="U74" i="4"/>
  <c r="F32" i="4"/>
  <c r="E20" i="11"/>
  <c r="P149" i="4"/>
  <c r="G149" i="4"/>
  <c r="G239" i="4"/>
  <c r="P239" i="4"/>
  <c r="V181" i="4"/>
  <c r="R181" i="4"/>
  <c r="T181" i="4" s="1"/>
  <c r="R105" i="4"/>
  <c r="T105" i="4" s="1"/>
  <c r="J105" i="4"/>
  <c r="R53" i="4"/>
  <c r="T53" i="4" s="1"/>
  <c r="V53" i="4"/>
  <c r="P218" i="4"/>
  <c r="G218" i="4"/>
  <c r="P63" i="4"/>
  <c r="G63" i="4"/>
  <c r="P182" i="4"/>
  <c r="G182" i="4"/>
  <c r="P140" i="4"/>
  <c r="G140" i="4"/>
  <c r="G249" i="4"/>
  <c r="P249" i="4"/>
  <c r="V139" i="4"/>
  <c r="R139" i="4"/>
  <c r="T139" i="4" s="1"/>
  <c r="R49" i="4"/>
  <c r="T49" i="4" s="1"/>
  <c r="V49" i="4"/>
  <c r="R84" i="4"/>
  <c r="T84" i="4" s="1"/>
  <c r="J84" i="4"/>
  <c r="J167" i="4"/>
  <c r="K171" i="4"/>
  <c r="K138" i="4"/>
  <c r="K159" i="4"/>
  <c r="P104" i="4"/>
  <c r="G104" i="4"/>
  <c r="R222" i="4"/>
  <c r="T222" i="4" s="1"/>
  <c r="K222" i="4"/>
  <c r="V222" i="4"/>
  <c r="R26" i="4"/>
  <c r="T26" i="4" s="1"/>
  <c r="R177" i="4"/>
  <c r="T177" i="4" s="1"/>
  <c r="V177" i="4"/>
  <c r="K177" i="4"/>
  <c r="F21" i="4"/>
  <c r="E11" i="11"/>
  <c r="E109" i="12"/>
  <c r="P154" i="4"/>
  <c r="G154" i="4"/>
  <c r="P207" i="4"/>
  <c r="G207" i="4"/>
  <c r="R259" i="4"/>
  <c r="T259" i="4" s="1"/>
  <c r="V259" i="4"/>
  <c r="R247" i="4"/>
  <c r="T247" i="4" s="1"/>
  <c r="V247" i="4"/>
  <c r="V262" i="4"/>
  <c r="K262" i="4"/>
  <c r="R262" i="4"/>
  <c r="T262" i="4" s="1"/>
  <c r="R128" i="4"/>
  <c r="T128" i="4" s="1"/>
  <c r="K128" i="4"/>
  <c r="V228" i="4"/>
  <c r="K245" i="4"/>
  <c r="J176" i="4"/>
  <c r="V40" i="4"/>
  <c r="R232" i="4"/>
  <c r="T232" i="4" s="1"/>
  <c r="V217" i="4"/>
  <c r="V130" i="4"/>
  <c r="J55" i="4"/>
  <c r="V172" i="4"/>
  <c r="K199" i="4"/>
  <c r="I31" i="4"/>
  <c r="E23" i="12"/>
  <c r="E35" i="11"/>
  <c r="U72" i="4"/>
  <c r="P72" i="4"/>
  <c r="P36" i="4"/>
  <c r="G36" i="4"/>
  <c r="P71" i="4"/>
  <c r="G71" i="4"/>
  <c r="G91" i="4"/>
  <c r="P91" i="4"/>
  <c r="P173" i="4"/>
  <c r="G173" i="4"/>
  <c r="K173" i="4" s="1"/>
  <c r="F148" i="4"/>
  <c r="E68" i="12"/>
  <c r="U148" i="4"/>
  <c r="F112" i="4"/>
  <c r="E63" i="11"/>
  <c r="E135" i="12"/>
  <c r="P230" i="4"/>
  <c r="G230" i="4"/>
  <c r="G253" i="4"/>
  <c r="K253" i="4" s="1"/>
  <c r="P253" i="4"/>
  <c r="J217" i="4"/>
  <c r="R127" i="4"/>
  <c r="T127" i="4" s="1"/>
  <c r="V206" i="4"/>
  <c r="J47" i="4"/>
  <c r="J172" i="4"/>
  <c r="V226" i="4"/>
  <c r="J215" i="4"/>
  <c r="K185" i="4"/>
  <c r="R200" i="4"/>
  <c r="T200" i="4" s="1"/>
  <c r="R205" i="4"/>
  <c r="T205" i="4" s="1"/>
  <c r="V212" i="4"/>
  <c r="R212" i="4"/>
  <c r="T212" i="4" s="1"/>
  <c r="F59" i="4"/>
  <c r="P59" i="4" s="1"/>
  <c r="E24" i="12"/>
  <c r="G64" i="4"/>
  <c r="P64" i="4"/>
  <c r="R29" i="4"/>
  <c r="T29" i="4" s="1"/>
  <c r="P90" i="4"/>
  <c r="G90" i="4"/>
  <c r="P143" i="4"/>
  <c r="G143" i="4"/>
  <c r="R143" i="4" s="1"/>
  <c r="T143" i="4" s="1"/>
  <c r="P135" i="4"/>
  <c r="G135" i="4"/>
  <c r="G129" i="4"/>
  <c r="P129" i="4"/>
  <c r="G111" i="4"/>
  <c r="P111" i="4"/>
  <c r="V183" i="4"/>
  <c r="V161" i="4"/>
  <c r="J89" i="4"/>
  <c r="R130" i="4"/>
  <c r="T130" i="4" s="1"/>
  <c r="K198" i="4"/>
  <c r="J226" i="4"/>
  <c r="K158" i="4"/>
  <c r="J61" i="4"/>
  <c r="R191" i="4"/>
  <c r="T191" i="4" s="1"/>
  <c r="K191" i="4"/>
  <c r="R185" i="4"/>
  <c r="T185" i="4" s="1"/>
  <c r="P70" i="4"/>
  <c r="G70" i="4"/>
  <c r="R57" i="4"/>
  <c r="T57" i="4" s="1"/>
  <c r="P189" i="4"/>
  <c r="G189" i="4"/>
  <c r="P156" i="4"/>
  <c r="G156" i="4"/>
  <c r="P152" i="4"/>
  <c r="G152" i="4"/>
  <c r="J152" i="4" s="1"/>
  <c r="P110" i="4"/>
  <c r="G110" i="4"/>
  <c r="J110" i="4" s="1"/>
  <c r="R223" i="4"/>
  <c r="T223" i="4" s="1"/>
  <c r="V223" i="4"/>
  <c r="P34" i="4"/>
  <c r="G34" i="4"/>
  <c r="U96" i="4"/>
  <c r="P96" i="4"/>
  <c r="F151" i="4"/>
  <c r="E82" i="11"/>
  <c r="P213" i="4"/>
  <c r="G213" i="4"/>
  <c r="R203" i="4"/>
  <c r="T203" i="4" s="1"/>
  <c r="K203" i="4"/>
  <c r="U85" i="4"/>
  <c r="P85" i="4"/>
  <c r="G60" i="4"/>
  <c r="F24" i="4"/>
  <c r="E14" i="11"/>
  <c r="E112" i="12"/>
  <c r="P184" i="4"/>
  <c r="G184" i="4"/>
  <c r="F145" i="4"/>
  <c r="E79" i="11"/>
  <c r="E66" i="12"/>
  <c r="G260" i="4"/>
  <c r="P260" i="4"/>
  <c r="R224" i="4"/>
  <c r="T224" i="4" s="1"/>
  <c r="R40" i="4"/>
  <c r="T40" i="4" s="1"/>
  <c r="R28" i="4"/>
  <c r="T28" i="4" s="1"/>
  <c r="F77" i="4"/>
  <c r="E33" i="12"/>
  <c r="E38" i="11"/>
  <c r="F38" i="4"/>
  <c r="E25" i="11"/>
  <c r="E13" i="12"/>
  <c r="G23" i="4"/>
  <c r="P23" i="4"/>
  <c r="F178" i="4"/>
  <c r="E148" i="12"/>
  <c r="E102" i="11"/>
  <c r="F170" i="4"/>
  <c r="E82" i="12"/>
  <c r="E94" i="11"/>
  <c r="F162" i="4"/>
  <c r="E90" i="11"/>
  <c r="E77" i="12"/>
  <c r="P137" i="4"/>
  <c r="G137" i="4"/>
  <c r="R235" i="4"/>
  <c r="T235" i="4" s="1"/>
  <c r="R45" i="4"/>
  <c r="T45" i="4" s="1"/>
  <c r="F131" i="4"/>
  <c r="E70" i="11"/>
  <c r="E60" i="12"/>
  <c r="F114" i="4"/>
  <c r="E65" i="11"/>
  <c r="R101" i="4"/>
  <c r="T101" i="4" s="1"/>
  <c r="R246" i="4"/>
  <c r="T246" i="4" s="1"/>
  <c r="R251" i="4"/>
  <c r="T251" i="4" s="1"/>
  <c r="G233" i="4"/>
  <c r="G236" i="4"/>
  <c r="R201" i="4"/>
  <c r="T201" i="4" s="1"/>
  <c r="P263" i="4"/>
  <c r="G263" i="4"/>
  <c r="K265" i="4"/>
  <c r="K260" i="4"/>
  <c r="K264" i="4"/>
  <c r="K258" i="4"/>
  <c r="P265" i="4"/>
  <c r="V265" i="4" s="1"/>
  <c r="P258" i="4"/>
  <c r="V258" i="4" s="1"/>
  <c r="P264" i="4"/>
  <c r="V264" i="4" s="1"/>
  <c r="O133" i="13"/>
  <c r="O107" i="13"/>
  <c r="O143" i="13"/>
  <c r="O114" i="13"/>
  <c r="O142" i="13"/>
  <c r="O139" i="13"/>
  <c r="O150" i="13"/>
  <c r="O130" i="13"/>
  <c r="O129" i="13"/>
  <c r="O109" i="13"/>
  <c r="O136" i="13"/>
  <c r="O125" i="13"/>
  <c r="O120" i="13"/>
  <c r="O147" i="13"/>
  <c r="O124" i="13"/>
  <c r="O140" i="13"/>
  <c r="O138" i="13"/>
  <c r="O119" i="13"/>
  <c r="O131" i="13"/>
  <c r="O127" i="13"/>
  <c r="O151" i="13"/>
  <c r="O128" i="13"/>
  <c r="O117" i="13"/>
  <c r="O111" i="13"/>
  <c r="O148" i="13"/>
  <c r="O121" i="13"/>
  <c r="O145" i="13"/>
  <c r="O122" i="13"/>
  <c r="O112" i="13"/>
  <c r="O118" i="13"/>
  <c r="O113" i="13"/>
  <c r="O132" i="13"/>
  <c r="C15" i="13"/>
  <c r="O144" i="13"/>
  <c r="O116" i="13"/>
  <c r="O115" i="13"/>
  <c r="O137" i="13"/>
  <c r="O123" i="13"/>
  <c r="O135" i="13"/>
  <c r="O146" i="13"/>
  <c r="O141" i="13"/>
  <c r="O108" i="13"/>
  <c r="O149" i="13"/>
  <c r="O110" i="13"/>
  <c r="O126" i="13"/>
  <c r="O134" i="13"/>
  <c r="C16" i="6"/>
  <c r="D18" i="6" s="1"/>
  <c r="C16" i="10"/>
  <c r="D18" i="10" s="1"/>
  <c r="O86" i="9"/>
  <c r="O97" i="9"/>
  <c r="O67" i="9"/>
  <c r="O84" i="9"/>
  <c r="O62" i="9"/>
  <c r="O52" i="9"/>
  <c r="O103" i="9"/>
  <c r="O26" i="9"/>
  <c r="O76" i="9"/>
  <c r="O101" i="9"/>
  <c r="O79" i="9"/>
  <c r="O95" i="9"/>
  <c r="O89" i="9"/>
  <c r="O68" i="9"/>
  <c r="O93" i="9"/>
  <c r="O71" i="9"/>
  <c r="O96" i="9"/>
  <c r="O81" i="9"/>
  <c r="O60" i="9"/>
  <c r="O102" i="9"/>
  <c r="O80" i="9"/>
  <c r="O73" i="9"/>
  <c r="O91" i="9"/>
  <c r="O99" i="9"/>
  <c r="O98" i="9"/>
  <c r="O77" i="9"/>
  <c r="O72" i="9"/>
  <c r="O65" i="9"/>
  <c r="O74" i="9"/>
  <c r="O100" i="9"/>
  <c r="O61" i="9"/>
  <c r="O24" i="9"/>
  <c r="O94" i="9"/>
  <c r="O25" i="9"/>
  <c r="O66" i="9"/>
  <c r="O83" i="9"/>
  <c r="O70" i="9"/>
  <c r="O78" i="9"/>
  <c r="O64" i="9"/>
  <c r="O87" i="9"/>
  <c r="O85" i="9"/>
  <c r="O90" i="9"/>
  <c r="C15" i="9"/>
  <c r="O63" i="9"/>
  <c r="O75" i="9"/>
  <c r="O88" i="9"/>
  <c r="O69" i="9"/>
  <c r="O92" i="9"/>
  <c r="O54" i="9"/>
  <c r="O82" i="9"/>
  <c r="C16" i="9"/>
  <c r="D18" i="9" s="1"/>
  <c r="C15" i="6"/>
  <c r="C18" i="6" s="1"/>
  <c r="O81" i="10"/>
  <c r="O91" i="10"/>
  <c r="O70" i="10"/>
  <c r="O69" i="10"/>
  <c r="O92" i="10"/>
  <c r="C15" i="10"/>
  <c r="O79" i="10"/>
  <c r="O62" i="10"/>
  <c r="O97" i="10"/>
  <c r="O100" i="10"/>
  <c r="O89" i="10"/>
  <c r="O26" i="10"/>
  <c r="O67" i="10"/>
  <c r="O90" i="10"/>
  <c r="O77" i="10"/>
  <c r="O24" i="10"/>
  <c r="O76" i="10"/>
  <c r="O66" i="10"/>
  <c r="O71" i="10"/>
  <c r="O103" i="10"/>
  <c r="O63" i="10"/>
  <c r="O102" i="10"/>
  <c r="O60" i="10"/>
  <c r="O98" i="10"/>
  <c r="O52" i="10"/>
  <c r="O25" i="10"/>
  <c r="O99" i="10"/>
  <c r="O88" i="10"/>
  <c r="O73" i="10"/>
  <c r="O68" i="10"/>
  <c r="O61" i="10"/>
  <c r="O65" i="10"/>
  <c r="O54" i="10"/>
  <c r="O85" i="10"/>
  <c r="O94" i="10"/>
  <c r="O84" i="10"/>
  <c r="O83" i="10"/>
  <c r="O86" i="10"/>
  <c r="O101" i="10"/>
  <c r="O87" i="10"/>
  <c r="O74" i="10"/>
  <c r="O80" i="10"/>
  <c r="O96" i="10"/>
  <c r="O82" i="10"/>
  <c r="O93" i="10"/>
  <c r="O95" i="10"/>
  <c r="O75" i="10"/>
  <c r="O78" i="10"/>
  <c r="O64" i="10"/>
  <c r="O72" i="10"/>
  <c r="C16" i="13"/>
  <c r="D18" i="13" s="1"/>
  <c r="H31" i="7"/>
  <c r="G31" i="7"/>
  <c r="H21" i="7"/>
  <c r="G21" i="7"/>
  <c r="R69" i="4"/>
  <c r="T69" i="4" s="1"/>
  <c r="V69" i="4"/>
  <c r="R39" i="13"/>
  <c r="T39" i="13" s="1"/>
  <c r="V39" i="13"/>
  <c r="R139" i="13"/>
  <c r="T139" i="13" s="1"/>
  <c r="V235" i="4"/>
  <c r="R43" i="9"/>
  <c r="T43" i="9" s="1"/>
  <c r="U43" i="9"/>
  <c r="G51" i="5"/>
  <c r="H51" i="5"/>
  <c r="G43" i="5"/>
  <c r="H43" i="5"/>
  <c r="V252" i="4"/>
  <c r="R252" i="4"/>
  <c r="T252" i="4" s="1"/>
  <c r="R68" i="4"/>
  <c r="T68" i="4" s="1"/>
  <c r="V68" i="4"/>
  <c r="R119" i="13"/>
  <c r="T119" i="13" s="1"/>
  <c r="V119" i="13"/>
  <c r="H50" i="7"/>
  <c r="G50" i="7"/>
  <c r="V211" i="4"/>
  <c r="R211" i="4"/>
  <c r="T211" i="4" s="1"/>
  <c r="H37" i="7"/>
  <c r="G37" i="7"/>
  <c r="G13" i="8"/>
  <c r="C13" i="8"/>
  <c r="R142" i="13"/>
  <c r="T142" i="13" s="1"/>
  <c r="H35" i="5"/>
  <c r="G35" i="5"/>
  <c r="Y17" i="9"/>
  <c r="P90" i="9"/>
  <c r="P59" i="9"/>
  <c r="Y16" i="9"/>
  <c r="P81" i="9"/>
  <c r="P98" i="9"/>
  <c r="P99" i="9"/>
  <c r="Y26" i="9"/>
  <c r="P52" i="9"/>
  <c r="Y24" i="9"/>
  <c r="P50" i="9"/>
  <c r="P74" i="9"/>
  <c r="Y22" i="9"/>
  <c r="P37" i="9"/>
  <c r="P54" i="9"/>
  <c r="P91" i="9"/>
  <c r="D15" i="9"/>
  <c r="C19" i="9" s="1"/>
  <c r="P93" i="9"/>
  <c r="P69" i="9"/>
  <c r="P101" i="9"/>
  <c r="P55" i="9"/>
  <c r="P68" i="9"/>
  <c r="P47" i="9"/>
  <c r="Y2" i="9"/>
  <c r="P53" i="9"/>
  <c r="P92" i="9"/>
  <c r="Y23" i="9"/>
  <c r="P40" i="9"/>
  <c r="P75" i="9"/>
  <c r="Y3" i="9"/>
  <c r="P57" i="9"/>
  <c r="P31" i="9"/>
  <c r="Y13" i="9"/>
  <c r="Y5" i="9"/>
  <c r="P56" i="9"/>
  <c r="P66" i="9"/>
  <c r="Y6" i="9"/>
  <c r="P41" i="9"/>
  <c r="P63" i="9"/>
  <c r="P79" i="9"/>
  <c r="P61" i="9"/>
  <c r="P94" i="9"/>
  <c r="Y11" i="9"/>
  <c r="P73" i="9"/>
  <c r="P85" i="9"/>
  <c r="Y14" i="9"/>
  <c r="P84" i="9"/>
  <c r="P24" i="9"/>
  <c r="Y9" i="9"/>
  <c r="P30" i="9"/>
  <c r="P86" i="9"/>
  <c r="P96" i="9"/>
  <c r="P28" i="9"/>
  <c r="Y4" i="9"/>
  <c r="P51" i="9"/>
  <c r="P22" i="9"/>
  <c r="Y15" i="9"/>
  <c r="P60" i="9"/>
  <c r="P34" i="9"/>
  <c r="P100" i="9"/>
  <c r="P29" i="9"/>
  <c r="P44" i="9"/>
  <c r="P82" i="9"/>
  <c r="P87" i="9"/>
  <c r="P78" i="9"/>
  <c r="P67" i="9"/>
  <c r="P35" i="9"/>
  <c r="P89" i="9"/>
  <c r="Y18" i="9"/>
  <c r="P38" i="9"/>
  <c r="P72" i="9"/>
  <c r="P80" i="9"/>
  <c r="P32" i="9"/>
  <c r="P45" i="9"/>
  <c r="P58" i="9"/>
  <c r="P77" i="9"/>
  <c r="P97" i="9"/>
  <c r="Y20" i="9"/>
  <c r="P76" i="9"/>
  <c r="Y12" i="9"/>
  <c r="P42" i="9"/>
  <c r="P62" i="9"/>
  <c r="P88" i="9"/>
  <c r="P33" i="9"/>
  <c r="P48" i="9"/>
  <c r="P71" i="9"/>
  <c r="G33" i="8"/>
  <c r="K33" i="8"/>
  <c r="L33" i="8"/>
  <c r="V153" i="4"/>
  <c r="V98" i="13"/>
  <c r="R98" i="13"/>
  <c r="T98" i="13" s="1"/>
  <c r="R49" i="9"/>
  <c r="T49" i="9" s="1"/>
  <c r="U49" i="9"/>
  <c r="R70" i="9"/>
  <c r="T70" i="9" s="1"/>
  <c r="U70" i="9"/>
  <c r="F29" i="7"/>
  <c r="G29" i="7" s="1"/>
  <c r="I29" i="7"/>
  <c r="R84" i="13"/>
  <c r="T84" i="13" s="1"/>
  <c r="V84" i="13"/>
  <c r="V173" i="4"/>
  <c r="V165" i="4"/>
  <c r="R165" i="4"/>
  <c r="T165" i="4" s="1"/>
  <c r="R149" i="13"/>
  <c r="T149" i="13" s="1"/>
  <c r="R151" i="13"/>
  <c r="T151" i="13" s="1"/>
  <c r="R83" i="9"/>
  <c r="T83" i="9" s="1"/>
  <c r="U83" i="9"/>
  <c r="F40" i="7"/>
  <c r="I40" i="7"/>
  <c r="J40" i="7" s="1"/>
  <c r="L23" i="8"/>
  <c r="G23" i="8"/>
  <c r="K23" i="8"/>
  <c r="U25" i="9"/>
  <c r="R25" i="9"/>
  <c r="T25" i="9" s="1"/>
  <c r="G44" i="5"/>
  <c r="H44" i="5"/>
  <c r="F24" i="5"/>
  <c r="I24" i="5"/>
  <c r="G28" i="8"/>
  <c r="K28" i="8"/>
  <c r="P32" i="6"/>
  <c r="R32" i="6" s="1"/>
  <c r="T32" i="6" s="1"/>
  <c r="L24" i="8"/>
  <c r="G48" i="5"/>
  <c r="F49" i="7"/>
  <c r="F45" i="7"/>
  <c r="R136" i="13"/>
  <c r="T136" i="13" s="1"/>
  <c r="I18" i="5"/>
  <c r="I18" i="8"/>
  <c r="C11" i="4"/>
  <c r="F18" i="7"/>
  <c r="L18" i="8"/>
  <c r="D18" i="8"/>
  <c r="H18" i="8"/>
  <c r="F18" i="8"/>
  <c r="C12" i="4"/>
  <c r="K18" i="8"/>
  <c r="F18" i="5"/>
  <c r="C18" i="8"/>
  <c r="I18" i="7"/>
  <c r="G18" i="8"/>
  <c r="J18" i="8"/>
  <c r="R179" i="4" l="1"/>
  <c r="T179" i="4" s="1"/>
  <c r="O266" i="4"/>
  <c r="V266" i="4"/>
  <c r="K266" i="4"/>
  <c r="R266" i="4"/>
  <c r="T266" i="4" s="1"/>
  <c r="V36" i="13"/>
  <c r="R36" i="13"/>
  <c r="T36" i="13" s="1"/>
  <c r="R174" i="4"/>
  <c r="T174" i="4" s="1"/>
  <c r="V174" i="4"/>
  <c r="R171" i="4"/>
  <c r="T171" i="4" s="1"/>
  <c r="G38" i="5"/>
  <c r="V155" i="4"/>
  <c r="R155" i="4"/>
  <c r="T155" i="4" s="1"/>
  <c r="V131" i="13"/>
  <c r="R131" i="13"/>
  <c r="T131" i="13" s="1"/>
  <c r="V104" i="13"/>
  <c r="R104" i="13"/>
  <c r="T104" i="13" s="1"/>
  <c r="R122" i="13"/>
  <c r="T122" i="13" s="1"/>
  <c r="V122" i="13"/>
  <c r="V82" i="13"/>
  <c r="R82" i="13"/>
  <c r="T82" i="13" s="1"/>
  <c r="R125" i="13"/>
  <c r="T125" i="13" s="1"/>
  <c r="V125" i="13"/>
  <c r="R180" i="4"/>
  <c r="T180" i="4" s="1"/>
  <c r="V180" i="4"/>
  <c r="R85" i="13"/>
  <c r="T85" i="13" s="1"/>
  <c r="V85" i="13"/>
  <c r="V90" i="13"/>
  <c r="R90" i="13"/>
  <c r="T90" i="13" s="1"/>
  <c r="R33" i="13"/>
  <c r="T33" i="13" s="1"/>
  <c r="V33" i="13"/>
  <c r="E14" i="6"/>
  <c r="R114" i="13"/>
  <c r="T114" i="13" s="1"/>
  <c r="R160" i="4"/>
  <c r="T160" i="4" s="1"/>
  <c r="V158" i="4"/>
  <c r="R36" i="4"/>
  <c r="T36" i="4" s="1"/>
  <c r="R146" i="13"/>
  <c r="T146" i="13" s="1"/>
  <c r="V146" i="13"/>
  <c r="R45" i="13"/>
  <c r="T45" i="13" s="1"/>
  <c r="V45" i="13"/>
  <c r="V163" i="4"/>
  <c r="R163" i="4"/>
  <c r="T163" i="4" s="1"/>
  <c r="R80" i="13"/>
  <c r="T80" i="13" s="1"/>
  <c r="V80" i="13"/>
  <c r="V113" i="13"/>
  <c r="R113" i="13"/>
  <c r="T113" i="13" s="1"/>
  <c r="R120" i="13"/>
  <c r="T120" i="13" s="1"/>
  <c r="V120" i="13"/>
  <c r="R37" i="13"/>
  <c r="T37" i="13" s="1"/>
  <c r="V37" i="13"/>
  <c r="R27" i="13"/>
  <c r="T27" i="13" s="1"/>
  <c r="V27" i="13"/>
  <c r="V254" i="4"/>
  <c r="G45" i="5"/>
  <c r="R46" i="13"/>
  <c r="T46" i="13" s="1"/>
  <c r="V46" i="13"/>
  <c r="V94" i="13"/>
  <c r="R94" i="13"/>
  <c r="T94" i="13" s="1"/>
  <c r="R123" i="13"/>
  <c r="T123" i="13" s="1"/>
  <c r="V123" i="13"/>
  <c r="R130" i="13"/>
  <c r="T130" i="13" s="1"/>
  <c r="V130" i="13"/>
  <c r="V145" i="13"/>
  <c r="R145" i="13"/>
  <c r="T145" i="13" s="1"/>
  <c r="V87" i="13"/>
  <c r="R87" i="13"/>
  <c r="T87" i="13" s="1"/>
  <c r="V150" i="13"/>
  <c r="R150" i="13"/>
  <c r="T150" i="13" s="1"/>
  <c r="R96" i="13"/>
  <c r="T96" i="13" s="1"/>
  <c r="V96" i="13"/>
  <c r="V112" i="13"/>
  <c r="R112" i="13"/>
  <c r="T112" i="13" s="1"/>
  <c r="R23" i="13"/>
  <c r="T23" i="13" s="1"/>
  <c r="V23" i="13"/>
  <c r="V89" i="13"/>
  <c r="R89" i="13"/>
  <c r="T89" i="13" s="1"/>
  <c r="R91" i="13"/>
  <c r="T91" i="13" s="1"/>
  <c r="V91" i="13"/>
  <c r="V133" i="13"/>
  <c r="R133" i="13"/>
  <c r="T133" i="13" s="1"/>
  <c r="V93" i="13"/>
  <c r="R93" i="13"/>
  <c r="T93" i="13" s="1"/>
  <c r="V197" i="4"/>
  <c r="R197" i="4"/>
  <c r="T197" i="4" s="1"/>
  <c r="R118" i="13"/>
  <c r="T118" i="13" s="1"/>
  <c r="V118" i="13"/>
  <c r="R121" i="13"/>
  <c r="T121" i="13" s="1"/>
  <c r="V121" i="13"/>
  <c r="V103" i="13"/>
  <c r="R103" i="13"/>
  <c r="T103" i="13" s="1"/>
  <c r="R117" i="13"/>
  <c r="T117" i="13" s="1"/>
  <c r="V117" i="13"/>
  <c r="V110" i="13"/>
  <c r="R110" i="13"/>
  <c r="T110" i="13" s="1"/>
  <c r="R41" i="13"/>
  <c r="T41" i="13" s="1"/>
  <c r="V41" i="13"/>
  <c r="V116" i="13"/>
  <c r="R116" i="13"/>
  <c r="T116" i="13" s="1"/>
  <c r="V38" i="13"/>
  <c r="R38" i="13"/>
  <c r="T38" i="13" s="1"/>
  <c r="R135" i="13"/>
  <c r="T135" i="13" s="1"/>
  <c r="V135" i="13"/>
  <c r="R81" i="13"/>
  <c r="T81" i="13" s="1"/>
  <c r="V81" i="13"/>
  <c r="V105" i="13"/>
  <c r="R105" i="13"/>
  <c r="T105" i="13" s="1"/>
  <c r="R127" i="13"/>
  <c r="T127" i="13" s="1"/>
  <c r="V127" i="13"/>
  <c r="V101" i="13"/>
  <c r="R101" i="13"/>
  <c r="T101" i="13" s="1"/>
  <c r="R144" i="13"/>
  <c r="T144" i="13" s="1"/>
  <c r="V144" i="13"/>
  <c r="V86" i="13"/>
  <c r="R86" i="13"/>
  <c r="T86" i="13" s="1"/>
  <c r="V111" i="13"/>
  <c r="R111" i="13"/>
  <c r="T111" i="13" s="1"/>
  <c r="H48" i="7"/>
  <c r="G48" i="7"/>
  <c r="G36" i="5"/>
  <c r="V74" i="13"/>
  <c r="R74" i="13"/>
  <c r="T74" i="13" s="1"/>
  <c r="V147" i="13"/>
  <c r="R147" i="13"/>
  <c r="T147" i="13" s="1"/>
  <c r="R108" i="13"/>
  <c r="T108" i="13" s="1"/>
  <c r="V108" i="13"/>
  <c r="V95" i="13"/>
  <c r="R95" i="13"/>
  <c r="T95" i="13" s="1"/>
  <c r="V126" i="13"/>
  <c r="R126" i="13"/>
  <c r="T126" i="13" s="1"/>
  <c r="R83" i="13"/>
  <c r="T83" i="13" s="1"/>
  <c r="V83" i="13"/>
  <c r="R102" i="13"/>
  <c r="T102" i="13" s="1"/>
  <c r="V102" i="13"/>
  <c r="V78" i="13"/>
  <c r="R78" i="13"/>
  <c r="T78" i="13" s="1"/>
  <c r="R28" i="13"/>
  <c r="T28" i="13" s="1"/>
  <c r="V28" i="13"/>
  <c r="R124" i="4"/>
  <c r="T124" i="4" s="1"/>
  <c r="R132" i="13"/>
  <c r="T132" i="13" s="1"/>
  <c r="V132" i="13"/>
  <c r="R138" i="13"/>
  <c r="T138" i="13" s="1"/>
  <c r="V138" i="13"/>
  <c r="R62" i="4"/>
  <c r="T62" i="4" s="1"/>
  <c r="V62" i="4"/>
  <c r="R47" i="13"/>
  <c r="T47" i="13" s="1"/>
  <c r="V47" i="13"/>
  <c r="R148" i="13"/>
  <c r="T148" i="13" s="1"/>
  <c r="V148" i="13"/>
  <c r="V107" i="13"/>
  <c r="R107" i="13"/>
  <c r="T107" i="13" s="1"/>
  <c r="V141" i="13"/>
  <c r="R141" i="13"/>
  <c r="T141" i="13" s="1"/>
  <c r="G39" i="7"/>
  <c r="R73" i="13"/>
  <c r="T73" i="13" s="1"/>
  <c r="V73" i="13"/>
  <c r="R27" i="4"/>
  <c r="T27" i="4" s="1"/>
  <c r="R25" i="4"/>
  <c r="T25" i="4" s="1"/>
  <c r="I25" i="4"/>
  <c r="J102" i="4"/>
  <c r="R102" i="4"/>
  <c r="T102" i="4" s="1"/>
  <c r="V48" i="4"/>
  <c r="K175" i="4"/>
  <c r="V175" i="4"/>
  <c r="R175" i="4"/>
  <c r="T175" i="4" s="1"/>
  <c r="R33" i="4"/>
  <c r="T33" i="4" s="1"/>
  <c r="I33" i="4"/>
  <c r="R260" i="4"/>
  <c r="T260" i="4" s="1"/>
  <c r="V193" i="4"/>
  <c r="K193" i="4"/>
  <c r="R193" i="4"/>
  <c r="T193" i="4" s="1"/>
  <c r="R144" i="4"/>
  <c r="T144" i="4" s="1"/>
  <c r="J144" i="4"/>
  <c r="V144" i="4"/>
  <c r="R157" i="4"/>
  <c r="T157" i="4" s="1"/>
  <c r="R214" i="4"/>
  <c r="T214" i="4" s="1"/>
  <c r="R48" i="4"/>
  <c r="T48" i="4" s="1"/>
  <c r="J48" i="4"/>
  <c r="V225" i="4"/>
  <c r="R208" i="4"/>
  <c r="T208" i="4" s="1"/>
  <c r="R244" i="4"/>
  <c r="T244" i="4" s="1"/>
  <c r="K188" i="4"/>
  <c r="R188" i="4"/>
  <c r="T188" i="4" s="1"/>
  <c r="V188" i="4"/>
  <c r="R122" i="4"/>
  <c r="T122" i="4" s="1"/>
  <c r="R44" i="4"/>
  <c r="T44" i="4" s="1"/>
  <c r="J44" i="4"/>
  <c r="V44" i="4"/>
  <c r="I195" i="4"/>
  <c r="R195" i="4"/>
  <c r="T195" i="4" s="1"/>
  <c r="R89" i="4"/>
  <c r="T89" i="4" s="1"/>
  <c r="R110" i="4"/>
  <c r="T110" i="4" s="1"/>
  <c r="V255" i="4"/>
  <c r="K169" i="4"/>
  <c r="R169" i="4"/>
  <c r="T169" i="4" s="1"/>
  <c r="V169" i="4"/>
  <c r="K246" i="4"/>
  <c r="V246" i="4"/>
  <c r="R204" i="4"/>
  <c r="T204" i="4" s="1"/>
  <c r="K204" i="4"/>
  <c r="R243" i="4"/>
  <c r="T243" i="4" s="1"/>
  <c r="R253" i="4"/>
  <c r="T253" i="4" s="1"/>
  <c r="R231" i="4"/>
  <c r="T231" i="4" s="1"/>
  <c r="R202" i="4"/>
  <c r="T202" i="4" s="1"/>
  <c r="K202" i="4"/>
  <c r="R190" i="4"/>
  <c r="T190" i="4" s="1"/>
  <c r="K190" i="4"/>
  <c r="J205" i="4"/>
  <c r="V205" i="4"/>
  <c r="R238" i="4"/>
  <c r="T238" i="4" s="1"/>
  <c r="R46" i="4"/>
  <c r="T46" i="4" s="1"/>
  <c r="I46" i="4"/>
  <c r="K229" i="4"/>
  <c r="V229" i="4"/>
  <c r="R173" i="4"/>
  <c r="T173" i="4" s="1"/>
  <c r="V253" i="4"/>
  <c r="R210" i="4"/>
  <c r="T210" i="4" s="1"/>
  <c r="V257" i="4"/>
  <c r="K221" i="4"/>
  <c r="R221" i="4"/>
  <c r="T221" i="4" s="1"/>
  <c r="R192" i="4"/>
  <c r="T192" i="4" s="1"/>
  <c r="J192" i="4"/>
  <c r="V192" i="4"/>
  <c r="V238" i="4"/>
  <c r="K238" i="4"/>
  <c r="O261" i="4"/>
  <c r="V261" i="4"/>
  <c r="K261" i="4"/>
  <c r="R261" i="4"/>
  <c r="T261" i="4" s="1"/>
  <c r="O3" i="8"/>
  <c r="O2" i="8"/>
  <c r="O1" i="8"/>
  <c r="R39" i="9"/>
  <c r="T39" i="9" s="1"/>
  <c r="R258" i="4"/>
  <c r="T258" i="4" s="1"/>
  <c r="U95" i="9"/>
  <c r="R95" i="9"/>
  <c r="T95" i="9" s="1"/>
  <c r="V126" i="4"/>
  <c r="R126" i="4"/>
  <c r="T126" i="4" s="1"/>
  <c r="R216" i="4"/>
  <c r="T216" i="4" s="1"/>
  <c r="V216" i="4"/>
  <c r="G38" i="7"/>
  <c r="R115" i="4"/>
  <c r="T115" i="4" s="1"/>
  <c r="V115" i="4"/>
  <c r="R132" i="4"/>
  <c r="T132" i="4" s="1"/>
  <c r="V132" i="4"/>
  <c r="R219" i="4"/>
  <c r="T219" i="4" s="1"/>
  <c r="V260" i="4"/>
  <c r="U26" i="9"/>
  <c r="R26" i="9"/>
  <c r="T26" i="9" s="1"/>
  <c r="V168" i="4"/>
  <c r="R168" i="4"/>
  <c r="T168" i="4" s="1"/>
  <c r="V166" i="4"/>
  <c r="R166" i="4"/>
  <c r="T166" i="4" s="1"/>
  <c r="G32" i="5"/>
  <c r="R27" i="9"/>
  <c r="T27" i="9" s="1"/>
  <c r="U27" i="9"/>
  <c r="U65" i="9"/>
  <c r="R65" i="9"/>
  <c r="T65" i="9" s="1"/>
  <c r="R46" i="9"/>
  <c r="T46" i="9" s="1"/>
  <c r="U46" i="9"/>
  <c r="V142" i="4"/>
  <c r="R142" i="4"/>
  <c r="T142" i="4" s="1"/>
  <c r="U103" i="9"/>
  <c r="R103" i="9"/>
  <c r="T103" i="9" s="1"/>
  <c r="P170" i="4"/>
  <c r="G170" i="4"/>
  <c r="P38" i="4"/>
  <c r="G38" i="4"/>
  <c r="P24" i="4"/>
  <c r="G24" i="4"/>
  <c r="V230" i="4"/>
  <c r="J207" i="4"/>
  <c r="R207" i="4"/>
  <c r="T207" i="4" s="1"/>
  <c r="V207" i="4"/>
  <c r="R249" i="4"/>
  <c r="T249" i="4" s="1"/>
  <c r="K249" i="4"/>
  <c r="V249" i="4"/>
  <c r="R239" i="4"/>
  <c r="T239" i="4" s="1"/>
  <c r="V239" i="4"/>
  <c r="K239" i="4"/>
  <c r="P114" i="4"/>
  <c r="G114" i="4"/>
  <c r="J137" i="4"/>
  <c r="V137" i="4"/>
  <c r="R137" i="4"/>
  <c r="T137" i="4" s="1"/>
  <c r="R60" i="4"/>
  <c r="T60" i="4" s="1"/>
  <c r="J60" i="4"/>
  <c r="P151" i="4"/>
  <c r="G151" i="4"/>
  <c r="V70" i="4"/>
  <c r="R70" i="4"/>
  <c r="T70" i="4" s="1"/>
  <c r="J70" i="4"/>
  <c r="R90" i="4"/>
  <c r="T90" i="4" s="1"/>
  <c r="J90" i="4"/>
  <c r="K140" i="4"/>
  <c r="V140" i="4"/>
  <c r="R140" i="4"/>
  <c r="T140" i="4" s="1"/>
  <c r="R149" i="4"/>
  <c r="T149" i="4" s="1"/>
  <c r="K149" i="4"/>
  <c r="V149" i="4"/>
  <c r="R50" i="4"/>
  <c r="T50" i="4" s="1"/>
  <c r="J50" i="4"/>
  <c r="V50" i="4"/>
  <c r="U88" i="4"/>
  <c r="P88" i="4"/>
  <c r="R236" i="4"/>
  <c r="T236" i="4" s="1"/>
  <c r="K236" i="4"/>
  <c r="V236" i="4"/>
  <c r="R111" i="4"/>
  <c r="T111" i="4" s="1"/>
  <c r="J111" i="4"/>
  <c r="R91" i="4"/>
  <c r="T91" i="4" s="1"/>
  <c r="J91" i="4"/>
  <c r="V154" i="4"/>
  <c r="R154" i="4"/>
  <c r="T154" i="4" s="1"/>
  <c r="J154" i="4"/>
  <c r="R220" i="4"/>
  <c r="T220" i="4" s="1"/>
  <c r="K220" i="4"/>
  <c r="R233" i="4"/>
  <c r="T233" i="4" s="1"/>
  <c r="K233" i="4"/>
  <c r="V233" i="4"/>
  <c r="P178" i="4"/>
  <c r="G178" i="4"/>
  <c r="U77" i="4"/>
  <c r="P77" i="4"/>
  <c r="G145" i="4"/>
  <c r="P145" i="4"/>
  <c r="P112" i="4"/>
  <c r="G112" i="4"/>
  <c r="J71" i="4"/>
  <c r="R71" i="4"/>
  <c r="T71" i="4" s="1"/>
  <c r="K182" i="4"/>
  <c r="R182" i="4"/>
  <c r="T182" i="4" s="1"/>
  <c r="P131" i="4"/>
  <c r="G131" i="4"/>
  <c r="K184" i="4"/>
  <c r="R184" i="4"/>
  <c r="T184" i="4" s="1"/>
  <c r="R34" i="4"/>
  <c r="T34" i="4" s="1"/>
  <c r="I34" i="4"/>
  <c r="V156" i="4"/>
  <c r="R156" i="4"/>
  <c r="T156" i="4" s="1"/>
  <c r="K156" i="4"/>
  <c r="J129" i="4"/>
  <c r="V129" i="4"/>
  <c r="R129" i="4"/>
  <c r="T129" i="4" s="1"/>
  <c r="P32" i="4"/>
  <c r="G32" i="4"/>
  <c r="R113" i="4"/>
  <c r="T113" i="4" s="1"/>
  <c r="J113" i="4"/>
  <c r="R265" i="4"/>
  <c r="T265" i="4" s="1"/>
  <c r="P162" i="4"/>
  <c r="G162" i="4"/>
  <c r="I23" i="4"/>
  <c r="R23" i="4"/>
  <c r="T23" i="4" s="1"/>
  <c r="R135" i="4"/>
  <c r="T135" i="4" s="1"/>
  <c r="K135" i="4"/>
  <c r="V135" i="4"/>
  <c r="J64" i="4"/>
  <c r="R64" i="4"/>
  <c r="T64" i="4" s="1"/>
  <c r="V36" i="4"/>
  <c r="J36" i="4"/>
  <c r="R63" i="4"/>
  <c r="T63" i="4" s="1"/>
  <c r="J63" i="4"/>
  <c r="J213" i="4"/>
  <c r="V213" i="4"/>
  <c r="R213" i="4"/>
  <c r="T213" i="4" s="1"/>
  <c r="R189" i="4"/>
  <c r="T189" i="4" s="1"/>
  <c r="K189" i="4"/>
  <c r="P148" i="4"/>
  <c r="G148" i="4"/>
  <c r="G21" i="4"/>
  <c r="P21" i="4"/>
  <c r="D16" i="4"/>
  <c r="D19" i="4" s="1"/>
  <c r="R104" i="4"/>
  <c r="T104" i="4" s="1"/>
  <c r="J104" i="4"/>
  <c r="R187" i="4"/>
  <c r="T187" i="4" s="1"/>
  <c r="K187" i="4"/>
  <c r="D15" i="4"/>
  <c r="C19" i="4" s="1"/>
  <c r="R59" i="4"/>
  <c r="T59" i="4" s="1"/>
  <c r="V59" i="4"/>
  <c r="K230" i="4"/>
  <c r="R230" i="4"/>
  <c r="T230" i="4" s="1"/>
  <c r="K218" i="4"/>
  <c r="R218" i="4"/>
  <c r="T218" i="4" s="1"/>
  <c r="O263" i="4"/>
  <c r="O264" i="4"/>
  <c r="O258" i="4"/>
  <c r="O265" i="4"/>
  <c r="O260" i="4"/>
  <c r="O220" i="4"/>
  <c r="O214" i="4"/>
  <c r="O234" i="4"/>
  <c r="O195" i="4"/>
  <c r="O249" i="4"/>
  <c r="O168" i="4"/>
  <c r="O190" i="4"/>
  <c r="O187" i="4"/>
  <c r="O210" i="4"/>
  <c r="O209" i="4"/>
  <c r="O183" i="4"/>
  <c r="O186" i="4"/>
  <c r="O170" i="4"/>
  <c r="O188" i="4"/>
  <c r="O240" i="4"/>
  <c r="O237" i="4"/>
  <c r="O253" i="4"/>
  <c r="O215" i="4"/>
  <c r="O201" i="4"/>
  <c r="O176" i="4"/>
  <c r="O200" i="4"/>
  <c r="O163" i="4"/>
  <c r="O254" i="4"/>
  <c r="O164" i="4"/>
  <c r="O248" i="4"/>
  <c r="O259" i="4"/>
  <c r="O213" i="4"/>
  <c r="O193" i="4"/>
  <c r="O203" i="4"/>
  <c r="O232" i="4"/>
  <c r="O217" i="4"/>
  <c r="O257" i="4"/>
  <c r="O211" i="4"/>
  <c r="O243" i="4"/>
  <c r="O178" i="4"/>
  <c r="O184" i="4"/>
  <c r="O185" i="4"/>
  <c r="O245" i="4"/>
  <c r="O216" i="4"/>
  <c r="O222" i="4"/>
  <c r="O162" i="4"/>
  <c r="O206" i="4"/>
  <c r="O199" i="4"/>
  <c r="O226" i="4"/>
  <c r="O202" i="4"/>
  <c r="O228" i="4"/>
  <c r="O227" i="4"/>
  <c r="O223" i="4"/>
  <c r="O177" i="4"/>
  <c r="O221" i="4"/>
  <c r="O218" i="4"/>
  <c r="O256" i="4"/>
  <c r="O212" i="4"/>
  <c r="O198" i="4"/>
  <c r="O189" i="4"/>
  <c r="O255" i="4"/>
  <c r="O230" i="4"/>
  <c r="O231" i="4"/>
  <c r="O233" i="4"/>
  <c r="O171" i="4"/>
  <c r="O238" i="4"/>
  <c r="O181" i="4"/>
  <c r="O172" i="4"/>
  <c r="O174" i="4"/>
  <c r="O225" i="4"/>
  <c r="O224" i="4"/>
  <c r="O244" i="4"/>
  <c r="O179" i="4"/>
  <c r="O219" i="4"/>
  <c r="O229" i="4"/>
  <c r="O247" i="4"/>
  <c r="O165" i="4"/>
  <c r="O251" i="4"/>
  <c r="O194" i="4"/>
  <c r="O173" i="4"/>
  <c r="O191" i="4"/>
  <c r="O182" i="4"/>
  <c r="O180" i="4"/>
  <c r="O196" i="4"/>
  <c r="O169" i="4"/>
  <c r="O192" i="4"/>
  <c r="O250" i="4"/>
  <c r="O242" i="4"/>
  <c r="O166" i="4"/>
  <c r="O208" i="4"/>
  <c r="O246" i="4"/>
  <c r="C15" i="4"/>
  <c r="C18" i="4" s="1"/>
  <c r="O239" i="4"/>
  <c r="O252" i="4"/>
  <c r="O207" i="4"/>
  <c r="O175" i="4"/>
  <c r="O205" i="4"/>
  <c r="O236" i="4"/>
  <c r="O235" i="4"/>
  <c r="O204" i="4"/>
  <c r="O241" i="4"/>
  <c r="O197" i="4"/>
  <c r="O167" i="4"/>
  <c r="O262" i="4"/>
  <c r="C16" i="4"/>
  <c r="D18" i="4" s="1"/>
  <c r="R264" i="4"/>
  <c r="T264" i="4" s="1"/>
  <c r="K263" i="4"/>
  <c r="R263" i="4"/>
  <c r="T263" i="4" s="1"/>
  <c r="V263" i="4"/>
  <c r="M6" i="5"/>
  <c r="O6" i="8"/>
  <c r="O4" i="8"/>
  <c r="O5" i="8"/>
  <c r="M6" i="7"/>
  <c r="G45" i="7"/>
  <c r="H45" i="7"/>
  <c r="H24" i="5"/>
  <c r="G24" i="5"/>
  <c r="R71" i="9"/>
  <c r="T71" i="9" s="1"/>
  <c r="U71" i="9"/>
  <c r="U38" i="9"/>
  <c r="R38" i="9"/>
  <c r="T38" i="9" s="1"/>
  <c r="U44" i="9"/>
  <c r="R44" i="9"/>
  <c r="T44" i="9" s="1"/>
  <c r="U41" i="9"/>
  <c r="R41" i="9"/>
  <c r="T41" i="9" s="1"/>
  <c r="R68" i="9"/>
  <c r="T68" i="9" s="1"/>
  <c r="U68" i="9"/>
  <c r="U37" i="9"/>
  <c r="R37" i="9"/>
  <c r="T37" i="9" s="1"/>
  <c r="R98" i="9"/>
  <c r="T98" i="9" s="1"/>
  <c r="U98" i="9"/>
  <c r="C18" i="10"/>
  <c r="F18" i="10"/>
  <c r="F19" i="10" s="1"/>
  <c r="G49" i="7"/>
  <c r="H49" i="7"/>
  <c r="R48" i="9"/>
  <c r="T48" i="9" s="1"/>
  <c r="U48" i="9"/>
  <c r="R97" i="9"/>
  <c r="T97" i="9" s="1"/>
  <c r="U97" i="9"/>
  <c r="R29" i="9"/>
  <c r="T29" i="9" s="1"/>
  <c r="U29" i="9"/>
  <c r="U28" i="9"/>
  <c r="R28" i="9"/>
  <c r="T28" i="9" s="1"/>
  <c r="U85" i="9"/>
  <c r="R85" i="9"/>
  <c r="T85" i="9" s="1"/>
  <c r="U75" i="9"/>
  <c r="R75" i="9"/>
  <c r="T75" i="9" s="1"/>
  <c r="U55" i="9"/>
  <c r="R55" i="9"/>
  <c r="T55" i="9" s="1"/>
  <c r="R81" i="9"/>
  <c r="T81" i="9" s="1"/>
  <c r="U81" i="9"/>
  <c r="R33" i="9"/>
  <c r="T33" i="9" s="1"/>
  <c r="U33" i="9"/>
  <c r="U77" i="9"/>
  <c r="R77" i="9"/>
  <c r="T77" i="9" s="1"/>
  <c r="U89" i="9"/>
  <c r="R89" i="9"/>
  <c r="T89" i="9" s="1"/>
  <c r="R100" i="9"/>
  <c r="T100" i="9" s="1"/>
  <c r="U100" i="9"/>
  <c r="R96" i="9"/>
  <c r="T96" i="9" s="1"/>
  <c r="U96" i="9"/>
  <c r="R73" i="9"/>
  <c r="T73" i="9" s="1"/>
  <c r="U73" i="9"/>
  <c r="R66" i="9"/>
  <c r="T66" i="9" s="1"/>
  <c r="U66" i="9"/>
  <c r="U40" i="9"/>
  <c r="R40" i="9"/>
  <c r="T40" i="9" s="1"/>
  <c r="U101" i="9"/>
  <c r="R101" i="9"/>
  <c r="T101" i="9" s="1"/>
  <c r="R74" i="9"/>
  <c r="T74" i="9" s="1"/>
  <c r="U74" i="9"/>
  <c r="C18" i="9"/>
  <c r="F18" i="9"/>
  <c r="F19" i="9" s="1"/>
  <c r="J29" i="7"/>
  <c r="U88" i="9"/>
  <c r="R88" i="9"/>
  <c r="T88" i="9" s="1"/>
  <c r="U58" i="9"/>
  <c r="R58" i="9"/>
  <c r="T58" i="9" s="1"/>
  <c r="R35" i="9"/>
  <c r="T35" i="9" s="1"/>
  <c r="U35" i="9"/>
  <c r="R34" i="9"/>
  <c r="T34" i="9" s="1"/>
  <c r="U34" i="9"/>
  <c r="R86" i="9"/>
  <c r="T86" i="9" s="1"/>
  <c r="U86" i="9"/>
  <c r="U56" i="9"/>
  <c r="R56" i="9"/>
  <c r="T56" i="9" s="1"/>
  <c r="R69" i="9"/>
  <c r="T69" i="9" s="1"/>
  <c r="U69" i="9"/>
  <c r="R50" i="9"/>
  <c r="T50" i="9" s="1"/>
  <c r="U50" i="9"/>
  <c r="R59" i="9"/>
  <c r="T59" i="9" s="1"/>
  <c r="U59" i="9"/>
  <c r="R62" i="9"/>
  <c r="T62" i="9" s="1"/>
  <c r="U62" i="9"/>
  <c r="R45" i="9"/>
  <c r="T45" i="9" s="1"/>
  <c r="U45" i="9"/>
  <c r="U67" i="9"/>
  <c r="R67" i="9"/>
  <c r="T67" i="9" s="1"/>
  <c r="R60" i="9"/>
  <c r="T60" i="9" s="1"/>
  <c r="U60" i="9"/>
  <c r="U30" i="9"/>
  <c r="R30" i="9"/>
  <c r="T30" i="9" s="1"/>
  <c r="R94" i="9"/>
  <c r="T94" i="9" s="1"/>
  <c r="U94" i="9"/>
  <c r="U92" i="9"/>
  <c r="R92" i="9"/>
  <c r="T92" i="9" s="1"/>
  <c r="U93" i="9"/>
  <c r="R93" i="9"/>
  <c r="T93" i="9" s="1"/>
  <c r="U90" i="9"/>
  <c r="R90" i="9"/>
  <c r="T90" i="9" s="1"/>
  <c r="F18" i="13"/>
  <c r="F19" i="13" s="1"/>
  <c r="C18" i="13"/>
  <c r="G40" i="7"/>
  <c r="H40" i="7"/>
  <c r="H29" i="7"/>
  <c r="R42" i="9"/>
  <c r="T42" i="9" s="1"/>
  <c r="U42" i="9"/>
  <c r="R32" i="9"/>
  <c r="T32" i="9" s="1"/>
  <c r="U32" i="9"/>
  <c r="U78" i="9"/>
  <c r="R78" i="9"/>
  <c r="T78" i="9" s="1"/>
  <c r="U61" i="9"/>
  <c r="R61" i="9"/>
  <c r="T61" i="9" s="1"/>
  <c r="R53" i="9"/>
  <c r="T53" i="9" s="1"/>
  <c r="U53" i="9"/>
  <c r="R52" i="9"/>
  <c r="T52" i="9" s="1"/>
  <c r="U52" i="9"/>
  <c r="U80" i="9"/>
  <c r="R80" i="9"/>
  <c r="T80" i="9" s="1"/>
  <c r="R87" i="9"/>
  <c r="T87" i="9" s="1"/>
  <c r="U87" i="9"/>
  <c r="U22" i="9"/>
  <c r="R22" i="9"/>
  <c r="T22" i="9" s="1"/>
  <c r="R24" i="9"/>
  <c r="T24" i="9" s="1"/>
  <c r="U24" i="9"/>
  <c r="U79" i="9"/>
  <c r="R79" i="9"/>
  <c r="T79" i="9" s="1"/>
  <c r="R31" i="9"/>
  <c r="T31" i="9" s="1"/>
  <c r="U31" i="9"/>
  <c r="R91" i="9"/>
  <c r="T91" i="9" s="1"/>
  <c r="U91" i="9"/>
  <c r="J24" i="5"/>
  <c r="U76" i="9"/>
  <c r="R76" i="9"/>
  <c r="T76" i="9" s="1"/>
  <c r="U72" i="9"/>
  <c r="R72" i="9"/>
  <c r="T72" i="9" s="1"/>
  <c r="R82" i="9"/>
  <c r="T82" i="9" s="1"/>
  <c r="U82" i="9"/>
  <c r="R51" i="9"/>
  <c r="T51" i="9" s="1"/>
  <c r="U51" i="9"/>
  <c r="U84" i="9"/>
  <c r="R84" i="9"/>
  <c r="T84" i="9" s="1"/>
  <c r="R63" i="9"/>
  <c r="T63" i="9" s="1"/>
  <c r="U63" i="9"/>
  <c r="R57" i="9"/>
  <c r="T57" i="9" s="1"/>
  <c r="U57" i="9"/>
  <c r="R47" i="9"/>
  <c r="T47" i="9" s="1"/>
  <c r="U47" i="9"/>
  <c r="U54" i="9"/>
  <c r="R54" i="9"/>
  <c r="T54" i="9" s="1"/>
  <c r="R99" i="9"/>
  <c r="T99" i="9" s="1"/>
  <c r="U99" i="9"/>
  <c r="H18" i="5"/>
  <c r="H18" i="7"/>
  <c r="G18" i="5"/>
  <c r="J18" i="7"/>
  <c r="G18" i="7"/>
  <c r="J18" i="5"/>
  <c r="E14" i="13" l="1"/>
  <c r="O127" i="8"/>
  <c r="Q32" i="8"/>
  <c r="O143" i="8"/>
  <c r="Q145" i="8"/>
  <c r="O133" i="8"/>
  <c r="O25" i="8"/>
  <c r="O164" i="8"/>
  <c r="O156" i="8"/>
  <c r="O54" i="8"/>
  <c r="O158" i="8"/>
  <c r="O78" i="8"/>
  <c r="O101" i="8"/>
  <c r="O21" i="8"/>
  <c r="O51" i="8"/>
  <c r="O72" i="8"/>
  <c r="O76" i="8"/>
  <c r="O68" i="8"/>
  <c r="O97" i="8"/>
  <c r="O160" i="8"/>
  <c r="O154" i="8"/>
  <c r="O48" i="8"/>
  <c r="Q162" i="8"/>
  <c r="O102" i="8"/>
  <c r="O36" i="8"/>
  <c r="O105" i="8"/>
  <c r="O32" i="8"/>
  <c r="O119" i="8"/>
  <c r="O106" i="8"/>
  <c r="O130" i="8"/>
  <c r="O145" i="8"/>
  <c r="O107" i="8"/>
  <c r="O60" i="8"/>
  <c r="O42" i="8"/>
  <c r="O142" i="8"/>
  <c r="O135" i="8"/>
  <c r="O134" i="8"/>
  <c r="O83" i="8"/>
  <c r="O53" i="8"/>
  <c r="O92" i="8"/>
  <c r="O52" i="8"/>
  <c r="O24" i="8"/>
  <c r="O89" i="8"/>
  <c r="O34" i="8"/>
  <c r="O111" i="8"/>
  <c r="Q103" i="8"/>
  <c r="O163" i="8"/>
  <c r="O162" i="8"/>
  <c r="O23" i="8"/>
  <c r="O104" i="8"/>
  <c r="O26" i="8"/>
  <c r="O99" i="8"/>
  <c r="Q101" i="8"/>
  <c r="O170" i="8"/>
  <c r="O151" i="8"/>
  <c r="O29" i="8"/>
  <c r="O109" i="8"/>
  <c r="O116" i="8"/>
  <c r="O69" i="8"/>
  <c r="O88" i="8"/>
  <c r="O56" i="8"/>
  <c r="O121" i="8"/>
  <c r="O108" i="8"/>
  <c r="O7" i="8"/>
  <c r="E4" i="8" s="1"/>
  <c r="O132" i="8"/>
  <c r="O84" i="8"/>
  <c r="Q46" i="8"/>
  <c r="O152" i="8"/>
  <c r="O131" i="8"/>
  <c r="O64" i="8"/>
  <c r="O82" i="8"/>
  <c r="O96" i="8"/>
  <c r="O173" i="8"/>
  <c r="O146" i="8"/>
  <c r="O33" i="8"/>
  <c r="O157" i="8"/>
  <c r="O74" i="8"/>
  <c r="O58" i="8"/>
  <c r="O155" i="8"/>
  <c r="O93" i="8"/>
  <c r="O148" i="8"/>
  <c r="O153" i="8"/>
  <c r="O57" i="8"/>
  <c r="O59" i="8"/>
  <c r="O171" i="8"/>
  <c r="O79" i="8"/>
  <c r="O115" i="8"/>
  <c r="Q156" i="8"/>
  <c r="O165" i="8"/>
  <c r="O63" i="8"/>
  <c r="O37" i="8"/>
  <c r="O100" i="8"/>
  <c r="Q70" i="8"/>
  <c r="Q116" i="8"/>
  <c r="Q59" i="8"/>
  <c r="Q54" i="8"/>
  <c r="Q69" i="8"/>
  <c r="O125" i="8"/>
  <c r="O112" i="8"/>
  <c r="O70" i="8"/>
  <c r="O73" i="8"/>
  <c r="O31" i="8"/>
  <c r="O85" i="8"/>
  <c r="O71" i="8"/>
  <c r="O114" i="8"/>
  <c r="O159" i="8"/>
  <c r="O124" i="8"/>
  <c r="O161" i="8"/>
  <c r="O91" i="8"/>
  <c r="O49" i="8"/>
  <c r="O47" i="8"/>
  <c r="O110" i="8"/>
  <c r="O87" i="8"/>
  <c r="O140" i="8"/>
  <c r="O40" i="8"/>
  <c r="O39" i="8"/>
  <c r="O144" i="8"/>
  <c r="Q99" i="8"/>
  <c r="O61" i="8"/>
  <c r="O22" i="8"/>
  <c r="O118" i="8"/>
  <c r="O81" i="8"/>
  <c r="O123" i="8"/>
  <c r="Q122" i="8"/>
  <c r="Q95" i="8"/>
  <c r="O67" i="8"/>
  <c r="O172" i="8"/>
  <c r="O168" i="8"/>
  <c r="O65" i="8"/>
  <c r="O35" i="8"/>
  <c r="O149" i="8"/>
  <c r="O137" i="8"/>
  <c r="O75" i="8"/>
  <c r="O94" i="8"/>
  <c r="O167" i="8"/>
  <c r="O113" i="8"/>
  <c r="O138" i="8"/>
  <c r="O45" i="8"/>
  <c r="O141" i="8"/>
  <c r="O43" i="8"/>
  <c r="O46" i="8"/>
  <c r="O55" i="8"/>
  <c r="O86" i="8"/>
  <c r="Q131" i="8"/>
  <c r="O62" i="8"/>
  <c r="O28" i="8"/>
  <c r="O139" i="8"/>
  <c r="O120" i="8"/>
  <c r="O169" i="8"/>
  <c r="Q66" i="8"/>
  <c r="Q133" i="8"/>
  <c r="O41" i="8"/>
  <c r="O77" i="8"/>
  <c r="O66" i="8"/>
  <c r="O30" i="8"/>
  <c r="O95" i="8"/>
  <c r="O80" i="8"/>
  <c r="O129" i="8"/>
  <c r="O27" i="8"/>
  <c r="O136" i="8"/>
  <c r="O50" i="8"/>
  <c r="O166" i="8"/>
  <c r="O90" i="8"/>
  <c r="O126" i="8"/>
  <c r="O128" i="8"/>
  <c r="O103" i="8"/>
  <c r="O98" i="8"/>
  <c r="O150" i="8"/>
  <c r="O38" i="8"/>
  <c r="Q163" i="8"/>
  <c r="Q170" i="8"/>
  <c r="Q96" i="8"/>
  <c r="Q128" i="8"/>
  <c r="Q39" i="8"/>
  <c r="Q80" i="8"/>
  <c r="P135" i="8"/>
  <c r="Q137" i="8"/>
  <c r="Q118" i="8"/>
  <c r="Q42" i="8"/>
  <c r="Q157" i="8"/>
  <c r="Q150" i="8"/>
  <c r="Q114" i="8"/>
  <c r="Q76" i="8"/>
  <c r="Q105" i="8"/>
  <c r="Q104" i="8"/>
  <c r="O122" i="8"/>
  <c r="Q161" i="8"/>
  <c r="Q88" i="8"/>
  <c r="Q90" i="8"/>
  <c r="Q83" i="8"/>
  <c r="O147" i="8"/>
  <c r="O117" i="8"/>
  <c r="O44" i="8"/>
  <c r="Q57" i="8"/>
  <c r="Q35" i="8"/>
  <c r="Q41" i="8"/>
  <c r="Q98" i="8"/>
  <c r="Q141" i="8"/>
  <c r="Q55" i="8"/>
  <c r="P125" i="8"/>
  <c r="Q81" i="8"/>
  <c r="Q36" i="8"/>
  <c r="Q38" i="8"/>
  <c r="Q49" i="8"/>
  <c r="Q62" i="8"/>
  <c r="Q29" i="8"/>
  <c r="Q25" i="8"/>
  <c r="Q51" i="8"/>
  <c r="Q120" i="8"/>
  <c r="Q47" i="8"/>
  <c r="Q48" i="8"/>
  <c r="Q135" i="8"/>
  <c r="Q117" i="8"/>
  <c r="Q144" i="8"/>
  <c r="Q24" i="8"/>
  <c r="P120" i="8"/>
  <c r="P45" i="8"/>
  <c r="P57" i="8"/>
  <c r="Q167" i="8"/>
  <c r="Q134" i="8"/>
  <c r="Q113" i="8"/>
  <c r="Q93" i="8"/>
  <c r="Q82" i="8"/>
  <c r="Q75" i="8"/>
  <c r="Q130" i="8"/>
  <c r="Q64" i="8"/>
  <c r="Q84" i="8"/>
  <c r="Q106" i="8"/>
  <c r="Q153" i="8"/>
  <c r="P75" i="8"/>
  <c r="Q159" i="8"/>
  <c r="Q97" i="8"/>
  <c r="Q63" i="8"/>
  <c r="Q121" i="8"/>
  <c r="Q78" i="8"/>
  <c r="Q147" i="8"/>
  <c r="P73" i="8"/>
  <c r="Q61" i="8"/>
  <c r="Q125" i="8"/>
  <c r="Q45" i="8"/>
  <c r="Q164" i="8"/>
  <c r="Q165" i="8"/>
  <c r="Q67" i="8"/>
  <c r="Q152" i="8"/>
  <c r="Q71" i="8"/>
  <c r="Q124" i="8"/>
  <c r="Q85" i="8"/>
  <c r="Q109" i="8"/>
  <c r="P40" i="8"/>
  <c r="P88" i="8"/>
  <c r="P65" i="8"/>
  <c r="P172" i="8"/>
  <c r="P67" i="8"/>
  <c r="P159" i="8"/>
  <c r="P154" i="8"/>
  <c r="P105" i="8"/>
  <c r="P149" i="8"/>
  <c r="P77" i="8"/>
  <c r="P155" i="8"/>
  <c r="P41" i="8"/>
  <c r="P54" i="8"/>
  <c r="P170" i="8"/>
  <c r="P168" i="8"/>
  <c r="P32" i="8"/>
  <c r="P48" i="8"/>
  <c r="P138" i="8"/>
  <c r="P121" i="8"/>
  <c r="P148" i="8"/>
  <c r="P28" i="8"/>
  <c r="P171" i="8"/>
  <c r="P131" i="8"/>
  <c r="P95" i="8"/>
  <c r="P99" i="8"/>
  <c r="P156" i="8"/>
  <c r="P106" i="8"/>
  <c r="P115" i="8"/>
  <c r="P140" i="8"/>
  <c r="P113" i="8"/>
  <c r="P55" i="8"/>
  <c r="P72" i="8"/>
  <c r="P62" i="8"/>
  <c r="P167" i="8"/>
  <c r="P30" i="8"/>
  <c r="P49" i="8"/>
  <c r="P91" i="8"/>
  <c r="P42" i="8"/>
  <c r="P35" i="8"/>
  <c r="P136" i="8"/>
  <c r="P63" i="8"/>
  <c r="P51" i="8"/>
  <c r="P161" i="8"/>
  <c r="P58" i="8"/>
  <c r="P101" i="8"/>
  <c r="P69" i="8"/>
  <c r="P23" i="8"/>
  <c r="P112" i="8"/>
  <c r="P153" i="8"/>
  <c r="P129" i="8"/>
  <c r="P52" i="8"/>
  <c r="P71" i="8"/>
  <c r="P158" i="8"/>
  <c r="P96" i="8"/>
  <c r="P145" i="8"/>
  <c r="P165" i="8"/>
  <c r="P50" i="8"/>
  <c r="P46" i="8"/>
  <c r="Q65" i="8"/>
  <c r="Q68" i="8"/>
  <c r="Q140" i="8"/>
  <c r="Q100" i="8"/>
  <c r="Q33" i="8"/>
  <c r="Q132" i="8"/>
  <c r="Q123" i="8"/>
  <c r="Q160" i="8"/>
  <c r="Q107" i="8"/>
  <c r="Q37" i="8"/>
  <c r="Q30" i="8"/>
  <c r="Q102" i="8"/>
  <c r="Q108" i="8"/>
  <c r="Q22" i="8"/>
  <c r="P133" i="8"/>
  <c r="P100" i="8"/>
  <c r="P81" i="8"/>
  <c r="P27" i="8"/>
  <c r="P37" i="8"/>
  <c r="P110" i="8"/>
  <c r="P144" i="8"/>
  <c r="P26" i="8"/>
  <c r="P44" i="8"/>
  <c r="P126" i="8"/>
  <c r="P38" i="8"/>
  <c r="P24" i="8"/>
  <c r="R112" i="4"/>
  <c r="T112" i="4" s="1"/>
  <c r="J112" i="4"/>
  <c r="R162" i="4"/>
  <c r="T162" i="4" s="1"/>
  <c r="J162" i="4"/>
  <c r="V162" i="4"/>
  <c r="F18" i="4"/>
  <c r="F19" i="4" s="1"/>
  <c r="R131" i="4"/>
  <c r="T131" i="4" s="1"/>
  <c r="K131" i="4"/>
  <c r="V131" i="4"/>
  <c r="R24" i="4"/>
  <c r="T24" i="4" s="1"/>
  <c r="I24" i="4"/>
  <c r="P74" i="8"/>
  <c r="P128" i="8"/>
  <c r="P25" i="8"/>
  <c r="P36" i="8"/>
  <c r="P59" i="8"/>
  <c r="P103" i="8"/>
  <c r="P53" i="8"/>
  <c r="P31" i="8"/>
  <c r="V145" i="4"/>
  <c r="J145" i="4"/>
  <c r="R145" i="4"/>
  <c r="T145" i="4" s="1"/>
  <c r="Q143" i="8"/>
  <c r="Q173" i="8"/>
  <c r="Q158" i="8"/>
  <c r="Q58" i="8"/>
  <c r="Q77" i="8"/>
  <c r="Q154" i="8"/>
  <c r="Q92" i="8"/>
  <c r="Q136" i="8"/>
  <c r="Q169" i="8"/>
  <c r="Q40" i="8"/>
  <c r="Q87" i="8"/>
  <c r="Q155" i="8"/>
  <c r="Q27" i="8"/>
  <c r="Q148" i="8"/>
  <c r="Q166" i="8"/>
  <c r="P157" i="8"/>
  <c r="P114" i="8"/>
  <c r="P86" i="8"/>
  <c r="P143" i="8"/>
  <c r="P118" i="8"/>
  <c r="P151" i="8"/>
  <c r="P78" i="8"/>
  <c r="P79" i="8"/>
  <c r="P119" i="8"/>
  <c r="P124" i="8"/>
  <c r="P152" i="8"/>
  <c r="P43" i="8"/>
  <c r="R38" i="4"/>
  <c r="T38" i="4" s="1"/>
  <c r="J38" i="4"/>
  <c r="V38" i="4"/>
  <c r="R21" i="4"/>
  <c r="T21" i="4" s="1"/>
  <c r="I21" i="4"/>
  <c r="R32" i="4"/>
  <c r="T32" i="4" s="1"/>
  <c r="I32" i="4"/>
  <c r="I178" i="4"/>
  <c r="R178" i="4"/>
  <c r="T178" i="4" s="1"/>
  <c r="J114" i="4"/>
  <c r="R114" i="4"/>
  <c r="T114" i="4" s="1"/>
  <c r="V114" i="4"/>
  <c r="R170" i="4"/>
  <c r="T170" i="4" s="1"/>
  <c r="J170" i="4"/>
  <c r="V170" i="4"/>
  <c r="K148" i="4"/>
  <c r="R148" i="4"/>
  <c r="T148" i="4" s="1"/>
  <c r="V148" i="4"/>
  <c r="R151" i="4"/>
  <c r="T151" i="4" s="1"/>
  <c r="K151" i="4"/>
  <c r="V151" i="4"/>
  <c r="Q126" i="8"/>
  <c r="Q172" i="8"/>
  <c r="Q94" i="8"/>
  <c r="Q79" i="8"/>
  <c r="Q111" i="8"/>
  <c r="Q127" i="8"/>
  <c r="Q139" i="8"/>
  <c r="Q151" i="8"/>
  <c r="Q168" i="8"/>
  <c r="Q56" i="8"/>
  <c r="Q34" i="8"/>
  <c r="Q21" i="8"/>
  <c r="Q138" i="8"/>
  <c r="Q52" i="8"/>
  <c r="Q129" i="8"/>
  <c r="Q146" i="8"/>
  <c r="Q86" i="8"/>
  <c r="Q53" i="8"/>
  <c r="Q119" i="8"/>
  <c r="P76" i="8"/>
  <c r="P92" i="8"/>
  <c r="P142" i="8"/>
  <c r="P141" i="8"/>
  <c r="P173" i="8"/>
  <c r="P169" i="8"/>
  <c r="P56" i="8"/>
  <c r="P150" i="8"/>
  <c r="P22" i="8"/>
  <c r="P70" i="8"/>
  <c r="P107" i="8"/>
  <c r="P137" i="8"/>
  <c r="P87" i="8"/>
  <c r="P163" i="8"/>
  <c r="P134" i="8"/>
  <c r="P84" i="8"/>
  <c r="Q26" i="8"/>
  <c r="Q43" i="8"/>
  <c r="Q60" i="8"/>
  <c r="Q72" i="8"/>
  <c r="Q149" i="8"/>
  <c r="Q110" i="8"/>
  <c r="Q171" i="8"/>
  <c r="Q73" i="8"/>
  <c r="Q112" i="8"/>
  <c r="Q31" i="8"/>
  <c r="Q28" i="8"/>
  <c r="Q50" i="8"/>
  <c r="Q115" i="8"/>
  <c r="Q23" i="8"/>
  <c r="Q44" i="8"/>
  <c r="Q89" i="8"/>
  <c r="Q91" i="8"/>
  <c r="Q74" i="8"/>
  <c r="Q142" i="8"/>
  <c r="P34" i="8"/>
  <c r="P33" i="8"/>
  <c r="P64" i="8"/>
  <c r="P89" i="8"/>
  <c r="P93" i="8"/>
  <c r="P117" i="8"/>
  <c r="P108" i="8"/>
  <c r="P85" i="8"/>
  <c r="P122" i="8"/>
  <c r="P111" i="8"/>
  <c r="P39" i="8"/>
  <c r="P21" i="8"/>
  <c r="P82" i="8"/>
  <c r="P47" i="8"/>
  <c r="P162" i="8"/>
  <c r="P123" i="8"/>
  <c r="P97" i="8"/>
  <c r="P61" i="8"/>
  <c r="P116" i="8"/>
  <c r="P139" i="8"/>
  <c r="P130" i="8"/>
  <c r="P104" i="8"/>
  <c r="P164" i="8"/>
  <c r="P80" i="8"/>
  <c r="P60" i="8"/>
  <c r="P166" i="8"/>
  <c r="P146" i="8"/>
  <c r="P102" i="8"/>
  <c r="P98" i="8"/>
  <c r="P94" i="8"/>
  <c r="P90" i="8"/>
  <c r="P83" i="8"/>
  <c r="P109" i="8"/>
  <c r="P127" i="8"/>
  <c r="P68" i="8"/>
  <c r="P147" i="8"/>
  <c r="P160" i="8"/>
  <c r="P29" i="8"/>
  <c r="P132" i="8"/>
  <c r="P66" i="8"/>
  <c r="M4" i="7"/>
  <c r="M2" i="7"/>
  <c r="M1" i="7"/>
  <c r="M5" i="5"/>
  <c r="M3" i="5"/>
  <c r="M4" i="5"/>
  <c r="M2" i="5"/>
  <c r="M1" i="5"/>
  <c r="M5" i="7"/>
  <c r="M3" i="7"/>
  <c r="E14" i="9"/>
  <c r="O18" i="8"/>
  <c r="Q18" i="8"/>
  <c r="P18" i="8"/>
  <c r="E5" i="8" l="1"/>
  <c r="E6" i="8"/>
  <c r="E9" i="8" s="1"/>
  <c r="E10" i="8" s="1"/>
  <c r="E14" i="4"/>
  <c r="V20" i="8"/>
  <c r="M121" i="8"/>
  <c r="N121" i="8" s="1"/>
  <c r="M77" i="5"/>
  <c r="M56" i="5"/>
  <c r="M86" i="5"/>
  <c r="M57" i="5"/>
  <c r="M110" i="5"/>
  <c r="M74" i="5"/>
  <c r="M117" i="5"/>
  <c r="M104" i="5"/>
  <c r="M123" i="5"/>
  <c r="M115" i="5"/>
  <c r="M79" i="5"/>
  <c r="M21" i="5"/>
  <c r="M49" i="5"/>
  <c r="M69" i="5"/>
  <c r="M31" i="5"/>
  <c r="M94" i="5"/>
  <c r="M60" i="5"/>
  <c r="M105" i="5"/>
  <c r="M121" i="5"/>
  <c r="M44" i="5"/>
  <c r="M108" i="5"/>
  <c r="M39" i="5"/>
  <c r="M51" i="5"/>
  <c r="M87" i="5"/>
  <c r="M37" i="5"/>
  <c r="M65" i="5"/>
  <c r="M73" i="5"/>
  <c r="M32" i="5"/>
  <c r="M98" i="5"/>
  <c r="M66" i="5"/>
  <c r="M113" i="5"/>
  <c r="M28" i="5"/>
  <c r="M54" i="5"/>
  <c r="M68" i="5"/>
  <c r="M47" i="5"/>
  <c r="M67" i="5"/>
  <c r="M95" i="5"/>
  <c r="M26" i="5"/>
  <c r="M7" i="5"/>
  <c r="E5" i="5" s="1"/>
  <c r="M42" i="5"/>
  <c r="M25" i="5"/>
  <c r="M24" i="5"/>
  <c r="M70" i="5"/>
  <c r="M33" i="5"/>
  <c r="M36" i="5"/>
  <c r="M27" i="5"/>
  <c r="M116" i="5"/>
  <c r="M59" i="5"/>
  <c r="M35" i="5"/>
  <c r="M111" i="5"/>
  <c r="M41" i="5"/>
  <c r="M114" i="5"/>
  <c r="M50" i="5"/>
  <c r="M109" i="5"/>
  <c r="M118" i="5"/>
  <c r="M55" i="5"/>
  <c r="M63" i="5"/>
  <c r="M52" i="5"/>
  <c r="M102" i="5"/>
  <c r="M120" i="5"/>
  <c r="M75" i="5"/>
  <c r="M90" i="5"/>
  <c r="M99" i="5"/>
  <c r="M64" i="5"/>
  <c r="M46" i="5"/>
  <c r="M62" i="5"/>
  <c r="M38" i="5"/>
  <c r="M43" i="5"/>
  <c r="M81" i="5"/>
  <c r="M100" i="5"/>
  <c r="M76" i="5"/>
  <c r="M88" i="5"/>
  <c r="M92" i="5"/>
  <c r="M91" i="5"/>
  <c r="M89" i="5"/>
  <c r="M30" i="5"/>
  <c r="M53" i="5"/>
  <c r="M34" i="5"/>
  <c r="M97" i="5"/>
  <c r="M119" i="5"/>
  <c r="M78" i="5"/>
  <c r="M80" i="5"/>
  <c r="M93" i="5"/>
  <c r="M23" i="5"/>
  <c r="M106" i="5"/>
  <c r="M29" i="5"/>
  <c r="M82" i="5"/>
  <c r="M96" i="5"/>
  <c r="M122" i="5"/>
  <c r="M101" i="5"/>
  <c r="M71" i="5"/>
  <c r="M84" i="5"/>
  <c r="M45" i="5"/>
  <c r="M103" i="5"/>
  <c r="M85" i="5"/>
  <c r="M48" i="5"/>
  <c r="M61" i="5"/>
  <c r="M58" i="5"/>
  <c r="M22" i="5"/>
  <c r="M83" i="5"/>
  <c r="M107" i="5"/>
  <c r="M40" i="5"/>
  <c r="M72" i="5"/>
  <c r="M112" i="5"/>
  <c r="N123" i="5"/>
  <c r="N107" i="5"/>
  <c r="N79" i="5"/>
  <c r="N75" i="5"/>
  <c r="N121" i="5"/>
  <c r="N43" i="5"/>
  <c r="N54" i="5"/>
  <c r="N122" i="5"/>
  <c r="N117" i="5"/>
  <c r="N99" i="5"/>
  <c r="N60" i="5"/>
  <c r="N120" i="5"/>
  <c r="N21" i="5"/>
  <c r="N23" i="5"/>
  <c r="N90" i="5"/>
  <c r="N77" i="5"/>
  <c r="N85" i="5"/>
  <c r="N103" i="5"/>
  <c r="N105" i="5"/>
  <c r="N78" i="5"/>
  <c r="N68" i="5"/>
  <c r="N62" i="5"/>
  <c r="N74" i="5"/>
  <c r="N87" i="5"/>
  <c r="N106" i="5"/>
  <c r="N66" i="5"/>
  <c r="N24" i="5"/>
  <c r="N48" i="5"/>
  <c r="N82" i="5"/>
  <c r="N98" i="5"/>
  <c r="N32" i="5"/>
  <c r="N28" i="5"/>
  <c r="N36" i="5"/>
  <c r="N93" i="5"/>
  <c r="N94" i="5"/>
  <c r="N113" i="5"/>
  <c r="N39" i="5"/>
  <c r="N44" i="5"/>
  <c r="N96" i="5"/>
  <c r="N22" i="5"/>
  <c r="N61" i="5"/>
  <c r="N34" i="5"/>
  <c r="N112" i="5"/>
  <c r="N49" i="5"/>
  <c r="N30" i="5"/>
  <c r="N42" i="5"/>
  <c r="N92" i="5"/>
  <c r="N73" i="5"/>
  <c r="N29" i="5"/>
  <c r="N51" i="5"/>
  <c r="N65" i="5"/>
  <c r="N95" i="5"/>
  <c r="N69" i="5"/>
  <c r="N26" i="5"/>
  <c r="N116" i="5"/>
  <c r="N33" i="5"/>
  <c r="N97" i="5"/>
  <c r="N100" i="5"/>
  <c r="N47" i="5"/>
  <c r="N115" i="5"/>
  <c r="N27" i="5"/>
  <c r="N76" i="5"/>
  <c r="N91" i="5"/>
  <c r="N55" i="5"/>
  <c r="N81" i="5"/>
  <c r="N72" i="5"/>
  <c r="N80" i="5"/>
  <c r="N40" i="5"/>
  <c r="N109" i="5"/>
  <c r="N104" i="5"/>
  <c r="N58" i="5"/>
  <c r="N25" i="5"/>
  <c r="N119" i="5"/>
  <c r="N101" i="5"/>
  <c r="N46" i="5"/>
  <c r="N37" i="5"/>
  <c r="N41" i="5"/>
  <c r="N111" i="5"/>
  <c r="N50" i="5"/>
  <c r="N108" i="5"/>
  <c r="N45" i="5"/>
  <c r="N64" i="5"/>
  <c r="N52" i="5"/>
  <c r="N84" i="5"/>
  <c r="N102" i="5"/>
  <c r="N86" i="5"/>
  <c r="N89" i="5"/>
  <c r="N70" i="5"/>
  <c r="N31" i="5"/>
  <c r="N53" i="5"/>
  <c r="N71" i="5"/>
  <c r="N118" i="5"/>
  <c r="N35" i="5"/>
  <c r="N88" i="5"/>
  <c r="N56" i="5"/>
  <c r="N63" i="5"/>
  <c r="N67" i="5"/>
  <c r="N59" i="5"/>
  <c r="N83" i="5"/>
  <c r="N114" i="5"/>
  <c r="N38" i="5"/>
  <c r="N110" i="5"/>
  <c r="N57" i="5"/>
  <c r="O77" i="5"/>
  <c r="O111" i="5"/>
  <c r="O89" i="5"/>
  <c r="O31" i="5"/>
  <c r="O68" i="5"/>
  <c r="O108" i="5"/>
  <c r="O95" i="5"/>
  <c r="O26" i="5"/>
  <c r="O87" i="5"/>
  <c r="O56" i="5"/>
  <c r="O57" i="5"/>
  <c r="O38" i="5"/>
  <c r="O75" i="5"/>
  <c r="O82" i="5"/>
  <c r="O105" i="5"/>
  <c r="O67" i="5"/>
  <c r="O78" i="5"/>
  <c r="O23" i="5"/>
  <c r="O66" i="5"/>
  <c r="O36" i="5"/>
  <c r="O113" i="5"/>
  <c r="O40" i="5"/>
  <c r="O32" i="5"/>
  <c r="O58" i="5"/>
  <c r="O79" i="5"/>
  <c r="O114" i="5"/>
  <c r="O116" i="5"/>
  <c r="O121" i="5"/>
  <c r="O24" i="5"/>
  <c r="O35" i="5"/>
  <c r="O39" i="5"/>
  <c r="O107" i="5"/>
  <c r="O83" i="5"/>
  <c r="O46" i="5"/>
  <c r="O69" i="5"/>
  <c r="O117" i="5"/>
  <c r="O65" i="5"/>
  <c r="O30" i="5"/>
  <c r="O21" i="5"/>
  <c r="O28" i="5"/>
  <c r="O112" i="5"/>
  <c r="O51" i="5"/>
  <c r="O70" i="5"/>
  <c r="O54" i="5"/>
  <c r="O27" i="5"/>
  <c r="O86" i="5"/>
  <c r="O118" i="5"/>
  <c r="O71" i="5"/>
  <c r="O93" i="5"/>
  <c r="O49" i="5"/>
  <c r="O123" i="5"/>
  <c r="O120" i="5"/>
  <c r="O44" i="5"/>
  <c r="O94" i="5"/>
  <c r="O88" i="5"/>
  <c r="O50" i="5"/>
  <c r="O99" i="5"/>
  <c r="O61" i="5"/>
  <c r="O63" i="5"/>
  <c r="O25" i="5"/>
  <c r="O55" i="5"/>
  <c r="O72" i="5"/>
  <c r="O64" i="5"/>
  <c r="O119" i="5"/>
  <c r="O60" i="5"/>
  <c r="O92" i="5"/>
  <c r="O62" i="5"/>
  <c r="O97" i="5"/>
  <c r="O103" i="5"/>
  <c r="O41" i="5"/>
  <c r="O43" i="5"/>
  <c r="O52" i="5"/>
  <c r="O115" i="5"/>
  <c r="O110" i="5"/>
  <c r="O48" i="5"/>
  <c r="O37" i="5"/>
  <c r="O45" i="5"/>
  <c r="O91" i="5"/>
  <c r="O33" i="5"/>
  <c r="O53" i="5"/>
  <c r="O90" i="5"/>
  <c r="O101" i="5"/>
  <c r="O76" i="5"/>
  <c r="O29" i="5"/>
  <c r="O85" i="5"/>
  <c r="O22" i="5"/>
  <c r="O102" i="5"/>
  <c r="O81" i="5"/>
  <c r="O104" i="5"/>
  <c r="O42" i="5"/>
  <c r="O122" i="5"/>
  <c r="O109" i="5"/>
  <c r="O73" i="5"/>
  <c r="O98" i="5"/>
  <c r="O34" i="5"/>
  <c r="O96" i="5"/>
  <c r="O59" i="5"/>
  <c r="O106" i="5"/>
  <c r="O100" i="5"/>
  <c r="O74" i="5"/>
  <c r="O80" i="5"/>
  <c r="O47" i="5"/>
  <c r="O84" i="5"/>
  <c r="M43" i="7"/>
  <c r="M30" i="7"/>
  <c r="M46" i="7"/>
  <c r="M92" i="7"/>
  <c r="M40" i="7"/>
  <c r="M80" i="7"/>
  <c r="M103" i="7"/>
  <c r="M116" i="7"/>
  <c r="M67" i="7"/>
  <c r="M89" i="7"/>
  <c r="M64" i="7"/>
  <c r="M62" i="7"/>
  <c r="M27" i="7"/>
  <c r="M56" i="7"/>
  <c r="M112" i="7"/>
  <c r="M33" i="7"/>
  <c r="M115" i="7"/>
  <c r="M65" i="7"/>
  <c r="M79" i="7"/>
  <c r="M81" i="7"/>
  <c r="M97" i="7"/>
  <c r="M73" i="7"/>
  <c r="M69" i="7"/>
  <c r="M61" i="7"/>
  <c r="M34" i="7"/>
  <c r="M59" i="7"/>
  <c r="M50" i="7"/>
  <c r="M35" i="7"/>
  <c r="M78" i="7"/>
  <c r="M74" i="7"/>
  <c r="M75" i="7"/>
  <c r="M42" i="7"/>
  <c r="M114" i="7"/>
  <c r="M48" i="7"/>
  <c r="M70" i="7"/>
  <c r="M38" i="7"/>
  <c r="M71" i="7"/>
  <c r="M25" i="7"/>
  <c r="M118" i="7"/>
  <c r="M83" i="7"/>
  <c r="M44" i="7"/>
  <c r="M110" i="7"/>
  <c r="M84" i="7"/>
  <c r="M51" i="7"/>
  <c r="M21" i="7"/>
  <c r="M96" i="7"/>
  <c r="M106" i="7"/>
  <c r="M23" i="7"/>
  <c r="M45" i="7"/>
  <c r="M22" i="7"/>
  <c r="M66" i="7"/>
  <c r="M117" i="7"/>
  <c r="M58" i="7"/>
  <c r="M94" i="7"/>
  <c r="M7" i="7"/>
  <c r="E5" i="7" s="1"/>
  <c r="M31" i="7"/>
  <c r="M93" i="7"/>
  <c r="M101" i="7"/>
  <c r="M86" i="7"/>
  <c r="M57" i="7"/>
  <c r="M98" i="7"/>
  <c r="M90" i="7"/>
  <c r="M119" i="7"/>
  <c r="M120" i="7"/>
  <c r="M32" i="7"/>
  <c r="M113" i="7"/>
  <c r="M95" i="7"/>
  <c r="M105" i="7"/>
  <c r="M55" i="7"/>
  <c r="M100" i="7"/>
  <c r="M26" i="7"/>
  <c r="M37" i="7"/>
  <c r="M47" i="7"/>
  <c r="M49" i="7"/>
  <c r="M108" i="7"/>
  <c r="M24" i="7"/>
  <c r="M54" i="7"/>
  <c r="M87" i="7"/>
  <c r="M88" i="7"/>
  <c r="M63" i="7"/>
  <c r="M107" i="7"/>
  <c r="M111" i="7"/>
  <c r="M36" i="7"/>
  <c r="M28" i="7"/>
  <c r="M109" i="7"/>
  <c r="M85" i="7"/>
  <c r="M41" i="7"/>
  <c r="M76" i="7"/>
  <c r="M82" i="7"/>
  <c r="M99" i="7"/>
  <c r="M52" i="7"/>
  <c r="M122" i="7"/>
  <c r="M102" i="7"/>
  <c r="M104" i="7"/>
  <c r="M77" i="7"/>
  <c r="M60" i="7"/>
  <c r="M39" i="7"/>
  <c r="M68" i="7"/>
  <c r="M121" i="7"/>
  <c r="M29" i="7"/>
  <c r="M53" i="7"/>
  <c r="M72" i="7"/>
  <c r="M91" i="7"/>
  <c r="O59" i="7"/>
  <c r="O111" i="7"/>
  <c r="O108" i="7"/>
  <c r="O35" i="7"/>
  <c r="O82" i="7"/>
  <c r="O60" i="7"/>
  <c r="O94" i="7"/>
  <c r="O55" i="7"/>
  <c r="O29" i="7"/>
  <c r="O72" i="7"/>
  <c r="O68" i="7"/>
  <c r="O67" i="7"/>
  <c r="O53" i="7"/>
  <c r="O97" i="7"/>
  <c r="O30" i="7"/>
  <c r="O112" i="7"/>
  <c r="O21" i="7"/>
  <c r="O50" i="7"/>
  <c r="O95" i="7"/>
  <c r="O78" i="7"/>
  <c r="O71" i="7"/>
  <c r="O38" i="7"/>
  <c r="O75" i="7"/>
  <c r="O98" i="7"/>
  <c r="O61" i="7"/>
  <c r="O104" i="7"/>
  <c r="O119" i="7"/>
  <c r="O74" i="7"/>
  <c r="O63" i="7"/>
  <c r="O26" i="7"/>
  <c r="O64" i="7"/>
  <c r="O47" i="7"/>
  <c r="O85" i="7"/>
  <c r="O92" i="7"/>
  <c r="O100" i="7"/>
  <c r="O45" i="7"/>
  <c r="O115" i="7"/>
  <c r="O76" i="7"/>
  <c r="O113" i="7"/>
  <c r="O65" i="7"/>
  <c r="O66" i="7"/>
  <c r="O34" i="7"/>
  <c r="O84" i="7"/>
  <c r="O51" i="7"/>
  <c r="O70" i="7"/>
  <c r="O80" i="7"/>
  <c r="O43" i="7"/>
  <c r="O33" i="7"/>
  <c r="O48" i="7"/>
  <c r="O69" i="7"/>
  <c r="O122" i="7"/>
  <c r="O73" i="7"/>
  <c r="O120" i="7"/>
  <c r="O86" i="7"/>
  <c r="O116" i="7"/>
  <c r="O25" i="7"/>
  <c r="O32" i="7"/>
  <c r="O121" i="7"/>
  <c r="O90" i="7"/>
  <c r="O42" i="7"/>
  <c r="O41" i="7"/>
  <c r="O81" i="7"/>
  <c r="O114" i="7"/>
  <c r="O31" i="7"/>
  <c r="O57" i="7"/>
  <c r="O88" i="7"/>
  <c r="O89" i="7"/>
  <c r="O40" i="7"/>
  <c r="O109" i="7"/>
  <c r="O83" i="7"/>
  <c r="O36" i="7"/>
  <c r="O105" i="7"/>
  <c r="O22" i="7"/>
  <c r="O28" i="7"/>
  <c r="O93" i="7"/>
  <c r="O99" i="7"/>
  <c r="O96" i="7"/>
  <c r="O58" i="7"/>
  <c r="O27" i="7"/>
  <c r="O91" i="7"/>
  <c r="O117" i="7"/>
  <c r="O23" i="7"/>
  <c r="O52" i="7"/>
  <c r="O101" i="7"/>
  <c r="O103" i="7"/>
  <c r="O54" i="7"/>
  <c r="O102" i="7"/>
  <c r="O49" i="7"/>
  <c r="O44" i="7"/>
  <c r="O62" i="7"/>
  <c r="O46" i="7"/>
  <c r="O56" i="7"/>
  <c r="O106" i="7"/>
  <c r="O110" i="7"/>
  <c r="O39" i="7"/>
  <c r="O24" i="7"/>
  <c r="O118" i="7"/>
  <c r="O87" i="7"/>
  <c r="O107" i="7"/>
  <c r="O79" i="7"/>
  <c r="O77" i="7"/>
  <c r="O37" i="7"/>
  <c r="N80" i="7"/>
  <c r="N41" i="7"/>
  <c r="N29" i="7"/>
  <c r="N106" i="7"/>
  <c r="N101" i="7"/>
  <c r="N99" i="7"/>
  <c r="N53" i="7"/>
  <c r="N97" i="7"/>
  <c r="N48" i="7"/>
  <c r="N37" i="7"/>
  <c r="N51" i="7"/>
  <c r="N30" i="7"/>
  <c r="N102" i="7"/>
  <c r="N74" i="7"/>
  <c r="N64" i="7"/>
  <c r="N121" i="7"/>
  <c r="N26" i="7"/>
  <c r="N60" i="7"/>
  <c r="N58" i="7"/>
  <c r="N115" i="7"/>
  <c r="N96" i="7"/>
  <c r="N81" i="7"/>
  <c r="N95" i="7"/>
  <c r="N54" i="7"/>
  <c r="N62" i="7"/>
  <c r="N78" i="7"/>
  <c r="N56" i="7"/>
  <c r="N89" i="7"/>
  <c r="N63" i="7"/>
  <c r="N69" i="7"/>
  <c r="N73" i="7"/>
  <c r="N23" i="7"/>
  <c r="N55" i="7"/>
  <c r="N24" i="7"/>
  <c r="N31" i="7"/>
  <c r="N49" i="7"/>
  <c r="N59" i="7"/>
  <c r="N35" i="7"/>
  <c r="N113" i="7"/>
  <c r="N25" i="7"/>
  <c r="N116" i="7"/>
  <c r="N43" i="7"/>
  <c r="N104" i="7"/>
  <c r="N90" i="7"/>
  <c r="N87" i="7"/>
  <c r="N92" i="7"/>
  <c r="N110" i="7"/>
  <c r="N67" i="7"/>
  <c r="N46" i="7"/>
  <c r="N108" i="7"/>
  <c r="N117" i="7"/>
  <c r="N119" i="7"/>
  <c r="N57" i="7"/>
  <c r="N91" i="7"/>
  <c r="N111" i="7"/>
  <c r="N107" i="7"/>
  <c r="N83" i="7"/>
  <c r="N52" i="7"/>
  <c r="N44" i="7"/>
  <c r="N34" i="7"/>
  <c r="N103" i="7"/>
  <c r="N94" i="7"/>
  <c r="N93" i="7"/>
  <c r="N22" i="7"/>
  <c r="N45" i="7"/>
  <c r="N86" i="7"/>
  <c r="N77" i="7"/>
  <c r="N120" i="7"/>
  <c r="N109" i="7"/>
  <c r="N122" i="7"/>
  <c r="N100" i="7"/>
  <c r="N105" i="7"/>
  <c r="N70" i="7"/>
  <c r="N88" i="7"/>
  <c r="N118" i="7"/>
  <c r="N50" i="7"/>
  <c r="N98" i="7"/>
  <c r="N21" i="7"/>
  <c r="N33" i="7"/>
  <c r="N72" i="7"/>
  <c r="N61" i="7"/>
  <c r="N36" i="7"/>
  <c r="N75" i="7"/>
  <c r="N28" i="7"/>
  <c r="N65" i="7"/>
  <c r="N114" i="7"/>
  <c r="N71" i="7"/>
  <c r="N76" i="7"/>
  <c r="N82" i="7"/>
  <c r="N85" i="7"/>
  <c r="N27" i="7"/>
  <c r="N79" i="7"/>
  <c r="N112" i="7"/>
  <c r="N84" i="7"/>
  <c r="N39" i="7"/>
  <c r="N38" i="7"/>
  <c r="N42" i="7"/>
  <c r="N47" i="7"/>
  <c r="N40" i="7"/>
  <c r="N66" i="7"/>
  <c r="N32" i="7"/>
  <c r="N68" i="7"/>
  <c r="N18" i="5"/>
  <c r="O18" i="5"/>
  <c r="N18" i="7"/>
  <c r="M18" i="7"/>
  <c r="O18" i="7"/>
  <c r="M18" i="5"/>
  <c r="M67" i="8" l="1"/>
  <c r="R67" i="8" s="1"/>
  <c r="M96" i="8"/>
  <c r="R96" i="8" s="1"/>
  <c r="M138" i="8"/>
  <c r="N138" i="8" s="1"/>
  <c r="M71" i="8"/>
  <c r="R71" i="8" s="1"/>
  <c r="M135" i="8"/>
  <c r="M126" i="8"/>
  <c r="N126" i="8" s="1"/>
  <c r="V14" i="8"/>
  <c r="M115" i="8"/>
  <c r="N115" i="8" s="1"/>
  <c r="M109" i="8"/>
  <c r="N109" i="8" s="1"/>
  <c r="V19" i="8"/>
  <c r="M76" i="8"/>
  <c r="R76" i="8" s="1"/>
  <c r="M129" i="8"/>
  <c r="N129" i="8" s="1"/>
  <c r="M137" i="8"/>
  <c r="R137" i="8" s="1"/>
  <c r="M36" i="8"/>
  <c r="N36" i="8" s="1"/>
  <c r="M29" i="8"/>
  <c r="R29" i="8" s="1"/>
  <c r="M62" i="8"/>
  <c r="N62" i="8" s="1"/>
  <c r="M166" i="8"/>
  <c r="R166" i="8" s="1"/>
  <c r="M131" i="8"/>
  <c r="N131" i="8" s="1"/>
  <c r="M150" i="8"/>
  <c r="N150" i="8" s="1"/>
  <c r="M85" i="8"/>
  <c r="R85" i="8" s="1"/>
  <c r="M51" i="8"/>
  <c r="N51" i="8" s="1"/>
  <c r="M161" i="8"/>
  <c r="N161" i="8" s="1"/>
  <c r="M25" i="8"/>
  <c r="R25" i="8" s="1"/>
  <c r="V17" i="8"/>
  <c r="M168" i="8"/>
  <c r="N168" i="8" s="1"/>
  <c r="M81" i="8"/>
  <c r="N81" i="8" s="1"/>
  <c r="R138" i="8"/>
  <c r="M101" i="8"/>
  <c r="R101" i="8" s="1"/>
  <c r="M92" i="8"/>
  <c r="N92" i="8" s="1"/>
  <c r="M128" i="8"/>
  <c r="N128" i="8" s="1"/>
  <c r="M33" i="8"/>
  <c r="M88" i="8"/>
  <c r="R88" i="8" s="1"/>
  <c r="M90" i="8"/>
  <c r="N90" i="8" s="1"/>
  <c r="M46" i="8"/>
  <c r="N46" i="8" s="1"/>
  <c r="M57" i="8"/>
  <c r="R57" i="8" s="1"/>
  <c r="M63" i="8"/>
  <c r="N96" i="8"/>
  <c r="M145" i="8"/>
  <c r="R145" i="8" s="1"/>
  <c r="M72" i="8"/>
  <c r="R72" i="8" s="1"/>
  <c r="M58" i="8"/>
  <c r="R58" i="8" s="1"/>
  <c r="M106" i="8"/>
  <c r="N106" i="8" s="1"/>
  <c r="M82" i="8"/>
  <c r="N82" i="8" s="1"/>
  <c r="V21" i="8"/>
  <c r="V24" i="8"/>
  <c r="M54" i="8"/>
  <c r="N54" i="8" s="1"/>
  <c r="M119" i="8"/>
  <c r="M151" i="8"/>
  <c r="R151" i="8" s="1"/>
  <c r="M65" i="8"/>
  <c r="N65" i="8" s="1"/>
  <c r="M107" i="8"/>
  <c r="M143" i="8"/>
  <c r="R143" i="8" s="1"/>
  <c r="M80" i="8"/>
  <c r="N80" i="8" s="1"/>
  <c r="M154" i="8"/>
  <c r="R154" i="8" s="1"/>
  <c r="M55" i="8"/>
  <c r="N55" i="8" s="1"/>
  <c r="M22" i="8"/>
  <c r="N22" i="8" s="1"/>
  <c r="M95" i="8"/>
  <c r="N95" i="8" s="1"/>
  <c r="V22" i="8"/>
  <c r="M66" i="8"/>
  <c r="R66" i="8" s="1"/>
  <c r="M153" i="8"/>
  <c r="M105" i="8"/>
  <c r="N105" i="8" s="1"/>
  <c r="M56" i="8"/>
  <c r="N56" i="8" s="1"/>
  <c r="M157" i="8"/>
  <c r="R157" i="8" s="1"/>
  <c r="M94" i="8"/>
  <c r="R94" i="8" s="1"/>
  <c r="M97" i="8"/>
  <c r="R97" i="8" s="1"/>
  <c r="M171" i="8"/>
  <c r="M60" i="8"/>
  <c r="M30" i="8"/>
  <c r="V2" i="8"/>
  <c r="M100" i="8"/>
  <c r="R100" i="8" s="1"/>
  <c r="M53" i="8"/>
  <c r="R53" i="8" s="1"/>
  <c r="M32" i="8"/>
  <c r="M47" i="8"/>
  <c r="R47" i="8" s="1"/>
  <c r="M78" i="8"/>
  <c r="R78" i="8" s="1"/>
  <c r="M148" i="8"/>
  <c r="R148" i="8" s="1"/>
  <c r="M35" i="8"/>
  <c r="R35" i="8" s="1"/>
  <c r="M42" i="8"/>
  <c r="M116" i="8"/>
  <c r="R116" i="8" s="1"/>
  <c r="M45" i="8"/>
  <c r="N45" i="8" s="1"/>
  <c r="M172" i="8"/>
  <c r="R172" i="8" s="1"/>
  <c r="M142" i="8"/>
  <c r="N142" i="8" s="1"/>
  <c r="M141" i="8"/>
  <c r="M164" i="8"/>
  <c r="N164" i="8" s="1"/>
  <c r="M125" i="8"/>
  <c r="M84" i="8"/>
  <c r="M103" i="8"/>
  <c r="N103" i="8" s="1"/>
  <c r="R115" i="8"/>
  <c r="M156" i="8"/>
  <c r="N156" i="8" s="1"/>
  <c r="M122" i="8"/>
  <c r="N122" i="8" s="1"/>
  <c r="M79" i="8"/>
  <c r="R79" i="8" s="1"/>
  <c r="M173" i="8"/>
  <c r="M114" i="8"/>
  <c r="M83" i="8"/>
  <c r="M86" i="8"/>
  <c r="R86" i="8" s="1"/>
  <c r="M152" i="8"/>
  <c r="V9" i="8"/>
  <c r="M155" i="8"/>
  <c r="R155" i="8" s="1"/>
  <c r="V7" i="8"/>
  <c r="M93" i="8"/>
  <c r="M40" i="8"/>
  <c r="R40" i="8" s="1"/>
  <c r="M52" i="8"/>
  <c r="M163" i="8"/>
  <c r="R163" i="8" s="1"/>
  <c r="M49" i="8"/>
  <c r="V10" i="8"/>
  <c r="V12" i="8"/>
  <c r="M123" i="8"/>
  <c r="M140" i="8"/>
  <c r="R140" i="8" s="1"/>
  <c r="M69" i="8"/>
  <c r="R69" i="8" s="1"/>
  <c r="M110" i="8"/>
  <c r="R110" i="8" s="1"/>
  <c r="M169" i="8"/>
  <c r="M23" i="8"/>
  <c r="V13" i="8"/>
  <c r="M21" i="8"/>
  <c r="M41" i="8"/>
  <c r="N41" i="8" s="1"/>
  <c r="M99" i="8"/>
  <c r="N99" i="8" s="1"/>
  <c r="M48" i="8"/>
  <c r="R48" i="8" s="1"/>
  <c r="M75" i="8"/>
  <c r="M102" i="8"/>
  <c r="N102" i="8" s="1"/>
  <c r="M104" i="8"/>
  <c r="N104" i="8" s="1"/>
  <c r="M162" i="8"/>
  <c r="N162" i="8" s="1"/>
  <c r="M146" i="8"/>
  <c r="R146" i="8" s="1"/>
  <c r="M132" i="8"/>
  <c r="N132" i="8" s="1"/>
  <c r="M43" i="8"/>
  <c r="R43" i="8" s="1"/>
  <c r="M89" i="8"/>
  <c r="N89" i="8" s="1"/>
  <c r="M160" i="8"/>
  <c r="R160" i="8" s="1"/>
  <c r="M98" i="8"/>
  <c r="M39" i="8"/>
  <c r="N39" i="8" s="1"/>
  <c r="M73" i="8"/>
  <c r="M139" i="8"/>
  <c r="N139" i="8" s="1"/>
  <c r="M159" i="8"/>
  <c r="N159" i="8" s="1"/>
  <c r="M64" i="8"/>
  <c r="N64" i="8" s="1"/>
  <c r="M144" i="8"/>
  <c r="R144" i="8" s="1"/>
  <c r="M38" i="8"/>
  <c r="R38" i="8" s="1"/>
  <c r="M111" i="8"/>
  <c r="R111" i="8" s="1"/>
  <c r="R56" i="8"/>
  <c r="V6" i="8"/>
  <c r="M147" i="8"/>
  <c r="N147" i="8" s="1"/>
  <c r="M61" i="8"/>
  <c r="R61" i="8" s="1"/>
  <c r="M108" i="8"/>
  <c r="M134" i="8"/>
  <c r="R134" i="8" s="1"/>
  <c r="M26" i="8"/>
  <c r="R26" i="8" s="1"/>
  <c r="V18" i="8"/>
  <c r="M127" i="8"/>
  <c r="M158" i="8"/>
  <c r="V15" i="8"/>
  <c r="V11" i="8"/>
  <c r="V3" i="8"/>
  <c r="M91" i="8"/>
  <c r="N91" i="8" s="1"/>
  <c r="M28" i="8"/>
  <c r="M118" i="8"/>
  <c r="N38" i="8"/>
  <c r="M117" i="8"/>
  <c r="R117" i="8" s="1"/>
  <c r="M136" i="8"/>
  <c r="M130" i="8"/>
  <c r="M133" i="8"/>
  <c r="N133" i="8" s="1"/>
  <c r="M34" i="8"/>
  <c r="N34" i="8" s="1"/>
  <c r="M74" i="8"/>
  <c r="M70" i="8"/>
  <c r="M112" i="8"/>
  <c r="M50" i="8"/>
  <c r="M87" i="8"/>
  <c r="N87" i="8" s="1"/>
  <c r="M27" i="8"/>
  <c r="M120" i="8"/>
  <c r="R120" i="8" s="1"/>
  <c r="V5" i="8"/>
  <c r="M24" i="8"/>
  <c r="M113" i="8"/>
  <c r="M37" i="8"/>
  <c r="M77" i="8"/>
  <c r="R77" i="8" s="1"/>
  <c r="M31" i="8"/>
  <c r="R31" i="8" s="1"/>
  <c r="M124" i="8"/>
  <c r="M165" i="8"/>
  <c r="V8" i="8"/>
  <c r="M44" i="8"/>
  <c r="R44" i="8" s="1"/>
  <c r="V16" i="8"/>
  <c r="V23" i="8"/>
  <c r="M149" i="8"/>
  <c r="M68" i="8"/>
  <c r="V4" i="8"/>
  <c r="M167" i="8"/>
  <c r="M59" i="8"/>
  <c r="N85" i="8"/>
  <c r="M170" i="8"/>
  <c r="R122" i="8"/>
  <c r="R62" i="8"/>
  <c r="N146" i="8"/>
  <c r="R92" i="8"/>
  <c r="N76" i="8"/>
  <c r="R121" i="8"/>
  <c r="R55" i="8"/>
  <c r="R126" i="8"/>
  <c r="R90" i="8"/>
  <c r="R82" i="8"/>
  <c r="N66" i="8"/>
  <c r="R150" i="8"/>
  <c r="R109" i="8"/>
  <c r="N86" i="8"/>
  <c r="N134" i="8"/>
  <c r="R129" i="8"/>
  <c r="R139" i="8"/>
  <c r="N71" i="8"/>
  <c r="R161" i="8"/>
  <c r="R105" i="8"/>
  <c r="E4" i="5"/>
  <c r="E4" i="7"/>
  <c r="N110" i="8"/>
  <c r="E6" i="7"/>
  <c r="E9" i="7" s="1"/>
  <c r="E10" i="7" s="1"/>
  <c r="N154" i="8"/>
  <c r="E6" i="5"/>
  <c r="E9" i="5" s="1"/>
  <c r="R162" i="8" l="1"/>
  <c r="N137" i="8"/>
  <c r="N67" i="8"/>
  <c r="N157" i="8"/>
  <c r="R41" i="8"/>
  <c r="N166" i="8"/>
  <c r="N57" i="8"/>
  <c r="R135" i="8"/>
  <c r="N135" i="8"/>
  <c r="R54" i="8"/>
  <c r="R51" i="8"/>
  <c r="R103" i="8"/>
  <c r="N78" i="8"/>
  <c r="R102" i="8"/>
  <c r="N163" i="8"/>
  <c r="N94" i="8"/>
  <c r="N148" i="8"/>
  <c r="R45" i="8"/>
  <c r="R22" i="8"/>
  <c r="N53" i="8"/>
  <c r="R36" i="8"/>
  <c r="R91" i="8"/>
  <c r="N160" i="8"/>
  <c r="N116" i="8"/>
  <c r="R159" i="8"/>
  <c r="R34" i="8"/>
  <c r="R164" i="8"/>
  <c r="R168" i="8"/>
  <c r="N97" i="8"/>
  <c r="R128" i="8"/>
  <c r="N145" i="8"/>
  <c r="R104" i="8"/>
  <c r="N29" i="8"/>
  <c r="N143" i="8"/>
  <c r="N151" i="8"/>
  <c r="N25" i="8"/>
  <c r="N155" i="8"/>
  <c r="R46" i="8"/>
  <c r="R81" i="8"/>
  <c r="N72" i="8"/>
  <c r="R147" i="8"/>
  <c r="R95" i="8"/>
  <c r="R131" i="8"/>
  <c r="R64" i="8"/>
  <c r="R42" i="8"/>
  <c r="N42" i="8"/>
  <c r="N47" i="8"/>
  <c r="R133" i="8"/>
  <c r="N172" i="8"/>
  <c r="N58" i="8"/>
  <c r="N100" i="8"/>
  <c r="R80" i="8"/>
  <c r="R99" i="8"/>
  <c r="N79" i="8"/>
  <c r="N30" i="8"/>
  <c r="R30" i="8"/>
  <c r="R153" i="8"/>
  <c r="N153" i="8"/>
  <c r="N60" i="8"/>
  <c r="R60" i="8"/>
  <c r="N107" i="8"/>
  <c r="R107" i="8"/>
  <c r="N120" i="8"/>
  <c r="N171" i="8"/>
  <c r="R171" i="8"/>
  <c r="R142" i="8"/>
  <c r="R156" i="8"/>
  <c r="N32" i="8"/>
  <c r="R32" i="8"/>
  <c r="R33" i="8"/>
  <c r="N33" i="8"/>
  <c r="N88" i="8"/>
  <c r="R39" i="8"/>
  <c r="R65" i="8"/>
  <c r="N111" i="8"/>
  <c r="N101" i="8"/>
  <c r="N35" i="8"/>
  <c r="R119" i="8"/>
  <c r="N119" i="8"/>
  <c r="N63" i="8"/>
  <c r="R63" i="8"/>
  <c r="R106" i="8"/>
  <c r="N144" i="8"/>
  <c r="R114" i="8"/>
  <c r="N114" i="8"/>
  <c r="N125" i="8"/>
  <c r="R125" i="8"/>
  <c r="N123" i="8"/>
  <c r="R123" i="8"/>
  <c r="N140" i="8"/>
  <c r="N21" i="8"/>
  <c r="R21" i="8"/>
  <c r="N141" i="8"/>
  <c r="R141" i="8"/>
  <c r="N93" i="8"/>
  <c r="R93" i="8"/>
  <c r="N69" i="8"/>
  <c r="N73" i="8"/>
  <c r="R73" i="8"/>
  <c r="N48" i="8"/>
  <c r="N23" i="8"/>
  <c r="R23" i="8"/>
  <c r="N49" i="8"/>
  <c r="R49" i="8"/>
  <c r="N152" i="8"/>
  <c r="R152" i="8"/>
  <c r="R84" i="8"/>
  <c r="N84" i="8"/>
  <c r="N40" i="8"/>
  <c r="R98" i="8"/>
  <c r="N98" i="8"/>
  <c r="N169" i="8"/>
  <c r="R169" i="8"/>
  <c r="R173" i="8"/>
  <c r="N173" i="8"/>
  <c r="N44" i="8"/>
  <c r="N43" i="8"/>
  <c r="R89" i="8"/>
  <c r="R132" i="8"/>
  <c r="R75" i="8"/>
  <c r="N75" i="8"/>
  <c r="R52" i="8"/>
  <c r="N52" i="8"/>
  <c r="N83" i="8"/>
  <c r="R83" i="8"/>
  <c r="N117" i="8"/>
  <c r="R68" i="8"/>
  <c r="N68" i="8"/>
  <c r="R27" i="8"/>
  <c r="N27" i="8"/>
  <c r="R149" i="8"/>
  <c r="N149" i="8"/>
  <c r="R136" i="8"/>
  <c r="N136" i="8"/>
  <c r="R37" i="8"/>
  <c r="N37" i="8"/>
  <c r="R50" i="8"/>
  <c r="N50" i="8"/>
  <c r="N158" i="8"/>
  <c r="R158" i="8"/>
  <c r="N26" i="8"/>
  <c r="N113" i="8"/>
  <c r="R113" i="8"/>
  <c r="R112" i="8"/>
  <c r="N112" i="8"/>
  <c r="R127" i="8"/>
  <c r="N127" i="8"/>
  <c r="R24" i="8"/>
  <c r="N24" i="8"/>
  <c r="N70" i="8"/>
  <c r="R70" i="8"/>
  <c r="N118" i="8"/>
  <c r="R118" i="8"/>
  <c r="N31" i="8"/>
  <c r="N61" i="8"/>
  <c r="N74" i="8"/>
  <c r="R74" i="8"/>
  <c r="R28" i="8"/>
  <c r="N28" i="8"/>
  <c r="N167" i="8"/>
  <c r="R167" i="8"/>
  <c r="R165" i="8"/>
  <c r="N165" i="8"/>
  <c r="N77" i="8"/>
  <c r="R87" i="8"/>
  <c r="N124" i="8"/>
  <c r="R124" i="8"/>
  <c r="N108" i="8"/>
  <c r="R108" i="8"/>
  <c r="N130" i="8"/>
  <c r="R130" i="8"/>
  <c r="N170" i="8"/>
  <c r="R170" i="8"/>
  <c r="R59" i="8"/>
  <c r="N59" i="8"/>
  <c r="K63" i="7"/>
  <c r="P63" i="7" s="1"/>
  <c r="K47" i="7"/>
  <c r="L47" i="7" s="1"/>
  <c r="K50" i="7"/>
  <c r="L50" i="7" s="1"/>
  <c r="K118" i="5"/>
  <c r="P118" i="5" s="1"/>
  <c r="K38" i="5"/>
  <c r="P38" i="5" s="1"/>
  <c r="K60" i="7"/>
  <c r="P60" i="7" s="1"/>
  <c r="K72" i="7"/>
  <c r="L72" i="7" s="1"/>
  <c r="K40" i="7"/>
  <c r="L40" i="7" s="1"/>
  <c r="K117" i="7"/>
  <c r="L117" i="7" s="1"/>
  <c r="K101" i="5"/>
  <c r="L101" i="5" s="1"/>
  <c r="K36" i="5"/>
  <c r="L36" i="5" s="1"/>
  <c r="K24" i="7"/>
  <c r="L24" i="7" s="1"/>
  <c r="K68" i="5"/>
  <c r="L68" i="5" s="1"/>
  <c r="K80" i="5"/>
  <c r="L80" i="5" s="1"/>
  <c r="K24" i="5"/>
  <c r="L24" i="5" s="1"/>
  <c r="V12" i="7"/>
  <c r="K70" i="5"/>
  <c r="L70" i="5" s="1"/>
  <c r="K105" i="7"/>
  <c r="L105" i="7" s="1"/>
  <c r="K25" i="5"/>
  <c r="P25" i="5" s="1"/>
  <c r="K47" i="5"/>
  <c r="L47" i="5" s="1"/>
  <c r="K73" i="7"/>
  <c r="P73" i="7" s="1"/>
  <c r="K99" i="5"/>
  <c r="P99" i="5" s="1"/>
  <c r="V9" i="7"/>
  <c r="K57" i="5"/>
  <c r="P57" i="5" s="1"/>
  <c r="K89" i="5"/>
  <c r="L89" i="5" s="1"/>
  <c r="K53" i="7"/>
  <c r="L53" i="7" s="1"/>
  <c r="K111" i="5"/>
  <c r="P111" i="5" s="1"/>
  <c r="K100" i="7"/>
  <c r="P100" i="7" s="1"/>
  <c r="K61" i="7"/>
  <c r="L61" i="7" s="1"/>
  <c r="K65" i="5"/>
  <c r="P65" i="5" s="1"/>
  <c r="K101" i="7"/>
  <c r="L101" i="7" s="1"/>
  <c r="K27" i="7"/>
  <c r="L27" i="7" s="1"/>
  <c r="K96" i="7"/>
  <c r="L96" i="7" s="1"/>
  <c r="K122" i="7"/>
  <c r="P122" i="7" s="1"/>
  <c r="K79" i="5"/>
  <c r="P79" i="5" s="1"/>
  <c r="K94" i="5"/>
  <c r="L94" i="5" s="1"/>
  <c r="K34" i="7"/>
  <c r="P34" i="7" s="1"/>
  <c r="V5" i="7"/>
  <c r="K119" i="7"/>
  <c r="P119" i="7" s="1"/>
  <c r="K44" i="7"/>
  <c r="L44" i="7" s="1"/>
  <c r="K23" i="7"/>
  <c r="P23" i="7" s="1"/>
  <c r="K78" i="7"/>
  <c r="L78" i="7" s="1"/>
  <c r="K106" i="7"/>
  <c r="L106" i="7" s="1"/>
  <c r="K42" i="5"/>
  <c r="P42" i="5" s="1"/>
  <c r="K56" i="5"/>
  <c r="L56" i="5" s="1"/>
  <c r="K50" i="5"/>
  <c r="L50" i="5" s="1"/>
  <c r="K108" i="7"/>
  <c r="L108" i="7" s="1"/>
  <c r="K59" i="7"/>
  <c r="P59" i="7" s="1"/>
  <c r="K26" i="7"/>
  <c r="P26" i="7" s="1"/>
  <c r="K115" i="7"/>
  <c r="P115" i="7" s="1"/>
  <c r="K57" i="7"/>
  <c r="P57" i="7" s="1"/>
  <c r="K79" i="7"/>
  <c r="L79" i="7" s="1"/>
  <c r="K93" i="7"/>
  <c r="P93" i="7" s="1"/>
  <c r="K113" i="7"/>
  <c r="P113" i="7" s="1"/>
  <c r="V4" i="7"/>
  <c r="K28" i="7"/>
  <c r="L28" i="7" s="1"/>
  <c r="V13" i="7"/>
  <c r="K29" i="7"/>
  <c r="P29" i="7" s="1"/>
  <c r="K89" i="7"/>
  <c r="P89" i="7" s="1"/>
  <c r="V10" i="7"/>
  <c r="K67" i="7"/>
  <c r="P67" i="7" s="1"/>
  <c r="K46" i="7"/>
  <c r="L46" i="7" s="1"/>
  <c r="K68" i="7"/>
  <c r="P68" i="7" s="1"/>
  <c r="K25" i="7"/>
  <c r="L25" i="7" s="1"/>
  <c r="K85" i="7"/>
  <c r="P85" i="7" s="1"/>
  <c r="K22" i="7"/>
  <c r="P22" i="7" s="1"/>
  <c r="K90" i="7"/>
  <c r="L90" i="7" s="1"/>
  <c r="K109" i="7"/>
  <c r="L109" i="7" s="1"/>
  <c r="K94" i="7"/>
  <c r="L94" i="7" s="1"/>
  <c r="K54" i="7"/>
  <c r="P54" i="7" s="1"/>
  <c r="V14" i="7"/>
  <c r="K75" i="7"/>
  <c r="P75" i="7" s="1"/>
  <c r="V7" i="7"/>
  <c r="K45" i="7"/>
  <c r="L45" i="7" s="1"/>
  <c r="V15" i="7"/>
  <c r="V2" i="7"/>
  <c r="K118" i="7"/>
  <c r="P118" i="7" s="1"/>
  <c r="K38" i="7"/>
  <c r="P38" i="7" s="1"/>
  <c r="K80" i="7"/>
  <c r="P80" i="7" s="1"/>
  <c r="K32" i="7"/>
  <c r="L32" i="7" s="1"/>
  <c r="K87" i="7"/>
  <c r="L87" i="7" s="1"/>
  <c r="K114" i="7"/>
  <c r="L114" i="7" s="1"/>
  <c r="V6" i="7"/>
  <c r="K88" i="7"/>
  <c r="P88" i="7" s="1"/>
  <c r="K84" i="7"/>
  <c r="L84" i="7" s="1"/>
  <c r="K41" i="7"/>
  <c r="P41" i="7" s="1"/>
  <c r="K86" i="7"/>
  <c r="L86" i="7" s="1"/>
  <c r="K36" i="7"/>
  <c r="L36" i="7" s="1"/>
  <c r="K35" i="7"/>
  <c r="P35" i="7" s="1"/>
  <c r="K99" i="7"/>
  <c r="P99" i="7" s="1"/>
  <c r="K30" i="7"/>
  <c r="L30" i="7" s="1"/>
  <c r="K95" i="7"/>
  <c r="L95" i="7" s="1"/>
  <c r="K39" i="7"/>
  <c r="P39" i="7" s="1"/>
  <c r="K111" i="7"/>
  <c r="L111" i="7" s="1"/>
  <c r="K110" i="7"/>
  <c r="L110" i="7" s="1"/>
  <c r="K82" i="7"/>
  <c r="P82" i="7" s="1"/>
  <c r="V11" i="7"/>
  <c r="K66" i="7"/>
  <c r="L66" i="7" s="1"/>
  <c r="K92" i="7"/>
  <c r="L92" i="7" s="1"/>
  <c r="K77" i="7"/>
  <c r="L77" i="7" s="1"/>
  <c r="K91" i="7"/>
  <c r="P91" i="7" s="1"/>
  <c r="K48" i="7"/>
  <c r="L48" i="7" s="1"/>
  <c r="K104" i="7"/>
  <c r="P104" i="7" s="1"/>
  <c r="K116" i="7"/>
  <c r="P116" i="7" s="1"/>
  <c r="K120" i="7"/>
  <c r="L120" i="7" s="1"/>
  <c r="K107" i="7"/>
  <c r="L107" i="7" s="1"/>
  <c r="K31" i="7"/>
  <c r="P31" i="7" s="1"/>
  <c r="K71" i="7"/>
  <c r="L71" i="7" s="1"/>
  <c r="V16" i="7"/>
  <c r="K62" i="7"/>
  <c r="P62" i="7" s="1"/>
  <c r="K103" i="7"/>
  <c r="L103" i="7" s="1"/>
  <c r="K74" i="7"/>
  <c r="L74" i="7" s="1"/>
  <c r="K98" i="7"/>
  <c r="P98" i="7" s="1"/>
  <c r="K56" i="7"/>
  <c r="P56" i="7" s="1"/>
  <c r="K76" i="7"/>
  <c r="L76" i="7" s="1"/>
  <c r="K37" i="7"/>
  <c r="P37" i="7" s="1"/>
  <c r="K81" i="7"/>
  <c r="L81" i="7" s="1"/>
  <c r="K70" i="7"/>
  <c r="L70" i="7" s="1"/>
  <c r="K83" i="7"/>
  <c r="P83" i="7" s="1"/>
  <c r="V8" i="7"/>
  <c r="K49" i="7"/>
  <c r="L49" i="7" s="1"/>
  <c r="K42" i="7"/>
  <c r="P42" i="7" s="1"/>
  <c r="K33" i="7"/>
  <c r="P33" i="7" s="1"/>
  <c r="K21" i="7"/>
  <c r="P21" i="7" s="1"/>
  <c r="K97" i="7"/>
  <c r="L97" i="7" s="1"/>
  <c r="K51" i="7"/>
  <c r="L51" i="7" s="1"/>
  <c r="V3" i="7"/>
  <c r="K65" i="7"/>
  <c r="P65" i="7" s="1"/>
  <c r="K52" i="7"/>
  <c r="L52" i="7" s="1"/>
  <c r="K58" i="7"/>
  <c r="L58" i="7" s="1"/>
  <c r="K69" i="7"/>
  <c r="P69" i="7" s="1"/>
  <c r="K121" i="7"/>
  <c r="P121" i="7" s="1"/>
  <c r="K112" i="7"/>
  <c r="L112" i="7" s="1"/>
  <c r="K55" i="7"/>
  <c r="L55" i="7" s="1"/>
  <c r="K102" i="7"/>
  <c r="L102" i="7" s="1"/>
  <c r="K64" i="7"/>
  <c r="L64" i="7" s="1"/>
  <c r="K43" i="7"/>
  <c r="P43" i="7" s="1"/>
  <c r="K40" i="5"/>
  <c r="L40" i="5" s="1"/>
  <c r="K82" i="5"/>
  <c r="L82" i="5" s="1"/>
  <c r="K35" i="5"/>
  <c r="L35" i="5" s="1"/>
  <c r="K45" i="5"/>
  <c r="P45" i="5" s="1"/>
  <c r="K121" i="5"/>
  <c r="P121" i="5" s="1"/>
  <c r="K122" i="5"/>
  <c r="P122" i="5" s="1"/>
  <c r="K61" i="5"/>
  <c r="P61" i="5" s="1"/>
  <c r="K93" i="5"/>
  <c r="L93" i="5" s="1"/>
  <c r="K44" i="5"/>
  <c r="P44" i="5" s="1"/>
  <c r="K53" i="5"/>
  <c r="L53" i="5" s="1"/>
  <c r="K63" i="5"/>
  <c r="P63" i="5" s="1"/>
  <c r="K84" i="5"/>
  <c r="L84" i="5" s="1"/>
  <c r="K73" i="5"/>
  <c r="P73" i="5" s="1"/>
  <c r="K31" i="5"/>
  <c r="L31" i="5" s="1"/>
  <c r="K112" i="5"/>
  <c r="L112" i="5" s="1"/>
  <c r="K114" i="5"/>
  <c r="L114" i="5" s="1"/>
  <c r="K110" i="5"/>
  <c r="P110" i="5" s="1"/>
  <c r="K117" i="5"/>
  <c r="L117" i="5" s="1"/>
  <c r="K106" i="5"/>
  <c r="L106" i="5" s="1"/>
  <c r="K91" i="5"/>
  <c r="P91" i="5" s="1"/>
  <c r="K71" i="5"/>
  <c r="L71" i="5" s="1"/>
  <c r="K98" i="5"/>
  <c r="L98" i="5" s="1"/>
  <c r="K43" i="5"/>
  <c r="P43" i="5" s="1"/>
  <c r="K64" i="5"/>
  <c r="P64" i="5" s="1"/>
  <c r="K104" i="5"/>
  <c r="L104" i="5" s="1"/>
  <c r="K72" i="5"/>
  <c r="L72" i="5" s="1"/>
  <c r="K75" i="5"/>
  <c r="P75" i="5" s="1"/>
  <c r="K54" i="5"/>
  <c r="L54" i="5" s="1"/>
  <c r="K41" i="5"/>
  <c r="L41" i="5" s="1"/>
  <c r="K28" i="5"/>
  <c r="P28" i="5" s="1"/>
  <c r="K51" i="5"/>
  <c r="P51" i="5" s="1"/>
  <c r="K48" i="5"/>
  <c r="P48" i="5" s="1"/>
  <c r="K66" i="5"/>
  <c r="L66" i="5" s="1"/>
  <c r="K102" i="5"/>
  <c r="L102" i="5" s="1"/>
  <c r="K115" i="5"/>
  <c r="P115" i="5" s="1"/>
  <c r="K123" i="5"/>
  <c r="L123" i="5" s="1"/>
  <c r="K27" i="5"/>
  <c r="P27" i="5" s="1"/>
  <c r="K103" i="5"/>
  <c r="L103" i="5" s="1"/>
  <c r="K90" i="5"/>
  <c r="L90" i="5" s="1"/>
  <c r="K39" i="5"/>
  <c r="P39" i="5" s="1"/>
  <c r="K78" i="5"/>
  <c r="P78" i="5" s="1"/>
  <c r="K109" i="5"/>
  <c r="P109" i="5" s="1"/>
  <c r="K113" i="5"/>
  <c r="P113" i="5" s="1"/>
  <c r="K120" i="5"/>
  <c r="L120" i="5" s="1"/>
  <c r="K23" i="5"/>
  <c r="L23" i="5" s="1"/>
  <c r="K92" i="5"/>
  <c r="L92" i="5" s="1"/>
  <c r="K108" i="5"/>
  <c r="P108" i="5" s="1"/>
  <c r="K87" i="5"/>
  <c r="P87" i="5" s="1"/>
  <c r="K77" i="5"/>
  <c r="P77" i="5" s="1"/>
  <c r="K105" i="5"/>
  <c r="P105" i="5" s="1"/>
  <c r="K97" i="5"/>
  <c r="P97" i="5" s="1"/>
  <c r="K34" i="5"/>
  <c r="L34" i="5" s="1"/>
  <c r="K21" i="5"/>
  <c r="P21" i="5" s="1"/>
  <c r="K32" i="5"/>
  <c r="L32" i="5" s="1"/>
  <c r="K37" i="5"/>
  <c r="L37" i="5" s="1"/>
  <c r="K81" i="5"/>
  <c r="P81" i="5" s="1"/>
  <c r="K22" i="5"/>
  <c r="L22" i="5" s="1"/>
  <c r="K69" i="5"/>
  <c r="L69" i="5" s="1"/>
  <c r="K100" i="5"/>
  <c r="P100" i="5" s="1"/>
  <c r="K86" i="5"/>
  <c r="L86" i="5" s="1"/>
  <c r="K59" i="5"/>
  <c r="P59" i="5" s="1"/>
  <c r="K58" i="5"/>
  <c r="L58" i="5" s="1"/>
  <c r="K67" i="5"/>
  <c r="L67" i="5" s="1"/>
  <c r="K62" i="5"/>
  <c r="L62" i="5" s="1"/>
  <c r="K29" i="5"/>
  <c r="L29" i="5" s="1"/>
  <c r="K88" i="5"/>
  <c r="L88" i="5" s="1"/>
  <c r="K55" i="5"/>
  <c r="P55" i="5" s="1"/>
  <c r="K33" i="5"/>
  <c r="L33" i="5" s="1"/>
  <c r="K119" i="5"/>
  <c r="P119" i="5" s="1"/>
  <c r="K26" i="5"/>
  <c r="P26" i="5" s="1"/>
  <c r="K107" i="5"/>
  <c r="L107" i="5" s="1"/>
  <c r="K85" i="5"/>
  <c r="L85" i="5" s="1"/>
  <c r="K76" i="5"/>
  <c r="L76" i="5" s="1"/>
  <c r="K46" i="5"/>
  <c r="P46" i="5" s="1"/>
  <c r="K74" i="5"/>
  <c r="P74" i="5" s="1"/>
  <c r="K52" i="5"/>
  <c r="L52" i="5" s="1"/>
  <c r="K49" i="5"/>
  <c r="P49" i="5" s="1"/>
  <c r="K116" i="5"/>
  <c r="L116" i="5" s="1"/>
  <c r="K95" i="5"/>
  <c r="L95" i="5" s="1"/>
  <c r="K30" i="5"/>
  <c r="L30" i="5" s="1"/>
  <c r="K60" i="5"/>
  <c r="L60" i="5" s="1"/>
  <c r="K83" i="5"/>
  <c r="P83" i="5" s="1"/>
  <c r="K96" i="5"/>
  <c r="L96" i="5" s="1"/>
  <c r="P112" i="7"/>
  <c r="L25" i="5"/>
  <c r="P72" i="7"/>
  <c r="L73" i="7"/>
  <c r="L122" i="7"/>
  <c r="L93" i="7"/>
  <c r="L118" i="7"/>
  <c r="P90" i="7"/>
  <c r="N18" i="8"/>
  <c r="P32" i="7" l="1"/>
  <c r="P47" i="7"/>
  <c r="P29" i="5"/>
  <c r="L22" i="7"/>
  <c r="L91" i="5"/>
  <c r="L39" i="7"/>
  <c r="L38" i="5"/>
  <c r="P68" i="5"/>
  <c r="L91" i="7"/>
  <c r="P84" i="7"/>
  <c r="L67" i="7"/>
  <c r="L34" i="7"/>
  <c r="P56" i="5"/>
  <c r="L63" i="7"/>
  <c r="P61" i="7"/>
  <c r="L33" i="7"/>
  <c r="L57" i="7"/>
  <c r="P94" i="5"/>
  <c r="P76" i="7"/>
  <c r="L109" i="5"/>
  <c r="P106" i="7"/>
  <c r="L79" i="5"/>
  <c r="P30" i="7"/>
  <c r="L111" i="5"/>
  <c r="P53" i="5"/>
  <c r="L37" i="7"/>
  <c r="P50" i="7"/>
  <c r="P24" i="7"/>
  <c r="P36" i="5"/>
  <c r="L89" i="7"/>
  <c r="L31" i="7"/>
  <c r="P92" i="7"/>
  <c r="L77" i="5"/>
  <c r="L60" i="7"/>
  <c r="P86" i="7"/>
  <c r="L80" i="7"/>
  <c r="P24" i="5"/>
  <c r="L119" i="7"/>
  <c r="P98" i="5"/>
  <c r="P103" i="7"/>
  <c r="P110" i="7"/>
  <c r="P103" i="5"/>
  <c r="P101" i="7"/>
  <c r="P109" i="7"/>
  <c r="P108" i="7"/>
  <c r="L104" i="7"/>
  <c r="L68" i="7"/>
  <c r="L83" i="7"/>
  <c r="E7" i="8"/>
  <c r="F5" i="8" s="1"/>
  <c r="H5" i="8" s="1"/>
  <c r="P35" i="5"/>
  <c r="P114" i="7"/>
  <c r="P58" i="7"/>
  <c r="L110" i="5"/>
  <c r="P27" i="7"/>
  <c r="P44" i="7"/>
  <c r="P77" i="7"/>
  <c r="P71" i="7"/>
  <c r="L82" i="7"/>
  <c r="L100" i="7"/>
  <c r="P32" i="5"/>
  <c r="L75" i="7"/>
  <c r="L122" i="5"/>
  <c r="L116" i="7"/>
  <c r="L61" i="5"/>
  <c r="L59" i="5"/>
  <c r="P40" i="7"/>
  <c r="L118" i="5"/>
  <c r="L57" i="5"/>
  <c r="P25" i="7"/>
  <c r="P47" i="5"/>
  <c r="P92" i="5"/>
  <c r="L28" i="5"/>
  <c r="P116" i="5"/>
  <c r="P102" i="7"/>
  <c r="L75" i="5"/>
  <c r="P31" i="5"/>
  <c r="P28" i="7"/>
  <c r="L42" i="5"/>
  <c r="L59" i="7"/>
  <c r="P37" i="5"/>
  <c r="P78" i="7"/>
  <c r="P22" i="5"/>
  <c r="P66" i="5"/>
  <c r="P105" i="7"/>
  <c r="L44" i="5"/>
  <c r="P40" i="5"/>
  <c r="L42" i="7"/>
  <c r="L56" i="7"/>
  <c r="P45" i="7"/>
  <c r="L115" i="7"/>
  <c r="L99" i="7"/>
  <c r="P101" i="5"/>
  <c r="P53" i="7"/>
  <c r="P104" i="5"/>
  <c r="P62" i="5"/>
  <c r="P107" i="7"/>
  <c r="L29" i="7"/>
  <c r="P66" i="7"/>
  <c r="L78" i="5"/>
  <c r="P74" i="7"/>
  <c r="P69" i="5"/>
  <c r="P95" i="7"/>
  <c r="L63" i="5"/>
  <c r="P70" i="5"/>
  <c r="L115" i="5"/>
  <c r="P36" i="7"/>
  <c r="P117" i="7"/>
  <c r="L65" i="7"/>
  <c r="L99" i="5"/>
  <c r="P51" i="7"/>
  <c r="P80" i="5"/>
  <c r="L121" i="5"/>
  <c r="P76" i="5"/>
  <c r="L41" i="7"/>
  <c r="L73" i="5"/>
  <c r="P50" i="5"/>
  <c r="L65" i="5"/>
  <c r="L38" i="7"/>
  <c r="L98" i="7"/>
  <c r="L85" i="7"/>
  <c r="P102" i="5"/>
  <c r="P96" i="7"/>
  <c r="P49" i="7"/>
  <c r="P67" i="5"/>
  <c r="P89" i="5"/>
  <c r="L43" i="7"/>
  <c r="L23" i="7"/>
  <c r="L26" i="7"/>
  <c r="L64" i="5"/>
  <c r="P60" i="5"/>
  <c r="P120" i="7"/>
  <c r="L119" i="5"/>
  <c r="L35" i="7"/>
  <c r="P87" i="7"/>
  <c r="P72" i="5"/>
  <c r="P84" i="5"/>
  <c r="L69" i="7"/>
  <c r="L97" i="5"/>
  <c r="L108" i="5"/>
  <c r="L121" i="7"/>
  <c r="P81" i="7"/>
  <c r="P94" i="7"/>
  <c r="P93" i="5"/>
  <c r="L81" i="5"/>
  <c r="L113" i="5"/>
  <c r="L55" i="5"/>
  <c r="L100" i="5"/>
  <c r="L43" i="5"/>
  <c r="P123" i="5"/>
  <c r="P106" i="5"/>
  <c r="P114" i="5"/>
  <c r="P64" i="7"/>
  <c r="P88" i="5"/>
  <c r="P82" i="5"/>
  <c r="L88" i="7"/>
  <c r="L87" i="5"/>
  <c r="P79" i="7"/>
  <c r="P112" i="5"/>
  <c r="P52" i="7"/>
  <c r="P97" i="7"/>
  <c r="P48" i="7"/>
  <c r="P55" i="7"/>
  <c r="L27" i="5"/>
  <c r="P111" i="7"/>
  <c r="P23" i="5"/>
  <c r="L54" i="7"/>
  <c r="P46" i="7"/>
  <c r="P70" i="7"/>
  <c r="P41" i="5"/>
  <c r="L113" i="7"/>
  <c r="F8" i="7"/>
  <c r="G9" i="7" s="1"/>
  <c r="P33" i="5"/>
  <c r="P71" i="5"/>
  <c r="L21" i="5"/>
  <c r="L62" i="7"/>
  <c r="P120" i="5"/>
  <c r="P34" i="5"/>
  <c r="P86" i="5"/>
  <c r="P54" i="5"/>
  <c r="L45" i="5"/>
  <c r="L26" i="5"/>
  <c r="L51" i="5"/>
  <c r="P95" i="5"/>
  <c r="P107" i="5"/>
  <c r="L21" i="7"/>
  <c r="L48" i="5"/>
  <c r="P90" i="5"/>
  <c r="L105" i="5"/>
  <c r="L39" i="5"/>
  <c r="P58" i="5"/>
  <c r="P96" i="5"/>
  <c r="L74" i="5"/>
  <c r="L46" i="5"/>
  <c r="L83" i="5"/>
  <c r="P117" i="5"/>
  <c r="L49" i="5"/>
  <c r="P30" i="5"/>
  <c r="P52" i="5"/>
  <c r="P85" i="5"/>
  <c r="F8" i="5"/>
  <c r="G9" i="5" s="1"/>
  <c r="L18" i="5"/>
  <c r="L18" i="7"/>
  <c r="F4" i="8" l="1"/>
  <c r="H4" i="8" s="1"/>
  <c r="F6" i="8"/>
  <c r="H6" i="8" s="1"/>
  <c r="F9" i="8" s="1"/>
  <c r="F10" i="8" s="1"/>
  <c r="E7" i="7"/>
  <c r="F4" i="7" s="1"/>
  <c r="H4" i="7" s="1"/>
  <c r="E7" i="5"/>
  <c r="F5" i="5" s="1"/>
  <c r="H5" i="5" s="1"/>
  <c r="F8" i="8"/>
  <c r="F4" i="5" l="1"/>
  <c r="H4" i="5" s="1"/>
  <c r="F6" i="7"/>
  <c r="H6" i="7" s="1"/>
  <c r="F9" i="7" s="1"/>
  <c r="F10" i="7" s="1"/>
  <c r="F5" i="7"/>
  <c r="H5" i="7" s="1"/>
  <c r="F6" i="5"/>
  <c r="H6" i="5" s="1"/>
  <c r="F9" i="5" s="1"/>
  <c r="G9" i="8"/>
</calcChain>
</file>

<file path=xl/sharedStrings.xml><?xml version="1.0" encoding="utf-8"?>
<sst xmlns="http://schemas.openxmlformats.org/spreadsheetml/2006/main" count="3241" uniqueCount="959">
  <si>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</si>
  <si>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</si>
  <si>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</si>
  <si>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</si>
  <si>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</si>
  <si>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</si>
  <si>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</si>
  <si>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</si>
  <si>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</si>
  <si>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</si>
  <si>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</si>
  <si>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</si>
  <si>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</si>
  <si>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</si>
  <si>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</si>
  <si>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</si>
  <si>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</si>
  <si>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</si>
  <si>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LS Intercept =</t>
  </si>
  <si>
    <t>LS Slope =</t>
  </si>
  <si>
    <t>New epoch =</t>
  </si>
  <si>
    <t>LS Quadr term =</t>
  </si>
  <si>
    <t>Linear</t>
  </si>
  <si>
    <t>Quadratic</t>
  </si>
  <si>
    <t>Sum diff² =</t>
  </si>
  <si>
    <t>System Type:</t>
  </si>
  <si>
    <t>Prev.</t>
  </si>
  <si>
    <t>Quad fit</t>
  </si>
  <si>
    <t>Diff²</t>
  </si>
  <si>
    <t>Wt</t>
  </si>
  <si>
    <t>Diff².Wt</t>
  </si>
  <si>
    <t>Ciardo</t>
  </si>
  <si>
    <t>Faulkner</t>
  </si>
  <si>
    <t>U of C</t>
  </si>
  <si>
    <t>Dietheim</t>
  </si>
  <si>
    <t>unpubl 96</t>
  </si>
  <si>
    <t>IBVS 4711</t>
  </si>
  <si>
    <t>unpubl '99</t>
  </si>
  <si>
    <t>unpubl '00</t>
  </si>
  <si>
    <t>Lin. Fit</t>
  </si>
  <si>
    <t>NOTE THAT the correct position of this star 17h18m05s, +41d50'41" (2000), Agerer 1988, IBVS 3234</t>
  </si>
  <si>
    <t>IBVS 5224</t>
  </si>
  <si>
    <t>IBVS 5027</t>
  </si>
  <si>
    <t>IBVS 4222</t>
  </si>
  <si>
    <t>IBVS 3356</t>
  </si>
  <si>
    <t>(IBVS 3356)</t>
  </si>
  <si>
    <t>BBSAG Bull.89</t>
  </si>
  <si>
    <t>BBSAG Bull.90</t>
  </si>
  <si>
    <t>BBSAG Bull.92</t>
  </si>
  <si>
    <t>BBSAG Bull.95</t>
  </si>
  <si>
    <t>BBSAG Bull.96</t>
  </si>
  <si>
    <t>BBSAG Bull.98</t>
  </si>
  <si>
    <t>BBSAG Bull.99</t>
  </si>
  <si>
    <t>BBSAG Bull.101</t>
  </si>
  <si>
    <t>BBSAG Bull.102</t>
  </si>
  <si>
    <t>BBSAG Bull.115</t>
  </si>
  <si>
    <t>Misc</t>
  </si>
  <si>
    <t>IBVS 5493</t>
  </si>
  <si>
    <t>IBVS 4840</t>
  </si>
  <si>
    <t>IBVS 5484</t>
  </si>
  <si>
    <t>II</t>
  </si>
  <si>
    <t>IBVS 5296</t>
  </si>
  <si>
    <t>Nelson</t>
  </si>
  <si>
    <t>IBVS</t>
  </si>
  <si>
    <t>I</t>
  </si>
  <si>
    <t>EW/KW</t>
  </si>
  <si>
    <t>IBVS 5672</t>
  </si>
  <si>
    <t>V728 Her / GSC 3081-0676</t>
  </si>
  <si>
    <t>IBVS 5657</t>
  </si>
  <si>
    <t>Or &gt;&gt;&gt;&gt;&gt;&gt;</t>
  </si>
  <si>
    <t>Quad</t>
  </si>
  <si>
    <t>IBVS 5731</t>
  </si>
  <si>
    <t># of data points:</t>
  </si>
  <si>
    <t>IBVS 5713</t>
  </si>
  <si>
    <t>IBVS 5760</t>
  </si>
  <si>
    <t>IBVS 5802</t>
  </si>
  <si>
    <t>IBVS 5875</t>
  </si>
  <si>
    <t>Agerer</t>
  </si>
  <si>
    <t>S6</t>
  </si>
  <si>
    <t>IBVS 5894</t>
  </si>
  <si>
    <t>OEJV 0074</t>
  </si>
  <si>
    <t>CCD+V</t>
  </si>
  <si>
    <t>BAD</t>
  </si>
  <si>
    <t>BBSAG?</t>
  </si>
  <si>
    <t>Start of linear fit (row 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</si>
  <si>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</si>
  <si>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</si>
  <si>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</si>
  <si>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</si>
  <si>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</si>
  <si>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</si>
  <si>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</si>
  <si>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</si>
  <si>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</si>
  <si>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</si>
  <si>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</si>
  <si>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</si>
  <si>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</si>
  <si>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</si>
  <si>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</si>
  <si>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</si>
  <si>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</si>
  <si>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</si>
  <si>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</si>
  <si>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</si>
  <si>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</si>
  <si>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</si>
  <si>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</si>
  <si>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</si>
  <si>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</si>
  <si>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</si>
  <si>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</si>
  <si>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</si>
  <si>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</si>
  <si>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</si>
  <si>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</si>
  <si>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</si>
  <si>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</si>
  <si>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</si>
  <si>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</si>
  <si>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</si>
  <si>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</si>
  <si>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</si>
  <si>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</si>
  <si>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</si>
  <si>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</si>
  <si>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</si>
  <si>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</si>
  <si>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</si>
  <si>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</si>
  <si>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</si>
  <si>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</si>
  <si>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</si>
  <si>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</si>
  <si>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</si>
  <si>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</si>
  <si>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</si>
  <si>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</si>
  <si>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</si>
  <si>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</si>
  <si>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</si>
  <si>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</si>
  <si>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</si>
  <si>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</si>
  <si>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</si>
  <si>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</si>
  <si>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</si>
  <si>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</si>
  <si>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</si>
  <si>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</si>
  <si>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</si>
  <si>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</si>
  <si>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</si>
  <si>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</si>
  <si>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</si>
  <si>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</si>
  <si>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</si>
  <si>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</si>
  <si>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</si>
  <si>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</si>
  <si>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</si>
  <si>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</si>
  <si>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</si>
  <si>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</si>
  <si>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IBVS 5938</t>
  </si>
  <si>
    <t>Analysis of Nelson 1999</t>
  </si>
  <si>
    <t>Q.fit</t>
  </si>
  <si>
    <t>Add cycle</t>
  </si>
  <si>
    <t>JD today</t>
  </si>
  <si>
    <t>Old Cycle</t>
  </si>
  <si>
    <t>New Cycle</t>
  </si>
  <si>
    <t>Next ToM</t>
  </si>
  <si>
    <t>Lin. Ephemeris =</t>
  </si>
  <si>
    <t>Quad. Ephemeris =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</si>
  <si>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</si>
  <si>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</si>
  <si>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</si>
  <si>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</si>
  <si>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</si>
  <si>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</si>
  <si>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</si>
  <si>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</si>
  <si>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</si>
  <si>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</si>
  <si>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</si>
  <si>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</si>
  <si>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</si>
  <si>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</si>
  <si>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</si>
  <si>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</si>
  <si>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</si>
  <si>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5980</t>
  </si>
  <si>
    <t>OEJV 0137</t>
  </si>
  <si>
    <t>IBVS 6018</t>
  </si>
  <si>
    <t>IBVS 3201</t>
  </si>
  <si>
    <t>IBVS 5820</t>
  </si>
  <si>
    <t>IBVS 5898</t>
  </si>
  <si>
    <t>IBVS 5918</t>
  </si>
  <si>
    <t>IBVS 5959</t>
  </si>
  <si>
    <t>IBVS 5992</t>
  </si>
  <si>
    <t>IBVS 6010</t>
  </si>
  <si>
    <t>JAVSO..40....1</t>
  </si>
  <si>
    <t>My time zone &gt;&gt;&gt;&gt;&gt;</t>
  </si>
  <si>
    <t>(PST=8, PDT=MDT=7, MDT=CST=6, etc.)</t>
  </si>
  <si>
    <t>BAV 215</t>
  </si>
  <si>
    <t xml:space="preserve">Period = </t>
  </si>
  <si>
    <t>dP/dt =</t>
  </si>
  <si>
    <t>Diff</t>
  </si>
  <si>
    <t>Residuals from Quad fit</t>
  </si>
  <si>
    <t>Residuals from Sine fit</t>
  </si>
  <si>
    <t>Sin Ampl</t>
  </si>
  <si>
    <t>Ang freq</t>
  </si>
  <si>
    <t>Ph cnst</t>
  </si>
  <si>
    <t>Const.</t>
  </si>
  <si>
    <t>Sine fit</t>
  </si>
  <si>
    <t>Assuming 3rd star</t>
  </si>
  <si>
    <t xml:space="preserve">P = </t>
  </si>
  <si>
    <t>days</t>
  </si>
  <si>
    <t>years</t>
  </si>
  <si>
    <t>HJDo</t>
  </si>
  <si>
    <t>Period</t>
  </si>
  <si>
    <t>V0728 Her / GSC 3081-0676</t>
  </si>
  <si>
    <t>NOTE ALSO that the phases need to be inverted since T2&gt;T1 and we got the elements wrong.</t>
  </si>
  <si>
    <t>2012JAV0SO..40..975</t>
  </si>
  <si>
    <t>IBVS 6048</t>
  </si>
  <si>
    <t>IBVS 6070</t>
  </si>
  <si>
    <t>OEJV 0160</t>
  </si>
  <si>
    <t>Residuals</t>
  </si>
  <si>
    <t>IBVS 6118</t>
  </si>
  <si>
    <t>JAVSO..42..426</t>
  </si>
  <si>
    <t>RHN 2015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</si>
  <si>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</si>
  <si>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</si>
  <si>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</si>
  <si>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</si>
  <si>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</si>
  <si>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</si>
  <si>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</si>
  <si>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</si>
  <si>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</si>
  <si>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2417439.336 </t>
  </si>
  <si>
    <t> 16.08.1906 20:03 </t>
  </si>
  <si>
    <t> 0.172 </t>
  </si>
  <si>
    <t>P </t>
  </si>
  <si>
    <t> N.E.Kurochkin </t>
  </si>
  <si>
    <t> PZP 3.208 </t>
  </si>
  <si>
    <t>2417796.394 </t>
  </si>
  <si>
    <t> 08.08.1907 21:27 </t>
  </si>
  <si>
    <t> 0.223 </t>
  </si>
  <si>
    <t>2417826.304 </t>
  </si>
  <si>
    <t> 07.09.1907 19:17 </t>
  </si>
  <si>
    <t> 0.233 </t>
  </si>
  <si>
    <t>2417888.367 </t>
  </si>
  <si>
    <t> 08.11.1907 20:48 </t>
  </si>
  <si>
    <t> 0.266 </t>
  </si>
  <si>
    <t>2440361.509 </t>
  </si>
  <si>
    <t> 20.05.1969 00:12 </t>
  </si>
  <si>
    <t> 0.043 </t>
  </si>
  <si>
    <t> PZP 3.212 </t>
  </si>
  <si>
    <t>2440810.405 </t>
  </si>
  <si>
    <t> 11.08.1970 21:43 </t>
  </si>
  <si>
    <t> 0.003 </t>
  </si>
  <si>
    <t>2440827.372 </t>
  </si>
  <si>
    <t> 28.08.1970 20:55 </t>
  </si>
  <si>
    <t> 0.012 </t>
  </si>
  <si>
    <t>2441533.337 </t>
  </si>
  <si>
    <t> 03.08.1972 20:05 </t>
  </si>
  <si>
    <t> -0.004 </t>
  </si>
  <si>
    <t>2441567.287 </t>
  </si>
  <si>
    <t> 06.09.1972 18:53 </t>
  </si>
  <si>
    <t> 0.030 </t>
  </si>
  <si>
    <t> PZP 3.213 </t>
  </si>
  <si>
    <t>2441571.292 </t>
  </si>
  <si>
    <t> 10.09.1972 19:00 </t>
  </si>
  <si>
    <t> 0.019 </t>
  </si>
  <si>
    <t>2441957.241 </t>
  </si>
  <si>
    <t> 01.10.1973 17:47 </t>
  </si>
  <si>
    <t> -0.046 </t>
  </si>
  <si>
    <t>2441957.292 </t>
  </si>
  <si>
    <t> 01.10.1973 19:00 </t>
  </si>
  <si>
    <t> 0.005 </t>
  </si>
  <si>
    <t>2445882.375 </t>
  </si>
  <si>
    <t> 30.06.1984 21:00 </t>
  </si>
  <si>
    <t> -0.203 </t>
  </si>
  <si>
    <t>E </t>
  </si>
  <si>
    <t>?</t>
  </si>
  <si>
    <t> G.Ciardo et al. </t>
  </si>
  <si>
    <t> ASS 111.123 </t>
  </si>
  <si>
    <t>2446257.7518 </t>
  </si>
  <si>
    <t> 11.07.1985 06:02 </t>
  </si>
  <si>
    <t> -0.1301 </t>
  </si>
  <si>
    <t> D.R.Faulkner </t>
  </si>
  <si>
    <t> PASP 98.691 </t>
  </si>
  <si>
    <t>2446612.868 </t>
  </si>
  <si>
    <t> 01.07.1986 08:49 </t>
  </si>
  <si>
    <t> -0.236 </t>
  </si>
  <si>
    <t> R.Nelson et al. </t>
  </si>
  <si>
    <t>IBVS 3201 </t>
  </si>
  <si>
    <t>2446613.809 </t>
  </si>
  <si>
    <t> 02.07.1986 07:24 </t>
  </si>
  <si>
    <t> -0.187 </t>
  </si>
  <si>
    <t>2446949.835 </t>
  </si>
  <si>
    <t> 03.06.1987 08:02 </t>
  </si>
  <si>
    <t> -0.194 </t>
  </si>
  <si>
    <t>2446990.8388 </t>
  </si>
  <si>
    <t> 14.07.1987 08:07 </t>
  </si>
  <si>
    <t> -0.2461 </t>
  </si>
  <si>
    <t> AJ 110.2400 </t>
  </si>
  <si>
    <t>2447004.7431 </t>
  </si>
  <si>
    <t> 28.07.1987 05:50 </t>
  </si>
  <si>
    <t> -0.1758 </t>
  </si>
  <si>
    <t>2447304.469 </t>
  </si>
  <si>
    <t> 22.05.1988 23:15 </t>
  </si>
  <si>
    <t> -0.113 </t>
  </si>
  <si>
    <t> R.Diethelm </t>
  </si>
  <si>
    <t> BBS 88 </t>
  </si>
  <si>
    <t>2447309.8990 </t>
  </si>
  <si>
    <t> 28.05.1988 09:34 </t>
  </si>
  <si>
    <t> -0.0378 </t>
  </si>
  <si>
    <t>2447322.3921 </t>
  </si>
  <si>
    <t> 09.06.1988 21:24 </t>
  </si>
  <si>
    <t> -0.0399 </t>
  </si>
  <si>
    <t>B;V</t>
  </si>
  <si>
    <t> F.Agerer </t>
  </si>
  <si>
    <t>BAVM 52 </t>
  </si>
  <si>
    <t>2447323.8030 </t>
  </si>
  <si>
    <t> 11.06.1988 07:16 </t>
  </si>
  <si>
    <t> 0.0322 </t>
  </si>
  <si>
    <t> Samec &amp; Butcher </t>
  </si>
  <si>
    <t>IBVS 3356 </t>
  </si>
  <si>
    <t>2447326.8656 </t>
  </si>
  <si>
    <t> 14.06.1988 08:46 </t>
  </si>
  <si>
    <t> -0.0290 </t>
  </si>
  <si>
    <t>2447328.7507 </t>
  </si>
  <si>
    <t> 16.06.1988 06:01 </t>
  </si>
  <si>
    <t> -0.1520 </t>
  </si>
  <si>
    <t>2447353.4937 </t>
  </si>
  <si>
    <t> 10.07.1988 23:50 </t>
  </si>
  <si>
    <t> 0.0467 </t>
  </si>
  <si>
    <t>BAVM 51 </t>
  </si>
  <si>
    <t>2447365.5123 </t>
  </si>
  <si>
    <t> 23.07.1988 00:17 </t>
  </si>
  <si>
    <t> 0.0163 </t>
  </si>
  <si>
    <t>2447366.4551 </t>
  </si>
  <si>
    <t> 23.07.1988 22:55 </t>
  </si>
  <si>
    <t> 0.0666 </t>
  </si>
  <si>
    <t>2447378.4731 </t>
  </si>
  <si>
    <t> 04.08.1988 23:21 </t>
  </si>
  <si>
    <t> 0.0356 </t>
  </si>
  <si>
    <t>2447391.449 </t>
  </si>
  <si>
    <t> 17.08.1988 22:46 </t>
  </si>
  <si>
    <t> 0.070 </t>
  </si>
  <si>
    <t>V </t>
  </si>
  <si>
    <t> H.Peter </t>
  </si>
  <si>
    <t> BBS 89 </t>
  </si>
  <si>
    <t>2447415.545 </t>
  </si>
  <si>
    <t> 11.09.1988 01:04 </t>
  </si>
  <si>
    <t> 0.068 </t>
  </si>
  <si>
    <t>2447439.315 </t>
  </si>
  <si>
    <t> 04.10.1988 19:33 </t>
  </si>
  <si>
    <t> 0.186 </t>
  </si>
  <si>
    <t> BBS 90 </t>
  </si>
  <si>
    <t>2447655.8233 </t>
  </si>
  <si>
    <t> 09.05.1989 07:45 </t>
  </si>
  <si>
    <t> 0.0361 </t>
  </si>
  <si>
    <t>2447659.8284 </t>
  </si>
  <si>
    <t> 13.05.1989 07:52 </t>
  </si>
  <si>
    <t> 0.0248 </t>
  </si>
  <si>
    <t>2447695.8834 </t>
  </si>
  <si>
    <t> 18.06.1989 09:12 </t>
  </si>
  <si>
    <t> 0.1560 </t>
  </si>
  <si>
    <t>2447702.440 </t>
  </si>
  <si>
    <t> 24.06.1989 22:33 </t>
  </si>
  <si>
    <t> BBS 92 </t>
  </si>
  <si>
    <t>2447714.431 </t>
  </si>
  <si>
    <t> 06.07.1989 22:20 </t>
  </si>
  <si>
    <t> -0.039 </t>
  </si>
  <si>
    <t>2447735.451 </t>
  </si>
  <si>
    <t> 27.07.1989 22:49 </t>
  </si>
  <si>
    <t> 0.007 </t>
  </si>
  <si>
    <t> A.Dedoch </t>
  </si>
  <si>
    <t> BRNO 30 </t>
  </si>
  <si>
    <t>2447743.467 </t>
  </si>
  <si>
    <t> 04.08.1989 23:12 </t>
  </si>
  <si>
    <t> -0.010 </t>
  </si>
  <si>
    <t>2447748.435 </t>
  </si>
  <si>
    <t> 09.08.1989 22:26 </t>
  </si>
  <si>
    <t> 0.049 </t>
  </si>
  <si>
    <t>2447757.399 </t>
  </si>
  <si>
    <t> 18.08.1989 21:34 </t>
  </si>
  <si>
    <t> 0.088 </t>
  </si>
  <si>
    <t>2447768.350 </t>
  </si>
  <si>
    <t> 29.08.1989 20:24 </t>
  </si>
  <si>
    <t> 0.106 </t>
  </si>
  <si>
    <t>2447775.360 </t>
  </si>
  <si>
    <t> 05.09.1989 20:38 </t>
  </si>
  <si>
    <t> 0.199 </t>
  </si>
  <si>
    <t>2447782.311 </t>
  </si>
  <si>
    <t> 12.09.1989 19:27 </t>
  </si>
  <si>
    <t> 0.009 </t>
  </si>
  <si>
    <t>2447963.5750 </t>
  </si>
  <si>
    <t> 13.03.1990 01:48 </t>
  </si>
  <si>
    <t> 0.0924 </t>
  </si>
  <si>
    <t>BAVM 56 </t>
  </si>
  <si>
    <t>2448014.490 </t>
  </si>
  <si>
    <t> 02.05.1990 23:45 </t>
  </si>
  <si>
    <t> 0.134 </t>
  </si>
  <si>
    <t> BBS 95 </t>
  </si>
  <si>
    <t>2448015.413 </t>
  </si>
  <si>
    <t> 03.05.1990 21:54 </t>
  </si>
  <si>
    <t> 0.164 </t>
  </si>
  <si>
    <t>2448039.463 </t>
  </si>
  <si>
    <t> 27.05.1990 23:06 </t>
  </si>
  <si>
    <t> 0.116 </t>
  </si>
  <si>
    <t>2448044.401 </t>
  </si>
  <si>
    <t> 01.06.1990 21:37 </t>
  </si>
  <si>
    <t> 0.146 </t>
  </si>
  <si>
    <t>2448084.4611 </t>
  </si>
  <si>
    <t> 11.07.1990 23:03 </t>
  </si>
  <si>
    <t> 0.0424 </t>
  </si>
  <si>
    <t>BAVM 59 </t>
  </si>
  <si>
    <t>2448085.415 </t>
  </si>
  <si>
    <t> 12.07.1990 21:57 </t>
  </si>
  <si>
    <t> 0.104 </t>
  </si>
  <si>
    <t> BBS 96 </t>
  </si>
  <si>
    <t>2448089.429 </t>
  </si>
  <si>
    <t> 16.07.1990 22:17 </t>
  </si>
  <si>
    <t> 0.101 </t>
  </si>
  <si>
    <t>2448113.426 </t>
  </si>
  <si>
    <t> 09.08.1990 22:13 </t>
  </si>
  <si>
    <t> 0.000 </t>
  </si>
  <si>
    <t>2448114.400 </t>
  </si>
  <si>
    <t> 10.08.1990 21:36 </t>
  </si>
  <si>
    <t> 0.082 </t>
  </si>
  <si>
    <t>2448163.402 </t>
  </si>
  <si>
    <t> 28.09.1990 21:38 </t>
  </si>
  <si>
    <t> -0.005 </t>
  </si>
  <si>
    <t>2448358.516 </t>
  </si>
  <si>
    <t> 12.04.1991 00:23 </t>
  </si>
  <si>
    <t> 0.094 </t>
  </si>
  <si>
    <t>2448433.409 </t>
  </si>
  <si>
    <t> 25.06.1991 21:48 </t>
  </si>
  <si>
    <t> 0.016 </t>
  </si>
  <si>
    <t> BBS 98 </t>
  </si>
  <si>
    <t>2448441.450 </t>
  </si>
  <si>
    <t> 03.07.1991 22:48 </t>
  </si>
  <si>
    <t> 0.024 </t>
  </si>
  <si>
    <t>2448449.426 </t>
  </si>
  <si>
    <t> 11.07.1991 22:13 </t>
  </si>
  <si>
    <t> -0.032 </t>
  </si>
  <si>
    <t>2448449.4738 </t>
  </si>
  <si>
    <t> 11.07.1991 23:22 </t>
  </si>
  <si>
    <t> 0.0155 </t>
  </si>
  <si>
    <t>BAVM 60 </t>
  </si>
  <si>
    <t>2448449.4744 </t>
  </si>
  <si>
    <t> 11.07.1991 23:23 </t>
  </si>
  <si>
    <t> 0.0161 </t>
  </si>
  <si>
    <t>2448466.433 </t>
  </si>
  <si>
    <t> 28.07.1991 22:23 </t>
  </si>
  <si>
    <t> 0.017 </t>
  </si>
  <si>
    <t>2448474.4529 </t>
  </si>
  <si>
    <t> 05.08.1991 22:52 </t>
  </si>
  <si>
    <t> 0.0041 </t>
  </si>
  <si>
    <t>2448474.4547 </t>
  </si>
  <si>
    <t> 05.08.1991 22:54 </t>
  </si>
  <si>
    <t> 0.0059 </t>
  </si>
  <si>
    <t>2448503.440 </t>
  </si>
  <si>
    <t> 03.09.1991 22:33 </t>
  </si>
  <si>
    <t> -0.016 </t>
  </si>
  <si>
    <t> BBS 99 </t>
  </si>
  <si>
    <t>2448761.448 </t>
  </si>
  <si>
    <t> 18.05.1992 22:45 </t>
  </si>
  <si>
    <t> 0.055 </t>
  </si>
  <si>
    <t> BBS 101 </t>
  </si>
  <si>
    <t>2448820.401 </t>
  </si>
  <si>
    <t> 16.07.1992 21:37 </t>
  </si>
  <si>
    <t> 0.102 </t>
  </si>
  <si>
    <t>2448845.353 </t>
  </si>
  <si>
    <t> 10.08.1992 20:28 </t>
  </si>
  <si>
    <t> 0.063 </t>
  </si>
  <si>
    <t> BBS 102 </t>
  </si>
  <si>
    <t>2449147.4513 </t>
  </si>
  <si>
    <t> 08.06.1993 22:49 </t>
  </si>
  <si>
    <t> 0.0444 </t>
  </si>
  <si>
    <t>BAVM 68 </t>
  </si>
  <si>
    <t>2449474.5256 </t>
  </si>
  <si>
    <t> 02.05.1994 00:36 </t>
  </si>
  <si>
    <t> 0.0110 </t>
  </si>
  <si>
    <t>2449474.5257 </t>
  </si>
  <si>
    <t> 02.05.1994 00:37 </t>
  </si>
  <si>
    <t> 0.0111 </t>
  </si>
  <si>
    <t>2449600.358 </t>
  </si>
  <si>
    <t> 04.09.1994 20:35 </t>
  </si>
  <si>
    <t> -0.002 </t>
  </si>
  <si>
    <t>BAVM 80 </t>
  </si>
  <si>
    <t>2449600.362 </t>
  </si>
  <si>
    <t> 04.09.1994 20:41 </t>
  </si>
  <si>
    <t> 0.002 </t>
  </si>
  <si>
    <t>2449926.4321 </t>
  </si>
  <si>
    <t> 27.07.1995 22:22 </t>
  </si>
  <si>
    <t> 0.0806 </t>
  </si>
  <si>
    <t> P.Sobotka </t>
  </si>
  <si>
    <t> BRNO 32 </t>
  </si>
  <si>
    <t>2450349.7091 </t>
  </si>
  <si>
    <t> 23.09.1996 05:01 </t>
  </si>
  <si>
    <t> 0.0812 </t>
  </si>
  <si>
    <t> R.Nelson </t>
  </si>
  <si>
    <t> AVSJ 27.26 </t>
  </si>
  <si>
    <t>2450349.7097 </t>
  </si>
  <si>
    <t> 0.0818 </t>
  </si>
  <si>
    <t>2450649.675 </t>
  </si>
  <si>
    <t> 20.07.1997 04:12 </t>
  </si>
  <si>
    <t> 0.161 </t>
  </si>
  <si>
    <t> B.Krobusek </t>
  </si>
  <si>
    <t> BBS 115 </t>
  </si>
  <si>
    <t>2450948.4841 </t>
  </si>
  <si>
    <t> 14.05.1998 23:37 </t>
  </si>
  <si>
    <t> 0.2002 </t>
  </si>
  <si>
    <t>o</t>
  </si>
  <si>
    <t>BAVM 117 </t>
  </si>
  <si>
    <t>2451020.8257 </t>
  </si>
  <si>
    <t> 26.07.1998 07:49 </t>
  </si>
  <si>
    <t> 0.2479 </t>
  </si>
  <si>
    <t>2451285.6920 </t>
  </si>
  <si>
    <t> 17.04.1999 04:36 </t>
  </si>
  <si>
    <t> 0.2596 </t>
  </si>
  <si>
    <t>IBVS 5027 </t>
  </si>
  <si>
    <t>2451305.7220 </t>
  </si>
  <si>
    <t> 07.05.1999 05:19 </t>
  </si>
  <si>
    <t> 0.2080 </t>
  </si>
  <si>
    <t>2451657.5388 </t>
  </si>
  <si>
    <t> 23.04.2000 00:55 </t>
  </si>
  <si>
    <t> 0.1498 </t>
  </si>
  <si>
    <t> K.Koss </t>
  </si>
  <si>
    <t>2451658.4443 </t>
  </si>
  <si>
    <t> 23.04.2000 22:39 </t>
  </si>
  <si>
    <t> 0.1628 </t>
  </si>
  <si>
    <t> J.Zahajsky </t>
  </si>
  <si>
    <t>2451663.42570 </t>
  </si>
  <si>
    <t> 28.04.2000 22:13 </t>
  </si>
  <si>
    <t> 0.23533 </t>
  </si>
  <si>
    <t>C </t>
  </si>
  <si>
    <t> P.Hájek </t>
  </si>
  <si>
    <t>OEJV 0074 </t>
  </si>
  <si>
    <t>2451667.4306 </t>
  </si>
  <si>
    <t> 02.05.2000 22:20 </t>
  </si>
  <si>
    <t> 0.2239 </t>
  </si>
  <si>
    <t>2451678.5114 </t>
  </si>
  <si>
    <t> 14.05.2000 00:16 </t>
  </si>
  <si>
    <t> 0.1482 </t>
  </si>
  <si>
    <t> Hajek&amp;Koss </t>
  </si>
  <si>
    <t>2451704.6717 </t>
  </si>
  <si>
    <t> 09.06.2000 04:07 </t>
  </si>
  <si>
    <t> 0.2024 </t>
  </si>
  <si>
    <t> J.Howell </t>
  </si>
  <si>
    <t> JAAVSO 40;975 </t>
  </si>
  <si>
    <t>2451983.9129 </t>
  </si>
  <si>
    <t> 15.03.2001 09:54 </t>
  </si>
  <si>
    <t> 0.0857 </t>
  </si>
  <si>
    <t>IBVS 5224 </t>
  </si>
  <si>
    <t>2452032.4540 </t>
  </si>
  <si>
    <t> 02.05.2001 22:53 </t>
  </si>
  <si>
    <t> 0.2077 </t>
  </si>
  <si>
    <t>BAVM 152 </t>
  </si>
  <si>
    <t>2452065.444 </t>
  </si>
  <si>
    <t> 04.06.2001 22:39 </t>
  </si>
  <si>
    <t> 0.175 </t>
  </si>
  <si>
    <t> BBS 125 </t>
  </si>
  <si>
    <t>2452100.5578 </t>
  </si>
  <si>
    <t> 10.07.2001 01:23 </t>
  </si>
  <si>
    <t> 0.2570 </t>
  </si>
  <si>
    <t> W.Quester </t>
  </si>
  <si>
    <t>BAVM 158 </t>
  </si>
  <si>
    <t>2452366.5992 </t>
  </si>
  <si>
    <t> 02.04.2002 02:22 </t>
  </si>
  <si>
    <t> 0.3282 </t>
  </si>
  <si>
    <t>2452701.9227 </t>
  </si>
  <si>
    <t> 03.03.2003 10:08 </t>
  </si>
  <si>
    <t> 0.2883 </t>
  </si>
  <si>
    <t>IBVS 5493 </t>
  </si>
  <si>
    <t>2452741.5110 </t>
  </si>
  <si>
    <t> 12.04.2003 00:15 </t>
  </si>
  <si>
    <t> 0.3827 </t>
  </si>
  <si>
    <t>-I</t>
  </si>
  <si>
    <t>2452752.8244 </t>
  </si>
  <si>
    <t> 23.04.2003 07:47 </t>
  </si>
  <si>
    <t>25055.5</t>
  </si>
  <si>
    <t> 0.3165 </t>
  </si>
  <si>
    <t> S.Dvorak </t>
  </si>
  <si>
    <t>2452760.8348 </t>
  </si>
  <si>
    <t> 01.05.2003 08:02 </t>
  </si>
  <si>
    <t>25073.5</t>
  </si>
  <si>
    <t> 0.2943 </t>
  </si>
  <si>
    <t>2453116.4350 </t>
  </si>
  <si>
    <t> 20.04.2004 22:26 </t>
  </si>
  <si>
    <t>25870.5</t>
  </si>
  <si>
    <t> 0.2263 </t>
  </si>
  <si>
    <t>BAVM 186 </t>
  </si>
  <si>
    <t>2453117.3653 </t>
  </si>
  <si>
    <t> 21.04.2004 20:46 </t>
  </si>
  <si>
    <t>25872.5</t>
  </si>
  <si>
    <t> 0.2641 </t>
  </si>
  <si>
    <t>BAVM 173 </t>
  </si>
  <si>
    <t>2453145.4107 </t>
  </si>
  <si>
    <t> 19.05.2004 21:51 </t>
  </si>
  <si>
    <t>25935.5</t>
  </si>
  <si>
    <t> 0.1952 </t>
  </si>
  <si>
    <t> K. &amp; M.Rätz </t>
  </si>
  <si>
    <t>2453151.5362 </t>
  </si>
  <si>
    <t> 26.05.2004 00:52 </t>
  </si>
  <si>
    <t>25949</t>
  </si>
  <si>
    <t> 0.2962 </t>
  </si>
  <si>
    <t>2453439.9677 </t>
  </si>
  <si>
    <t> 10.03.2005 11:13 </t>
  </si>
  <si>
    <t>26595.5</t>
  </si>
  <si>
    <t> 0.2214 </t>
  </si>
  <si>
    <t> R. Nelson </t>
  </si>
  <si>
    <t>IBVS 5672 </t>
  </si>
  <si>
    <t>2453546.48148 </t>
  </si>
  <si>
    <t> 24.06.2005 23:33 </t>
  </si>
  <si>
    <t>26834</t>
  </si>
  <si>
    <t> 0.30252 </t>
  </si>
  <si>
    <t> L.Brát </t>
  </si>
  <si>
    <t>2453784.0115 </t>
  </si>
  <si>
    <t> 17.02.2006 12:16 </t>
  </si>
  <si>
    <t>27366</t>
  </si>
  <si>
    <t> 0.4229 </t>
  </si>
  <si>
    <t>IBVS 5760 </t>
  </si>
  <si>
    <t>2453817.4733 </t>
  </si>
  <si>
    <t> 22.03.2006 23:21 </t>
  </si>
  <si>
    <t>27441</t>
  </si>
  <si>
    <t> 0.4153 </t>
  </si>
  <si>
    <t> Moschner </t>
  </si>
  <si>
    <t>BAVM 178 </t>
  </si>
  <si>
    <t>2453849.5198 </t>
  </si>
  <si>
    <t> 24.04.2006 00:28 </t>
  </si>
  <si>
    <t>27513</t>
  </si>
  <si>
    <t> 0.3312 </t>
  </si>
  <si>
    <t> Agerer </t>
  </si>
  <si>
    <t>2453858.4766 </t>
  </si>
  <si>
    <t> 02.05.2006 23:26 </t>
  </si>
  <si>
    <t>27533</t>
  </si>
  <si>
    <t> 0.3628 </t>
  </si>
  <si>
    <t> K.&amp; M.Rätz </t>
  </si>
  <si>
    <t>2453899.4753 </t>
  </si>
  <si>
    <t> 12.06.2006 23:24 </t>
  </si>
  <si>
    <t>27625</t>
  </si>
  <si>
    <t> 0.3057 </t>
  </si>
  <si>
    <t> R. Diethelm </t>
  </si>
  <si>
    <t>IBVS 5713 </t>
  </si>
  <si>
    <t>2454233.8613 </t>
  </si>
  <si>
    <t> 13.05.2007 08:40 </t>
  </si>
  <si>
    <t>28374.5</t>
  </si>
  <si>
    <t> 0.2208 </t>
  </si>
  <si>
    <t>IBVS 5820 </t>
  </si>
  <si>
    <t>2454240.4604 </t>
  </si>
  <si>
    <t> 19.05.2007 23:02 </t>
  </si>
  <si>
    <t>28389</t>
  </si>
  <si>
    <t> 0.3492 </t>
  </si>
  <si>
    <t>2454718.3524 </t>
  </si>
  <si>
    <t> 08.09.2008 20:27 </t>
  </si>
  <si>
    <t>29460</t>
  </si>
  <si>
    <t> 0.2981 </t>
  </si>
  <si>
    <t>-U;-I</t>
  </si>
  <si>
    <t> M.&amp; K.Rätz </t>
  </si>
  <si>
    <t>BAVM 209 </t>
  </si>
  <si>
    <t>2454897.9138 </t>
  </si>
  <si>
    <t> 07.03.2009 09:55 </t>
  </si>
  <si>
    <t>29862.5</t>
  </si>
  <si>
    <t> 0.2404 </t>
  </si>
  <si>
    <t>IBVS 5938 </t>
  </si>
  <si>
    <t>2454908.5187 </t>
  </si>
  <si>
    <t> 18.03.2009 00:26 </t>
  </si>
  <si>
    <t>29886</t>
  </si>
  <si>
    <t> 0.3582 </t>
  </si>
  <si>
    <t>2454915.8265 </t>
  </si>
  <si>
    <t> 25.03.2009 07:50 </t>
  </si>
  <si>
    <t>29902.5</t>
  </si>
  <si>
    <t> 0.3027 </t>
  </si>
  <si>
    <t>2454936.5598 </t>
  </si>
  <si>
    <t> 15.04.2009 01:26 </t>
  </si>
  <si>
    <t>29949</t>
  </si>
  <si>
    <t> 0.2850 </t>
  </si>
  <si>
    <t> S.Parimucha et al. </t>
  </si>
  <si>
    <t>IBVS 5898 </t>
  </si>
  <si>
    <t>2454938.4453 </t>
  </si>
  <si>
    <t> 16.04.2009 22:41 </t>
  </si>
  <si>
    <t>29953</t>
  </si>
  <si>
    <t> 0.3855 </t>
  </si>
  <si>
    <t>2454942.4519 </t>
  </si>
  <si>
    <t> 20.04.2009 22:50 </t>
  </si>
  <si>
    <t>29962</t>
  </si>
  <si>
    <t> 0.3757 </t>
  </si>
  <si>
    <t> W.Moschner &amp; P.Frank </t>
  </si>
  <si>
    <t>2454959.4181 </t>
  </si>
  <si>
    <t> 07.05.2009 22:02 </t>
  </si>
  <si>
    <t>30000</t>
  </si>
  <si>
    <t> 0.3841 </t>
  </si>
  <si>
    <t>2454963.1883 </t>
  </si>
  <si>
    <t> 11.05.2009 16:31 </t>
  </si>
  <si>
    <t>30008.5</t>
  </si>
  <si>
    <t> 0.3611 </t>
  </si>
  <si>
    <t>Rc</t>
  </si>
  <si>
    <t> K.Nakajima </t>
  </si>
  <si>
    <t>VSB 50 </t>
  </si>
  <si>
    <t>2454981.8063 </t>
  </si>
  <si>
    <t> 30.05.2009 07:21 </t>
  </si>
  <si>
    <t>30050</t>
  </si>
  <si>
    <t> 0.4594 </t>
  </si>
  <si>
    <t>2454982.7488 </t>
  </si>
  <si>
    <t> 31.05.2009 05:58 </t>
  </si>
  <si>
    <t>30052.5</t>
  </si>
  <si>
    <t> 0.2862 </t>
  </si>
  <si>
    <t>2454998.7765 </t>
  </si>
  <si>
    <t> 16.06.2009 06:38 </t>
  </si>
  <si>
    <t>30088.5</t>
  </si>
  <si>
    <t> 0.2486 </t>
  </si>
  <si>
    <t>IBVS 5894 </t>
  </si>
  <si>
    <t>2455050.3786 </t>
  </si>
  <si>
    <t> 06.08.2009 21:05 </t>
  </si>
  <si>
    <t>30204</t>
  </si>
  <si>
    <t> 0.3078 </t>
  </si>
  <si>
    <t> L.Šmelcer </t>
  </si>
  <si>
    <t>OEJV 0137 </t>
  </si>
  <si>
    <t>2455050.3787 </t>
  </si>
  <si>
    <t> 0.3079 </t>
  </si>
  <si>
    <t>2455050.3791 </t>
  </si>
  <si>
    <t> 0.3083 </t>
  </si>
  <si>
    <t>2455058.3907 </t>
  </si>
  <si>
    <t> 14.08.2009 21:22 </t>
  </si>
  <si>
    <t>30222</t>
  </si>
  <si>
    <t> 0.2873 </t>
  </si>
  <si>
    <t> P.Frank </t>
  </si>
  <si>
    <t>BAVM 212 </t>
  </si>
  <si>
    <t>2455076.3007 </t>
  </si>
  <si>
    <t> 01.09.2009 19:13 </t>
  </si>
  <si>
    <t> 0.3469 </t>
  </si>
  <si>
    <t>IBVS 5980 </t>
  </si>
  <si>
    <t>2455083.3697 </t>
  </si>
  <si>
    <t> 08.09.2009 20:52 </t>
  </si>
  <si>
    <t> 0.2758 </t>
  </si>
  <si>
    <t> M.Rätz &amp; K.Rätz </t>
  </si>
  <si>
    <t>BAVM 214 </t>
  </si>
  <si>
    <t>2455097.2728 </t>
  </si>
  <si>
    <t> 22.09.2009 18:32 </t>
  </si>
  <si>
    <t>30309</t>
  </si>
  <si>
    <t> 0.3449 </t>
  </si>
  <si>
    <t>2455125.3152 </t>
  </si>
  <si>
    <t> 20.10.2009 19:33 </t>
  </si>
  <si>
    <t>30372</t>
  </si>
  <si>
    <t> 0.2730 </t>
  </si>
  <si>
    <t>2455350.1238 </t>
  </si>
  <si>
    <t> 02.06.2010 14:58 </t>
  </si>
  <si>
    <t> 0.1672 </t>
  </si>
  <si>
    <t> H.Itoh </t>
  </si>
  <si>
    <t>VSB 51 </t>
  </si>
  <si>
    <t>2455352.4756 </t>
  </si>
  <si>
    <t> 04.06.2010 23:24 </t>
  </si>
  <si>
    <t> 0.2877 </t>
  </si>
  <si>
    <t>2455352.4769 </t>
  </si>
  <si>
    <t> 04.06.2010 23:26 </t>
  </si>
  <si>
    <t> 0.2890 </t>
  </si>
  <si>
    <t>2455352.4775 </t>
  </si>
  <si>
    <t> 04.06.2010 23:27 </t>
  </si>
  <si>
    <t> 0.2896 </t>
  </si>
  <si>
    <t>2455376.5161 </t>
  </si>
  <si>
    <t> 29.06.2010 00:23 </t>
  </si>
  <si>
    <t> 0.2302 </t>
  </si>
  <si>
    <t>2455388.5373 </t>
  </si>
  <si>
    <t> 11.07.2010 00:53 </t>
  </si>
  <si>
    <t>BAVM 215 </t>
  </si>
  <si>
    <t>2455393.4819 </t>
  </si>
  <si>
    <t> 15.07.2010 23:33 </t>
  </si>
  <si>
    <t> 0.2382 </t>
  </si>
  <si>
    <t>BAVM 220 </t>
  </si>
  <si>
    <t>2455444.3817 </t>
  </si>
  <si>
    <t> 04.09.2010 21:09 </t>
  </si>
  <si>
    <t> 0.2645 </t>
  </si>
  <si>
    <t>2455629.6014 </t>
  </si>
  <si>
    <t> 09.03.2011 02:26 </t>
  </si>
  <si>
    <t> 0.2868 </t>
  </si>
  <si>
    <t>IBVS 6044 </t>
  </si>
  <si>
    <t>2455695.8169 </t>
  </si>
  <si>
    <t> 14.05.2011 07:36 </t>
  </si>
  <si>
    <t> 0.2329 </t>
  </si>
  <si>
    <t>IBVS 6018 </t>
  </si>
  <si>
    <t>2455710.4278 </t>
  </si>
  <si>
    <t> 28.05.2011 22:16 </t>
  </si>
  <si>
    <t> 0.3404 </t>
  </si>
  <si>
    <t>2455737.7638 </t>
  </si>
  <si>
    <t> 25.06.2011 06:19 </t>
  </si>
  <si>
    <t> 0.2315 </t>
  </si>
  <si>
    <t>IBVS 5992 </t>
  </si>
  <si>
    <t>2456055.4165 </t>
  </si>
  <si>
    <t> 07.05.2012 21:59 </t>
  </si>
  <si>
    <t> 0.1480 </t>
  </si>
  <si>
    <t>BAVM 228 </t>
  </si>
  <si>
    <t>2456060.1274 </t>
  </si>
  <si>
    <t> 12.05.2012 15:03 </t>
  </si>
  <si>
    <t> 0.1732 </t>
  </si>
  <si>
    <t> K.Shiokawa </t>
  </si>
  <si>
    <t>VSB 55 </t>
  </si>
  <si>
    <t>2456070.4969 </t>
  </si>
  <si>
    <t> 22.05.2012 23:55 </t>
  </si>
  <si>
    <t> 0.2787 </t>
  </si>
  <si>
    <t>-Ir</t>
  </si>
  <si>
    <t>BAVM 231 </t>
  </si>
  <si>
    <t>2456132.4748 </t>
  </si>
  <si>
    <t> 23.07.2012 23:23 </t>
  </si>
  <si>
    <t>32629</t>
  </si>
  <si>
    <t> 0.2267 </t>
  </si>
  <si>
    <t>2456159.3360 </t>
  </si>
  <si>
    <t> 19.08.2012 20:03 </t>
  </si>
  <si>
    <t>32689</t>
  </si>
  <si>
    <t> 0.3124 </t>
  </si>
  <si>
    <t>2456407.47466 </t>
  </si>
  <si>
    <t> 24.04.2013 23:23 </t>
  </si>
  <si>
    <t>33245</t>
  </si>
  <si>
    <t> 0.33118 </t>
  </si>
  <si>
    <t>OEJV 0160 </t>
  </si>
  <si>
    <t>2456407.47494 </t>
  </si>
  <si>
    <t> 0.33146 </t>
  </si>
  <si>
    <t>2456407.47587 </t>
  </si>
  <si>
    <t> 24.04.2013 23:25 </t>
  </si>
  <si>
    <t> 0.33239 </t>
  </si>
  <si>
    <t>Kurochkin N E</t>
  </si>
  <si>
    <t>P,,D,0051,PZP 3.208,</t>
  </si>
  <si>
    <t>s</t>
  </si>
  <si>
    <t>P,,D,0051,PZP 3.212,</t>
  </si>
  <si>
    <t>P,,D,0051,PZP 3.213,</t>
  </si>
  <si>
    <t>none</t>
  </si>
  <si>
    <t>P,GCVS,0,0051,,</t>
  </si>
  <si>
    <t>pe</t>
  </si>
  <si>
    <t>Ciardo G</t>
  </si>
  <si>
    <t>,,D,Lich,ASS 111.123,</t>
  </si>
  <si>
    <t>Faulkner Danny</t>
  </si>
  <si>
    <t>I,3234,I,3234,PASP 98,691,</t>
  </si>
  <si>
    <t>Nelson Robert</t>
  </si>
  <si>
    <t>I,3201,I,3234,,</t>
  </si>
  <si>
    <t>Diethelm Roger</t>
  </si>
  <si>
    <t>B,0088,I,3234,,</t>
  </si>
  <si>
    <t>Agerer Franz</t>
  </si>
  <si>
    <t>D,0052,D,0052,,</t>
  </si>
  <si>
    <t>Samec Ronald</t>
  </si>
  <si>
    <t>I,3356,I,3356,,</t>
  </si>
  <si>
    <t>I,3234,I,3356,,</t>
  </si>
  <si>
    <t>Peter H</t>
  </si>
  <si>
    <t>B,0089,B,0089,,</t>
  </si>
  <si>
    <t>B,0092,B,0092,,</t>
  </si>
  <si>
    <t>D,0056,D,0056,,</t>
  </si>
  <si>
    <t>B,0095,B,0095,,</t>
  </si>
  <si>
    <t>D,0059,D,0059,,</t>
  </si>
  <si>
    <t>B,0096,B,0096,,</t>
  </si>
  <si>
    <t>B,0098,B,0098,,</t>
  </si>
  <si>
    <t>D,0060,D,0060,,</t>
  </si>
  <si>
    <t>B,0099,B,0099,,</t>
  </si>
  <si>
    <t>B,0101,B,0101,,</t>
  </si>
  <si>
    <t>B,0102,B,0102,,</t>
  </si>
  <si>
    <t>D,0068,D,0068,,</t>
  </si>
  <si>
    <t>D,0080,I,4222,,</t>
  </si>
  <si>
    <t>ccd</t>
  </si>
  <si>
    <t>Krobusek Bruce</t>
  </si>
  <si>
    <t>B,0115,B,0115,,</t>
  </si>
  <si>
    <t>D,0117,I,4711,,</t>
  </si>
  <si>
    <t>Paschke Anton</t>
  </si>
  <si>
    <t>0,home,,,,Rotse</t>
  </si>
  <si>
    <t>I,5027,I,5027,,ROTSE</t>
  </si>
  <si>
    <t>I,5224,,,,BYO</t>
  </si>
  <si>
    <t>BV</t>
  </si>
  <si>
    <t>D,0152,I,5296,,EMI 9781A</t>
  </si>
  <si>
    <t>B,0125,B,0125,,</t>
  </si>
  <si>
    <t>Quester Wolfgang</t>
  </si>
  <si>
    <t>D,0158,I,5484,,</t>
  </si>
  <si>
    <t>I,5493,,,,</t>
  </si>
  <si>
    <t>VI</t>
  </si>
  <si>
    <t>D,0186,I,5802,,ST-6</t>
  </si>
  <si>
    <t>D,0173,I,5657,,</t>
  </si>
  <si>
    <t>Raetz Manfred</t>
  </si>
  <si>
    <t>I,5672,,,,</t>
  </si>
  <si>
    <t>I,5760,,,,</t>
  </si>
  <si>
    <t>Moschner W</t>
  </si>
  <si>
    <t>D,0178,I,5731,,</t>
  </si>
  <si>
    <t>Raetz M</t>
  </si>
  <si>
    <t>B,0132,,,,</t>
  </si>
  <si>
    <t>I,5820,,,,ST-7</t>
  </si>
  <si>
    <t>I,5875,,,,ST-7XME</t>
  </si>
  <si>
    <t>D,0209,I,5918,,ST-6</t>
  </si>
  <si>
    <t>Dworak Shawn</t>
  </si>
  <si>
    <t>I,5938,,,,</t>
  </si>
  <si>
    <t>D,0209,I,5918,,Sig 1603</t>
  </si>
  <si>
    <t>Parimucha S</t>
  </si>
  <si>
    <t>I,5898,,,,256mm Newton</t>
  </si>
  <si>
    <t>D,0209,I,5918,,ST-9XE</t>
  </si>
  <si>
    <t>Nakajima Kazuhir</t>
  </si>
  <si>
    <t>J,0050,,,,20SC+CV-04</t>
  </si>
  <si>
    <t>I,5894,,,,</t>
  </si>
  <si>
    <t>Frank Peter</t>
  </si>
  <si>
    <t>D,0212,I,5941,,Sigma 1603</t>
  </si>
  <si>
    <t>Parimucha Stefan</t>
  </si>
  <si>
    <t>I,5980,,,,265mm+MeadeD</t>
  </si>
  <si>
    <t>D,0214,I,5959,,G2-1600</t>
  </si>
  <si>
    <t>Itoh Hiroshi</t>
  </si>
  <si>
    <t>J,0051,,,,30SC+DSI-Pro</t>
  </si>
  <si>
    <t>D,0214,I,5959,,Sigma 1603</t>
  </si>
  <si>
    <t>D,0215,I,5984,,Sigma 1603</t>
  </si>
  <si>
    <t>D,0220,I,6010,,G2</t>
  </si>
  <si>
    <t>I,6044,,,,K1-M</t>
  </si>
  <si>
    <t>I,6018,,,,ST-7XE</t>
  </si>
  <si>
    <t>D,0220,I,6010,,Sigma 403</t>
  </si>
  <si>
    <t>I,5992,,,,</t>
  </si>
  <si>
    <t>D,0228,I,6048,,Sigma 1603</t>
  </si>
  <si>
    <t>Shiokawa Kazuhik</t>
  </si>
  <si>
    <t>J,0055,,,,35SC+ST-9E</t>
  </si>
  <si>
    <t>D,0231,I,6070,,G2</t>
  </si>
  <si>
    <t>D,0231,I,6070,,Sigma1603</t>
  </si>
  <si>
    <t>I,6044,,,,K1-G</t>
  </si>
  <si>
    <t xml:space="preserve">B.R.N.O. data: </t>
  </si>
  <si>
    <t>Dedoch A</t>
  </si>
  <si>
    <t>C,0030,C,0030,,</t>
  </si>
  <si>
    <t>Koss Karel</t>
  </si>
  <si>
    <t>C,0032,,,,RL170</t>
  </si>
  <si>
    <t>ccdV</t>
  </si>
  <si>
    <t>Hajek Petr</t>
  </si>
  <si>
    <t>C,0034,E,0074,,RL170</t>
  </si>
  <si>
    <t>Zahajsky J</t>
  </si>
  <si>
    <t>C,0032,,,,RL235</t>
  </si>
  <si>
    <t>Hajek P</t>
  </si>
  <si>
    <t>Brat Lubos</t>
  </si>
  <si>
    <t>C,0000,,,,</t>
  </si>
  <si>
    <t>ccdR</t>
  </si>
  <si>
    <t>Brat L</t>
  </si>
  <si>
    <t>C,0034,E,0074,,RL200</t>
  </si>
  <si>
    <t>Smelcer L</t>
  </si>
  <si>
    <t>C,0037,E,0137,,280mm+ST7</t>
  </si>
  <si>
    <t>Smelcer L.</t>
  </si>
  <si>
    <t>C,0038,E,0160,,35cm+G2</t>
  </si>
  <si>
    <t>s5</t>
  </si>
  <si>
    <t>s6</t>
  </si>
  <si>
    <t>s7</t>
  </si>
  <si>
    <t>IBVS 5984</t>
  </si>
  <si>
    <t>IBVS 6149</t>
  </si>
  <si>
    <t>IBVS 6154</t>
  </si>
  <si>
    <t>IBVS 6167</t>
  </si>
  <si>
    <t>VSB_061</t>
  </si>
  <si>
    <t>OEJV 0179</t>
  </si>
  <si>
    <t>IBVS 6234</t>
  </si>
  <si>
    <t>JAVSO..45..121</t>
  </si>
  <si>
    <t>JAVSO..45..215</t>
  </si>
  <si>
    <t>IBVS 6225</t>
  </si>
  <si>
    <t>VSB-64</t>
  </si>
  <si>
    <t>RHN 2021</t>
  </si>
  <si>
    <t>2020JAVSO..48….1</t>
  </si>
  <si>
    <t>JAVSO 49, 256</t>
  </si>
  <si>
    <t>JAVSO, 48, 256</t>
  </si>
  <si>
    <t>JBAV, 60</t>
  </si>
  <si>
    <t>JAVSO, 49, 265</t>
  </si>
  <si>
    <t>JAAVSO, 50, 255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</si>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</sst>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  <numFmt numFmtId="169" formatCode="0.0000E+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3"/>
        <bgColor indexed="2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31"/>
      </left>
      <right style="medium">
        <color indexed="64"/>
      </right>
      <top/>
      <bottom style="thin">
        <color indexed="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3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8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>
      <alignment vertical="top"/>
    </xf>
    <xf numFmtId="14" fontId="0" fillId="0" borderId="11" xfId="0" applyNumberFormat="1" applyBorder="1">
      <alignment vertical="top"/>
    </xf>
    <xf numFmtId="0" fontId="0" fillId="0" borderId="12" xfId="0" applyBorder="1">
      <alignment vertical="top"/>
    </xf>
    <xf numFmtId="14" fontId="0" fillId="0" borderId="12" xfId="0" applyNumberFormat="1" applyBorder="1">
      <alignment vertical="top"/>
    </xf>
    <xf numFmtId="0" fontId="0" fillId="0" borderId="13" xfId="0" applyBorder="1">
      <alignment vertical="top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top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8" fillId="0" borderId="0" xfId="0" applyFont="1" applyAlignment="1"/>
    <xf numFmtId="0" fontId="7" fillId="0" borderId="11" xfId="0" applyFont="1" applyBorder="1">
      <alignment vertical="top"/>
    </xf>
    <xf numFmtId="0" fontId="0" fillId="0" borderId="11" xfId="0" quotePrefix="1" applyBorder="1">
      <alignment vertical="top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>
      <alignment horizontal="center" vertical="top"/>
    </xf>
    <xf numFmtId="0" fontId="0" fillId="0" borderId="0" xfId="0">
      <alignment vertical="top"/>
    </xf>
    <xf numFmtId="0" fontId="0" fillId="0" borderId="11" xfId="0" applyBorder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1" fillId="0" borderId="11" xfId="0" applyFont="1" applyBorder="1" applyAlignment="1"/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0" fontId="16" fillId="0" borderId="0" xfId="0" applyFont="1" applyAlignment="1"/>
    <xf numFmtId="0" fontId="17" fillId="0" borderId="0" xfId="0" applyFont="1" applyAlignment="1"/>
    <xf numFmtId="11" fontId="17" fillId="0" borderId="12" xfId="0" applyNumberFormat="1" applyFont="1" applyBorder="1">
      <alignment vertical="top"/>
    </xf>
    <xf numFmtId="0" fontId="17" fillId="0" borderId="14" xfId="0" applyFont="1" applyBorder="1" applyAlignment="1">
      <alignment horizontal="center" vertical="top"/>
    </xf>
    <xf numFmtId="0" fontId="14" fillId="0" borderId="11" xfId="0" applyFont="1" applyBorder="1" applyAlignment="1"/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14" fillId="0" borderId="12" xfId="0" applyFont="1" applyBorder="1">
      <alignment vertical="top"/>
    </xf>
    <xf numFmtId="0" fontId="14" fillId="0" borderId="11" xfId="0" applyFont="1" applyBorder="1">
      <alignment vertical="top"/>
    </xf>
    <xf numFmtId="0" fontId="18" fillId="0" borderId="11" xfId="0" applyFont="1" applyBorder="1">
      <alignment vertical="top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8" fillId="0" borderId="11" xfId="0" applyFont="1" applyBorder="1" applyAlignment="1"/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165" fontId="14" fillId="0" borderId="0" xfId="0" applyNumberFormat="1" applyFont="1" applyAlignment="1">
      <alignment horizontal="left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/>
    <xf numFmtId="11" fontId="0" fillId="0" borderId="25" xfId="0" applyNumberFormat="1" applyBorder="1">
      <alignment vertical="top"/>
    </xf>
    <xf numFmtId="0" fontId="0" fillId="0" borderId="26" xfId="0" applyBorder="1" applyAlignment="1"/>
    <xf numFmtId="11" fontId="0" fillId="0" borderId="27" xfId="0" applyNumberFormat="1" applyBorder="1">
      <alignment vertical="top"/>
    </xf>
    <xf numFmtId="0" fontId="0" fillId="0" borderId="28" xfId="0" applyBorder="1" applyAlignment="1">
      <alignment horizontal="center" vertical="top"/>
    </xf>
    <xf numFmtId="0" fontId="7" fillId="0" borderId="29" xfId="0" applyFont="1" applyBorder="1" applyAlignment="1"/>
    <xf numFmtId="0" fontId="7" fillId="0" borderId="30" xfId="0" applyFont="1" applyBorder="1" applyAlignment="1"/>
    <xf numFmtId="11" fontId="0" fillId="0" borderId="0" xfId="0" applyNumberFormat="1">
      <alignment vertical="top"/>
    </xf>
    <xf numFmtId="0" fontId="0" fillId="0" borderId="31" xfId="0" applyBorder="1" applyAlignment="1"/>
    <xf numFmtId="11" fontId="0" fillId="0" borderId="32" xfId="0" applyNumberFormat="1" applyBorder="1">
      <alignment vertical="top"/>
    </xf>
    <xf numFmtId="0" fontId="13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31" xfId="0" applyFont="1" applyBorder="1">
      <alignment vertical="top"/>
    </xf>
    <xf numFmtId="0" fontId="8" fillId="0" borderId="33" xfId="0" applyFont="1" applyBorder="1">
      <alignment vertical="top"/>
    </xf>
    <xf numFmtId="0" fontId="11" fillId="0" borderId="15" xfId="0" applyFont="1" applyBorder="1">
      <alignment vertical="top"/>
    </xf>
    <xf numFmtId="167" fontId="11" fillId="0" borderId="15" xfId="0" applyNumberFormat="1" applyFont="1" applyBorder="1" applyAlignment="1">
      <alignment horizontal="center"/>
    </xf>
    <xf numFmtId="14" fontId="0" fillId="0" borderId="0" xfId="0" applyNumberFormat="1">
      <alignment vertical="top"/>
    </xf>
    <xf numFmtId="0" fontId="7" fillId="0" borderId="24" xfId="0" applyFont="1" applyBorder="1">
      <alignment vertical="top"/>
    </xf>
    <xf numFmtId="0" fontId="8" fillId="0" borderId="34" xfId="0" applyFont="1" applyBorder="1">
      <alignment vertical="top"/>
    </xf>
    <xf numFmtId="0" fontId="11" fillId="0" borderId="16" xfId="0" applyFont="1" applyBorder="1">
      <alignment vertical="top"/>
    </xf>
    <xf numFmtId="167" fontId="11" fillId="0" borderId="16" xfId="0" applyNumberFormat="1" applyFont="1" applyBorder="1" applyAlignment="1">
      <alignment horizontal="center"/>
    </xf>
    <xf numFmtId="0" fontId="7" fillId="0" borderId="26" xfId="0" applyFont="1" applyBorder="1">
      <alignment vertical="top"/>
    </xf>
    <xf numFmtId="0" fontId="8" fillId="0" borderId="35" xfId="0" applyFont="1" applyBorder="1">
      <alignment vertical="top"/>
    </xf>
    <xf numFmtId="0" fontId="11" fillId="0" borderId="17" xfId="0" applyFont="1" applyBorder="1">
      <alignment vertical="top"/>
    </xf>
    <xf numFmtId="167" fontId="11" fillId="0" borderId="17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4" fillId="24" borderId="5" xfId="0" applyFont="1" applyFill="1" applyBorder="1">
      <alignment vertical="top"/>
    </xf>
    <xf numFmtId="0" fontId="11" fillId="0" borderId="36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168" fontId="7" fillId="0" borderId="0" xfId="0" applyNumberFormat="1" applyFont="1">
      <alignment vertical="top"/>
    </xf>
    <xf numFmtId="11" fontId="24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19" fillId="0" borderId="0" xfId="0" applyFont="1">
      <alignment vertical="top"/>
    </xf>
    <xf numFmtId="168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7" fillId="0" borderId="0" xfId="0" applyFont="1">
      <alignment vertical="top"/>
    </xf>
    <xf numFmtId="0" fontId="15" fillId="0" borderId="0" xfId="0" applyFont="1">
      <alignment vertical="top"/>
    </xf>
    <xf numFmtId="22" fontId="11" fillId="0" borderId="0" xfId="0" applyNumberFormat="1" applyFont="1">
      <alignment vertical="top"/>
    </xf>
    <xf numFmtId="0" fontId="24" fillId="0" borderId="0" xfId="0" applyFont="1" applyAlignment="1" applyProtection="1">
      <alignment horizontal="left"/>
      <protection locked="0"/>
    </xf>
    <xf numFmtId="0" fontId="27" fillId="0" borderId="0" xfId="0" applyFont="1">
      <alignment vertical="top"/>
    </xf>
    <xf numFmtId="169" fontId="0" fillId="0" borderId="0" xfId="0" applyNumberFormat="1" applyAlignment="1">
      <alignment horizontal="center"/>
    </xf>
    <xf numFmtId="0" fontId="14" fillId="0" borderId="20" xfId="0" applyFont="1" applyBorder="1">
      <alignment vertical="top"/>
    </xf>
    <xf numFmtId="0" fontId="14" fillId="0" borderId="0" xfId="0" applyFont="1" applyAlignment="1">
      <alignment horizontal="left" vertical="top"/>
    </xf>
    <xf numFmtId="0" fontId="14" fillId="0" borderId="21" xfId="0" applyFont="1" applyBorder="1">
      <alignment vertical="top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quotePrefix="1" applyFont="1" applyBorder="1">
      <alignment vertical="top"/>
    </xf>
    <xf numFmtId="0" fontId="14" fillId="0" borderId="0" xfId="0" applyFont="1">
      <alignment vertical="top"/>
    </xf>
    <xf numFmtId="0" fontId="18" fillId="0" borderId="0" xfId="0" applyFont="1">
      <alignment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21" fillId="0" borderId="11" xfId="0" applyFont="1" applyBorder="1">
      <alignment vertical="top"/>
    </xf>
    <xf numFmtId="0" fontId="21" fillId="0" borderId="11" xfId="0" applyFont="1" applyBorder="1" applyAlignment="1">
      <alignment horizontal="left"/>
    </xf>
    <xf numFmtId="0" fontId="16" fillId="0" borderId="0" xfId="0" applyFont="1">
      <alignment vertical="top"/>
    </xf>
    <xf numFmtId="0" fontId="21" fillId="0" borderId="0" xfId="0" applyFont="1">
      <alignment vertical="top"/>
    </xf>
    <xf numFmtId="0" fontId="14" fillId="0" borderId="0" xfId="0" quotePrefix="1" applyFont="1">
      <alignment vertical="top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25" borderId="38" xfId="0" applyFill="1" applyBorder="1" applyAlignment="1"/>
    <xf numFmtId="0" fontId="0" fillId="25" borderId="16" xfId="0" applyFill="1" applyBorder="1" applyAlignment="1"/>
    <xf numFmtId="0" fontId="0" fillId="25" borderId="17" xfId="0" applyFill="1" applyBorder="1" applyAlignment="1"/>
    <xf numFmtId="0" fontId="29" fillId="25" borderId="30" xfId="0" applyFont="1" applyFill="1" applyBorder="1" applyAlignment="1"/>
    <xf numFmtId="0" fontId="11" fillId="25" borderId="34" xfId="0" applyFont="1" applyFill="1" applyBorder="1" applyAlignment="1"/>
    <xf numFmtId="0" fontId="11" fillId="25" borderId="35" xfId="0" applyFont="1" applyFill="1" applyBorder="1" applyAlignment="1"/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top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19" fillId="0" borderId="0" xfId="0" applyFont="1" applyAlignment="1"/>
    <xf numFmtId="0" fontId="28" fillId="0" borderId="0" xfId="0" applyFont="1" applyAlignment="1">
      <alignment horizontal="left"/>
    </xf>
    <xf numFmtId="0" fontId="0" fillId="0" borderId="31" xfId="0" applyBorder="1" applyAlignment="1">
      <alignment horizontal="center"/>
    </xf>
    <xf numFmtId="0" fontId="0" fillId="0" borderId="33" xfId="0" applyBorder="1">
      <alignment vertical="top"/>
    </xf>
    <xf numFmtId="0" fontId="0" fillId="0" borderId="24" xfId="0" applyBorder="1" applyAlignment="1">
      <alignment horizontal="center"/>
    </xf>
    <xf numFmtId="0" fontId="0" fillId="0" borderId="34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6" xfId="0" applyBorder="1" applyAlignment="1">
      <alignment horizontal="center"/>
    </xf>
    <xf numFmtId="0" fontId="0" fillId="0" borderId="35" xfId="0" applyBorder="1">
      <alignment vertical="top"/>
    </xf>
    <xf numFmtId="0" fontId="0" fillId="0" borderId="0" xfId="0" quotePrefix="1">
      <alignment vertical="top"/>
    </xf>
    <xf numFmtId="0" fontId="5" fillId="26" borderId="39" xfId="0" applyFont="1" applyFill="1" applyBorder="1" applyAlignment="1">
      <alignment horizontal="left" vertical="top" wrapText="1" indent="1"/>
    </xf>
    <xf numFmtId="0" fontId="5" fillId="26" borderId="39" xfId="0" applyFont="1" applyFill="1" applyBorder="1" applyAlignment="1">
      <alignment horizontal="center" vertical="top" wrapText="1"/>
    </xf>
    <xf numFmtId="0" fontId="5" fillId="26" borderId="39" xfId="0" applyFont="1" applyFill="1" applyBorder="1" applyAlignment="1">
      <alignment horizontal="right" vertical="top" wrapText="1"/>
    </xf>
    <xf numFmtId="0" fontId="30" fillId="26" borderId="39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/>
    </xf>
    <xf numFmtId="0" fontId="0" fillId="27" borderId="0" xfId="0" applyFill="1">
      <alignment vertical="top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1" xfId="0" applyFont="1" applyBorder="1" applyAlignment="1">
      <alignment vertical="center"/>
    </xf>
    <xf numFmtId="11" fontId="6" fillId="0" borderId="32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1" fontId="6" fillId="0" borderId="2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25" borderId="38" xfId="0" applyFont="1" applyFill="1" applyBorder="1" applyAlignment="1">
      <alignment vertical="center"/>
    </xf>
    <xf numFmtId="0" fontId="29" fillId="25" borderId="30" xfId="0" applyFont="1" applyFill="1" applyBorder="1" applyAlignment="1">
      <alignment vertical="center"/>
    </xf>
    <xf numFmtId="0" fontId="6" fillId="25" borderId="16" xfId="0" applyFont="1" applyFill="1" applyBorder="1" applyAlignment="1">
      <alignment vertical="center"/>
    </xf>
    <xf numFmtId="0" fontId="11" fillId="25" borderId="34" xfId="0" applyFont="1" applyFill="1" applyBorder="1" applyAlignment="1">
      <alignment vertical="center"/>
    </xf>
    <xf numFmtId="0" fontId="6" fillId="25" borderId="17" xfId="0" applyFont="1" applyFill="1" applyBorder="1" applyAlignment="1">
      <alignment vertical="center"/>
    </xf>
    <xf numFmtId="0" fontId="11" fillId="25" borderId="3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11" fontId="6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169" fontId="6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1" fontId="17" fillId="0" borderId="13" xfId="0" applyNumberFormat="1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11" fillId="0" borderId="2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1" fontId="17" fillId="0" borderId="12" xfId="0" applyNumberFormat="1" applyFont="1" applyBorder="1" applyAlignment="1">
      <alignment vertical="center"/>
    </xf>
    <xf numFmtId="14" fontId="6" fillId="0" borderId="12" xfId="0" applyNumberFormat="1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4" fontId="6" fillId="0" borderId="11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quotePrefix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1" fillId="28" borderId="11" xfId="0" applyFont="1" applyFill="1" applyBorder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66" fontId="47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 applyProtection="1">
      <alignment vertical="center" wrapText="1"/>
      <protection locked="0"/>
    </xf>
    <xf numFmtId="0" fontId="47" fillId="0" borderId="0" xfId="0" applyFont="1" applyAlignment="1">
      <alignment horizontal="center" vertical="center"/>
    </xf>
    <xf numFmtId="165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CC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819921009191722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76730285381603E-2"/>
          <c:y val="0.13473073588770099"/>
          <c:w val="0.87858175851978071"/>
          <c:h val="0.6167673687303645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1'!$F$21:$F$233</c:f>
              <c:numCache>
                <c:formatCode>General</c:formatCode>
                <c:ptCount val="2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</c:numCache>
            </c:numRef>
          </c:xVal>
          <c:yVal>
            <c:numRef>
              <c:f>'Active 1'!$H$21:$H$233</c:f>
              <c:numCache>
                <c:formatCode>General</c:formatCode>
                <c:ptCount val="213"/>
                <c:pt idx="5">
                  <c:v>1.3202699999965262E-2</c:v>
                </c:pt>
                <c:pt idx="8">
                  <c:v>4.5459599990863353E-2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57-4880-AA28-07A6CA3557E2}"/>
            </c:ext>
          </c:extLst>
        </c:ser>
        <c:ser>
          <c:idx val="3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1'!$I$21:$I$600</c:f>
              <c:numCache>
                <c:formatCode>General</c:formatCode>
                <c:ptCount val="580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  <c:pt idx="174">
                  <c:v>8.0788799998117611E-2</c:v>
                </c:pt>
                <c:pt idx="193">
                  <c:v>9.1577849991153926E-2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57-4880-AA28-07A6CA3557E2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1'!$J$21:$J$600</c:f>
              <c:numCache>
                <c:formatCode>General</c:formatCode>
                <c:ptCount val="580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57-4880-AA28-07A6CA3557E2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1E-3</c:v>
                  </c:pt>
                  <c:pt idx="107">
                    <c:v>0</c:v>
                  </c:pt>
                  <c:pt idx="109">
                    <c:v>4.0000000000000002E-4</c:v>
                  </c:pt>
                  <c:pt idx="110">
                    <c:v>8.0000000000000004E-4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0</c:v>
                  </c:pt>
                  <c:pt idx="123">
                    <c:v>1E-3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1E-3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9.9000000000000008E-3</c:v>
                  </c:pt>
                  <c:pt idx="132">
                    <c:v>1.6000000000000001E-3</c:v>
                  </c:pt>
                  <c:pt idx="133">
                    <c:v>5.0000000000000001E-4</c:v>
                  </c:pt>
                  <c:pt idx="134">
                    <c:v>2E-3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6.0000000000000002E-5</c:v>
                  </c:pt>
                  <c:pt idx="140">
                    <c:v>2.9999999999999997E-4</c:v>
                  </c:pt>
                  <c:pt idx="141">
                    <c:v>2.0999999999999999E-3</c:v>
                  </c:pt>
                  <c:pt idx="142">
                    <c:v>2.9999999999999997E-4</c:v>
                  </c:pt>
                  <c:pt idx="144">
                    <c:v>5.9999999999999995E-4</c:v>
                  </c:pt>
                  <c:pt idx="145">
                    <c:v>1E-4</c:v>
                  </c:pt>
                  <c:pt idx="147">
                    <c:v>1.1000000000000001E-3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8.0000000000000004E-4</c:v>
                  </c:pt>
                  <c:pt idx="152">
                    <c:v>1E-4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4.0000000000000002E-4</c:v>
                  </c:pt>
                  <c:pt idx="156">
                    <c:v>1E-4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2.9999999999999997E-4</c:v>
                  </c:pt>
                  <c:pt idx="161">
                    <c:v>0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8.9999999999999998E-4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1.6000000000000001E-3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8.0000000000000004E-4</c:v>
                  </c:pt>
                  <c:pt idx="183">
                    <c:v>0</c:v>
                  </c:pt>
                  <c:pt idx="184">
                    <c:v>3.0999999999999999E-3</c:v>
                  </c:pt>
                  <c:pt idx="185">
                    <c:v>2.3E-3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0</c:v>
                  </c:pt>
                  <c:pt idx="189">
                    <c:v>2.9999999999999997E-4</c:v>
                  </c:pt>
                  <c:pt idx="190">
                    <c:v>3.0999999999999999E-3</c:v>
                  </c:pt>
                  <c:pt idx="191">
                    <c:v>4.0000000000000002E-4</c:v>
                  </c:pt>
                  <c:pt idx="192">
                    <c:v>1.6000000000000001E-3</c:v>
                  </c:pt>
                  <c:pt idx="193">
                    <c:v>0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4.1999999999999997E-3</c:v>
                  </c:pt>
                  <c:pt idx="197">
                    <c:v>0</c:v>
                  </c:pt>
                  <c:pt idx="198">
                    <c:v>2.9999999999999997E-4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1.8E-3</c:v>
                  </c:pt>
                </c:numCache>
              </c:numRef>
            </c:plus>
            <c:minus>
              <c:numRef>
                <c:f>'Active 1'!$D$21:$D$225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1E-3</c:v>
                  </c:pt>
                  <c:pt idx="107">
                    <c:v>0</c:v>
                  </c:pt>
                  <c:pt idx="109">
                    <c:v>4.0000000000000002E-4</c:v>
                  </c:pt>
                  <c:pt idx="110">
                    <c:v>8.0000000000000004E-4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0</c:v>
                  </c:pt>
                  <c:pt idx="123">
                    <c:v>1E-3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1E-3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9.9000000000000008E-3</c:v>
                  </c:pt>
                  <c:pt idx="132">
                    <c:v>1.6000000000000001E-3</c:v>
                  </c:pt>
                  <c:pt idx="133">
                    <c:v>5.0000000000000001E-4</c:v>
                  </c:pt>
                  <c:pt idx="134">
                    <c:v>2E-3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6.0000000000000002E-5</c:v>
                  </c:pt>
                  <c:pt idx="140">
                    <c:v>2.9999999999999997E-4</c:v>
                  </c:pt>
                  <c:pt idx="141">
                    <c:v>2.0999999999999999E-3</c:v>
                  </c:pt>
                  <c:pt idx="142">
                    <c:v>2.9999999999999997E-4</c:v>
                  </c:pt>
                  <c:pt idx="144">
                    <c:v>5.9999999999999995E-4</c:v>
                  </c:pt>
                  <c:pt idx="145">
                    <c:v>1E-4</c:v>
                  </c:pt>
                  <c:pt idx="147">
                    <c:v>1.1000000000000001E-3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8.0000000000000004E-4</c:v>
                  </c:pt>
                  <c:pt idx="152">
                    <c:v>1E-4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4.0000000000000002E-4</c:v>
                  </c:pt>
                  <c:pt idx="156">
                    <c:v>1E-4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2.9999999999999997E-4</c:v>
                  </c:pt>
                  <c:pt idx="161">
                    <c:v>0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8.9999999999999998E-4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1.6000000000000001E-3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8.0000000000000004E-4</c:v>
                  </c:pt>
                  <c:pt idx="183">
                    <c:v>0</c:v>
                  </c:pt>
                  <c:pt idx="184">
                    <c:v>3.0999999999999999E-3</c:v>
                  </c:pt>
                  <c:pt idx="185">
                    <c:v>2.3E-3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0</c:v>
                  </c:pt>
                  <c:pt idx="189">
                    <c:v>2.9999999999999997E-4</c:v>
                  </c:pt>
                  <c:pt idx="190">
                    <c:v>3.0999999999999999E-3</c:v>
                  </c:pt>
                  <c:pt idx="191">
                    <c:v>4.0000000000000002E-4</c:v>
                  </c:pt>
                  <c:pt idx="192">
                    <c:v>1.6000000000000001E-3</c:v>
                  </c:pt>
                  <c:pt idx="193">
                    <c:v>0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4.1999999999999997E-3</c:v>
                  </c:pt>
                  <c:pt idx="197">
                    <c:v>0</c:v>
                  </c:pt>
                  <c:pt idx="198">
                    <c:v>2.9999999999999997E-4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1'!$F$21:$F$2033</c:f>
              <c:numCache>
                <c:formatCode>General</c:formatCode>
                <c:ptCount val="20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1'!$K$21:$K$2033</c:f>
              <c:numCache>
                <c:formatCode>General</c:formatCode>
                <c:ptCount val="2013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0">
                  <c:v>0.23915799999667797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57-4880-AA28-07A6CA3557E2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1'!$O$21:$O$137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57-4880-AA28-07A6CA3557E2}"/>
            </c:ext>
          </c:extLst>
        </c:ser>
        <c:ser>
          <c:idx val="8"/>
          <c:order val="5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57-4880-AA28-07A6CA355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29376"/>
        <c:axId val="1"/>
      </c:scatterChart>
      <c:valAx>
        <c:axId val="845829376"/>
        <c:scaling>
          <c:orientation val="minMax"/>
          <c:max val="30000"/>
          <c:min val="-6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90902450290584"/>
              <c:y val="0.82934257469313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0239552391280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29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12292631224644"/>
          <c:y val="0.91018089804642677"/>
          <c:w val="0.4652117462124874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79913275032760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03628212035"/>
          <c:y val="0.13119552204173032"/>
          <c:w val="0.86463005002224635"/>
          <c:h val="0.65889306625402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1'!$I$21:$I$137</c:f>
              <c:numCache>
                <c:formatCode>General</c:formatCode>
                <c:ptCount val="117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2-487C-9C60-40B581A3546C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1'!$J$21:$J$600</c:f>
              <c:numCache>
                <c:formatCode>General</c:formatCode>
                <c:ptCount val="580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B2-487C-9C60-40B581A3546C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1'!$K$21:$K$600</c:f>
              <c:numCache>
                <c:formatCode>General</c:formatCode>
                <c:ptCount val="580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0">
                  <c:v>0.23915799999667797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B2-487C-9C60-40B581A3546C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B2-487C-9C60-40B581A3546C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B2-487C-9C60-40B581A3546C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B2-487C-9C60-40B581A3546C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1'!$O$21:$O$137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B2-487C-9C60-40B581A3546C}"/>
            </c:ext>
          </c:extLst>
        </c:ser>
        <c:ser>
          <c:idx val="8"/>
          <c:order val="7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B2-487C-9C60-40B581A35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89112"/>
        <c:axId val="1"/>
      </c:scatterChart>
      <c:valAx>
        <c:axId val="810189112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228529839883552"/>
              <c:y val="0.9183673469387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78457059679767E-2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18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7612809315866"/>
          <c:y val="0.93002915451895041"/>
          <c:w val="0.6331877729257642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12.  V0728 Her -- [46949.836, 0.4712863]</a:t>
            </a:r>
          </a:p>
        </c:rich>
      </c:tx>
      <c:layout>
        <c:manualLayout>
          <c:xMode val="edge"/>
          <c:yMode val="edge"/>
          <c:x val="0.19152061793380801"/>
          <c:y val="2.2813750222969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15209125475285171"/>
          <c:w val="0.85224839400428265"/>
          <c:h val="0.7186311787072243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1'!$F$21:$F$931</c:f>
              <c:numCache>
                <c:formatCode>General</c:formatCode>
                <c:ptCount val="911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1'!$G$21:$G$931</c:f>
              <c:numCache>
                <c:formatCode>General</c:formatCode>
                <c:ptCount val="911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2">
                  <c:v>-2.313400007551536E-3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99">
                  <c:v>1.3731799997913186E-2</c:v>
                </c:pt>
                <c:pt idx="100">
                  <c:v>1.4011799998115748E-2</c:v>
                </c:pt>
                <c:pt idx="101">
                  <c:v>1.4331799997307826E-2</c:v>
                </c:pt>
                <c:pt idx="102">
                  <c:v>5.9018500032834709E-3</c:v>
                </c:pt>
                <c:pt idx="103">
                  <c:v>1.9487649995426182E-2</c:v>
                </c:pt>
                <c:pt idx="104">
                  <c:v>1.8640599999343976E-2</c:v>
                </c:pt>
                <c:pt idx="105">
                  <c:v>1.8680599998333491E-2</c:v>
                </c:pt>
                <c:pt idx="106">
                  <c:v>2.26974999968661E-2</c:v>
                </c:pt>
                <c:pt idx="107">
                  <c:v>2.1338599995942786E-2</c:v>
                </c:pt>
                <c:pt idx="108">
                  <c:v>2.1957800003292505E-2</c:v>
                </c:pt>
                <c:pt idx="109">
                  <c:v>2.2040000003471505E-2</c:v>
                </c:pt>
                <c:pt idx="110">
                  <c:v>2.2372250001353677E-2</c:v>
                </c:pt>
                <c:pt idx="111">
                  <c:v>2.1711299996240996E-2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6">
                  <c:v>2.526006184052676E-2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1">
                  <c:v>3.0897649994585663E-2</c:v>
                </c:pt>
                <c:pt idx="122">
                  <c:v>3.085665000253357E-2</c:v>
                </c:pt>
                <c:pt idx="123">
                  <c:v>3.3827300001576077E-2</c:v>
                </c:pt>
                <c:pt idx="124">
                  <c:v>3.4110949993191753E-2</c:v>
                </c:pt>
                <c:pt idx="125">
                  <c:v>3.7376154534285888E-2</c:v>
                </c:pt>
                <c:pt idx="126">
                  <c:v>3.7659299996448681E-2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3">
                  <c:v>5.512829999497626E-2</c:v>
                </c:pt>
                <c:pt idx="144">
                  <c:v>5.1520199995138682E-2</c:v>
                </c:pt>
                <c:pt idx="145">
                  <c:v>5.9890349992201664E-2</c:v>
                </c:pt>
                <c:pt idx="146">
                  <c:v>6.0582149999390822E-2</c:v>
                </c:pt>
                <c:pt idx="147">
                  <c:v>6.0982150003837887E-2</c:v>
                </c:pt>
                <c:pt idx="148">
                  <c:v>6.6711099992971867E-2</c:v>
                </c:pt>
                <c:pt idx="149">
                  <c:v>6.8673950001539197E-2</c:v>
                </c:pt>
                <c:pt idx="150">
                  <c:v>6.9993650002288632E-2</c:v>
                </c:pt>
                <c:pt idx="151">
                  <c:v>7.0951899993815459E-2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5">
                  <c:v>7.1538299998792354E-2</c:v>
                </c:pt>
                <c:pt idx="156">
                  <c:v>7.1431500000471715E-2</c:v>
                </c:pt>
                <c:pt idx="157">
                  <c:v>7.134109999606153E-2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1">
                  <c:v>7.4734599998919293E-2</c:v>
                </c:pt>
                <c:pt idx="172">
                  <c:v>7.4888749993988313E-2</c:v>
                </c:pt>
                <c:pt idx="173">
                  <c:v>7.5753899996925611E-2</c:v>
                </c:pt>
                <c:pt idx="174">
                  <c:v>8.0788799998117611E-2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4">
                  <c:v>8.1055999995442107E-2</c:v>
                </c:pt>
                <c:pt idx="185">
                  <c:v>8.4455349999188911E-2</c:v>
                </c:pt>
                <c:pt idx="186">
                  <c:v>8.0549199992674403E-2</c:v>
                </c:pt>
                <c:pt idx="187">
                  <c:v>8.1428799996501766E-2</c:v>
                </c:pt>
                <c:pt idx="188">
                  <c:v>8.5612899994885083E-2</c:v>
                </c:pt>
                <c:pt idx="189">
                  <c:v>8.5387749997607898E-2</c:v>
                </c:pt>
                <c:pt idx="190">
                  <c:v>8.6412449993076734E-2</c:v>
                </c:pt>
                <c:pt idx="191">
                  <c:v>8.7807049996627029E-2</c:v>
                </c:pt>
                <c:pt idx="192">
                  <c:v>9.3540850000863429E-2</c:v>
                </c:pt>
                <c:pt idx="193">
                  <c:v>9.1577849991153926E-2</c:v>
                </c:pt>
                <c:pt idx="194">
                  <c:v>9.2779249993327539E-2</c:v>
                </c:pt>
                <c:pt idx="195">
                  <c:v>9.2538899996725377E-2</c:v>
                </c:pt>
                <c:pt idx="196">
                  <c:v>9.6530800001346506E-2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5">
                  <c:v>0.10263814999780152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0">
                  <c:v>0.23915799999667797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4-479B-88B0-1AF5F0A7F452}"/>
            </c:ext>
          </c:extLst>
        </c:ser>
        <c:ser>
          <c:idx val="8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4-479B-88B0-1AF5F0A7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5456"/>
        <c:axId val="1"/>
      </c:scatterChart>
      <c:valAx>
        <c:axId val="845865456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54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Diagram</a:t>
            </a:r>
          </a:p>
        </c:rich>
      </c:tx>
      <c:layout>
        <c:manualLayout>
          <c:xMode val="edge"/>
          <c:yMode val="edge"/>
          <c:x val="0.36747019574360434"/>
          <c:y val="3.448292264437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614457831325"/>
          <c:y val="0.14106583072100312"/>
          <c:w val="0.82981927710843373"/>
          <c:h val="0.655172413793103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1'!$I$21:$I$1135</c:f>
              <c:numCache>
                <c:formatCode>General</c:formatCode>
                <c:ptCount val="1115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  <c:pt idx="174">
                  <c:v>8.0788799998117611E-2</c:v>
                </c:pt>
                <c:pt idx="193">
                  <c:v>9.1577849991153926E-2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F1-4653-970E-1488536C1602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1'!$J$21:$J$1135</c:f>
              <c:numCache>
                <c:formatCode>General</c:formatCode>
                <c:ptCount val="1115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1-4653-970E-1488536C1602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1'!$K$21:$K$1135</c:f>
              <c:numCache>
                <c:formatCode>General</c:formatCode>
                <c:ptCount val="1115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0">
                  <c:v>0.23915799999667797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F1-4653-970E-1488536C1602}"/>
            </c:ext>
          </c:extLst>
        </c:ser>
        <c:ser>
          <c:idx val="8"/>
          <c:order val="3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F1-4653-970E-1488536C1602}"/>
            </c:ext>
          </c:extLst>
        </c:ser>
        <c:ser>
          <c:idx val="0"/>
          <c:order val="4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</c:numCache>
            </c:numRef>
          </c:xVal>
          <c:yVal>
            <c:numRef>
              <c:f>'Active 1'!$O$21:$O$1135</c:f>
              <c:numCache>
                <c:formatCode>General</c:formatCode>
                <c:ptCount val="1115"/>
                <c:pt idx="141">
                  <c:v>2.8494698658458328E-2</c:v>
                </c:pt>
                <c:pt idx="142">
                  <c:v>2.8734184234902205E-2</c:v>
                </c:pt>
                <c:pt idx="143">
                  <c:v>2.8734184234902205E-2</c:v>
                </c:pt>
                <c:pt idx="144">
                  <c:v>2.9830776084934701E-2</c:v>
                </c:pt>
                <c:pt idx="145">
                  <c:v>3.8773671689510014E-2</c:v>
                </c:pt>
                <c:pt idx="146">
                  <c:v>3.8950134745837084E-2</c:v>
                </c:pt>
                <c:pt idx="147">
                  <c:v>3.8950134745837084E-2</c:v>
                </c:pt>
                <c:pt idx="148">
                  <c:v>4.6935088044636891E-2</c:v>
                </c:pt>
                <c:pt idx="149">
                  <c:v>5.1731101825526121E-2</c:v>
                </c:pt>
                <c:pt idx="150">
                  <c:v>5.6533417858427026E-2</c:v>
                </c:pt>
                <c:pt idx="151">
                  <c:v>5.6817019198952684E-2</c:v>
                </c:pt>
                <c:pt idx="152">
                  <c:v>5.7012389011314779E-2</c:v>
                </c:pt>
                <c:pt idx="153">
                  <c:v>5.7566987188342716E-2</c:v>
                </c:pt>
                <c:pt idx="154">
                  <c:v>5.7617405204436173E-2</c:v>
                </c:pt>
                <c:pt idx="155">
                  <c:v>5.7724543488634733E-2</c:v>
                </c:pt>
                <c:pt idx="156">
                  <c:v>5.8178305633475758E-2</c:v>
                </c:pt>
                <c:pt idx="157">
                  <c:v>5.827914166566267E-2</c:v>
                </c:pt>
                <c:pt idx="158">
                  <c:v>5.8777019574585448E-2</c:v>
                </c:pt>
                <c:pt idx="159">
                  <c:v>5.8802228582632177E-2</c:v>
                </c:pt>
                <c:pt idx="160">
                  <c:v>5.9230781719426501E-2</c:v>
                </c:pt>
                <c:pt idx="161">
                  <c:v>6.0610974909984627E-2</c:v>
                </c:pt>
                <c:pt idx="162">
                  <c:v>6.0610974909984627E-2</c:v>
                </c:pt>
                <c:pt idx="163">
                  <c:v>6.0610974909984627E-2</c:v>
                </c:pt>
                <c:pt idx="164">
                  <c:v>6.0610974909984627E-2</c:v>
                </c:pt>
                <c:pt idx="165">
                  <c:v>6.0610974909984627E-2</c:v>
                </c:pt>
                <c:pt idx="166">
                  <c:v>6.0610974909984627E-2</c:v>
                </c:pt>
                <c:pt idx="167">
                  <c:v>6.0610974909984627E-2</c:v>
                </c:pt>
                <c:pt idx="168">
                  <c:v>6.0610974909984627E-2</c:v>
                </c:pt>
                <c:pt idx="169">
                  <c:v>6.0825251478381775E-2</c:v>
                </c:pt>
                <c:pt idx="170">
                  <c:v>6.1304222631269528E-2</c:v>
                </c:pt>
                <c:pt idx="171">
                  <c:v>6.1493290191619976E-2</c:v>
                </c:pt>
                <c:pt idx="172">
                  <c:v>6.1865123060309141E-2</c:v>
                </c:pt>
                <c:pt idx="173">
                  <c:v>6.2615091049699173E-2</c:v>
                </c:pt>
                <c:pt idx="174">
                  <c:v>6.8627439468842838E-2</c:v>
                </c:pt>
                <c:pt idx="175">
                  <c:v>6.8690461988959645E-2</c:v>
                </c:pt>
                <c:pt idx="176">
                  <c:v>6.8690461988959645E-2</c:v>
                </c:pt>
                <c:pt idx="177">
                  <c:v>6.8690461988959645E-2</c:v>
                </c:pt>
                <c:pt idx="178">
                  <c:v>6.8690461988959645E-2</c:v>
                </c:pt>
                <c:pt idx="179">
                  <c:v>6.8690461988959645E-2</c:v>
                </c:pt>
                <c:pt idx="180">
                  <c:v>6.8690461988959645E-2</c:v>
                </c:pt>
                <c:pt idx="181">
                  <c:v>6.8690461988959645E-2</c:v>
                </c:pt>
                <c:pt idx="182">
                  <c:v>6.8690461988959645E-2</c:v>
                </c:pt>
                <c:pt idx="183">
                  <c:v>6.8690461988959645E-2</c:v>
                </c:pt>
                <c:pt idx="184">
                  <c:v>6.9333291694151117E-2</c:v>
                </c:pt>
                <c:pt idx="185">
                  <c:v>6.9654706546746825E-2</c:v>
                </c:pt>
                <c:pt idx="186">
                  <c:v>6.9787053838992141E-2</c:v>
                </c:pt>
                <c:pt idx="187">
                  <c:v>7.1148340273515243E-2</c:v>
                </c:pt>
                <c:pt idx="188">
                  <c:v>7.6101910354696489E-2</c:v>
                </c:pt>
                <c:pt idx="189">
                  <c:v>7.7872843169978834E-2</c:v>
                </c:pt>
                <c:pt idx="190">
                  <c:v>7.8263582794703052E-2</c:v>
                </c:pt>
                <c:pt idx="191">
                  <c:v>7.8994644028058059E-2</c:v>
                </c:pt>
                <c:pt idx="192">
                  <c:v>8.7490079739804022E-2</c:v>
                </c:pt>
                <c:pt idx="193">
                  <c:v>8.7616124780037635E-2</c:v>
                </c:pt>
                <c:pt idx="194">
                  <c:v>8.789342386855159E-2</c:v>
                </c:pt>
                <c:pt idx="195">
                  <c:v>8.8454324297591203E-2</c:v>
                </c:pt>
                <c:pt idx="196">
                  <c:v>8.9550916147623699E-2</c:v>
                </c:pt>
                <c:pt idx="197">
                  <c:v>9.0269372876955328E-2</c:v>
                </c:pt>
                <c:pt idx="198">
                  <c:v>9.6905644245255412E-2</c:v>
                </c:pt>
                <c:pt idx="199">
                  <c:v>9.6905644245255412E-2</c:v>
                </c:pt>
                <c:pt idx="200">
                  <c:v>9.6905644245255412E-2</c:v>
                </c:pt>
                <c:pt idx="201">
                  <c:v>9.6905644245255412E-2</c:v>
                </c:pt>
                <c:pt idx="202">
                  <c:v>9.6905644245255412E-2</c:v>
                </c:pt>
                <c:pt idx="203">
                  <c:v>9.6905644245255412E-2</c:v>
                </c:pt>
                <c:pt idx="204">
                  <c:v>9.7277477113944605E-2</c:v>
                </c:pt>
                <c:pt idx="205">
                  <c:v>0.10046011437984351</c:v>
                </c:pt>
                <c:pt idx="206">
                  <c:v>0.10645355604295212</c:v>
                </c:pt>
                <c:pt idx="207">
                  <c:v>0.10651657856306893</c:v>
                </c:pt>
                <c:pt idx="208">
                  <c:v>0.10654178757111563</c:v>
                </c:pt>
                <c:pt idx="209">
                  <c:v>0.10693252719583987</c:v>
                </c:pt>
                <c:pt idx="210">
                  <c:v>0.11541535840356246</c:v>
                </c:pt>
                <c:pt idx="211">
                  <c:v>0.11541535840356246</c:v>
                </c:pt>
                <c:pt idx="212">
                  <c:v>0.116253557921116</c:v>
                </c:pt>
                <c:pt idx="213">
                  <c:v>0.11634809170129126</c:v>
                </c:pt>
                <c:pt idx="214">
                  <c:v>0.11643002097744307</c:v>
                </c:pt>
                <c:pt idx="215">
                  <c:v>0.11680185384613226</c:v>
                </c:pt>
                <c:pt idx="216">
                  <c:v>0.11688378312228412</c:v>
                </c:pt>
                <c:pt idx="217">
                  <c:v>0.11688378312228412</c:v>
                </c:pt>
                <c:pt idx="218">
                  <c:v>0.11716738446280975</c:v>
                </c:pt>
                <c:pt idx="219">
                  <c:v>0.11768416912776761</c:v>
                </c:pt>
                <c:pt idx="220">
                  <c:v>0.11867362269360152</c:v>
                </c:pt>
                <c:pt idx="221">
                  <c:v>0.11918410510654767</c:v>
                </c:pt>
                <c:pt idx="222">
                  <c:v>0.11958114698328356</c:v>
                </c:pt>
                <c:pt idx="223">
                  <c:v>0.1198773528278326</c:v>
                </c:pt>
                <c:pt idx="224">
                  <c:v>0.1198773528278326</c:v>
                </c:pt>
                <c:pt idx="225">
                  <c:v>0.1198773528278326</c:v>
                </c:pt>
                <c:pt idx="226">
                  <c:v>0.12373433105898132</c:v>
                </c:pt>
                <c:pt idx="227">
                  <c:v>0.12594011926306967</c:v>
                </c:pt>
                <c:pt idx="228">
                  <c:v>0.12658925122027284</c:v>
                </c:pt>
                <c:pt idx="229">
                  <c:v>0.12900301374074666</c:v>
                </c:pt>
                <c:pt idx="230">
                  <c:v>0.13354063518915696</c:v>
                </c:pt>
                <c:pt idx="231">
                  <c:v>0.13563298285703504</c:v>
                </c:pt>
                <c:pt idx="232">
                  <c:v>0.13611195400992279</c:v>
                </c:pt>
                <c:pt idx="233">
                  <c:v>0.1371077098277684</c:v>
                </c:pt>
                <c:pt idx="234">
                  <c:v>0.13732198639616552</c:v>
                </c:pt>
                <c:pt idx="235">
                  <c:v>0.13820430167780087</c:v>
                </c:pt>
                <c:pt idx="236">
                  <c:v>0.15444520511190277</c:v>
                </c:pt>
                <c:pt idx="237">
                  <c:v>0.16740893749993055</c:v>
                </c:pt>
                <c:pt idx="238">
                  <c:v>0.17533086827861358</c:v>
                </c:pt>
                <c:pt idx="239">
                  <c:v>0.17587916420362978</c:v>
                </c:pt>
                <c:pt idx="240">
                  <c:v>0.17596739573179335</c:v>
                </c:pt>
                <c:pt idx="241">
                  <c:v>0.17730347315826969</c:v>
                </c:pt>
                <c:pt idx="242">
                  <c:v>0.17730347315826969</c:v>
                </c:pt>
                <c:pt idx="243">
                  <c:v>0.18586193139013249</c:v>
                </c:pt>
                <c:pt idx="244">
                  <c:v>0.18679466468786124</c:v>
                </c:pt>
                <c:pt idx="245">
                  <c:v>0.19695389493069101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F1-4653-970E-1488536C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95408"/>
        <c:axId val="1"/>
      </c:scatterChart>
      <c:valAx>
        <c:axId val="7618954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228978907757011"/>
              <c:y val="0.87460946692008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31974954541340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954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42168674698796"/>
          <c:y val="0.90909090909090906"/>
          <c:w val="0.50451807228915657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41372141372141374"/>
          <c:y val="2.8391167192429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92099792099798E-2"/>
          <c:y val="8.8328143736555884E-2"/>
          <c:w val="0.86590436590436592"/>
          <c:h val="0.79653058191001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1'!$H$21:$H$185</c:f>
              <c:numCache>
                <c:formatCode>General</c:formatCode>
                <c:ptCount val="165"/>
                <c:pt idx="5">
                  <c:v>1.3202699999965262E-2</c:v>
                </c:pt>
                <c:pt idx="8">
                  <c:v>4.5459599990863353E-2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68-40A9-B233-E99C483B93D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1'!$I$21:$I$185</c:f>
              <c:numCache>
                <c:formatCode>General</c:formatCode>
                <c:ptCount val="165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68-40A9-B233-E99C483B93D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1'!$J$21:$J$185</c:f>
              <c:numCache>
                <c:formatCode>General</c:formatCode>
                <c:ptCount val="165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68-40A9-B233-E99C483B93D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1'!$K$21:$K$185</c:f>
              <c:numCache>
                <c:formatCode>General</c:formatCode>
                <c:ptCount val="165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68-40A9-B233-E99C483B93D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1'!$L$21:$L$185</c:f>
              <c:numCache>
                <c:formatCode>General</c:formatCode>
                <c:ptCount val="1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68-40A9-B233-E99C483B93D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1'!$M$21:$M$185</c:f>
              <c:numCache>
                <c:formatCode>General</c:formatCode>
                <c:ptCount val="1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68-40A9-B233-E99C483B93D6}"/>
            </c:ext>
          </c:extLst>
        </c:ser>
        <c:ser>
          <c:idx val="6"/>
          <c:order val="6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68-40A9-B233-E99C483B93D6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1'!$U$21:$U$185</c:f>
              <c:numCache>
                <c:formatCode>General</c:formatCode>
                <c:ptCount val="165"/>
                <c:pt idx="22">
                  <c:v>-9.9407500092638656E-3</c:v>
                </c:pt>
                <c:pt idx="26">
                  <c:v>4.069825001352001E-3</c:v>
                </c:pt>
                <c:pt idx="44">
                  <c:v>1.7736899993906263E-2</c:v>
                </c:pt>
                <c:pt idx="45">
                  <c:v>7.8135599993402138E-2</c:v>
                </c:pt>
                <c:pt idx="46">
                  <c:v>4.8177450000366662E-2</c:v>
                </c:pt>
                <c:pt idx="51">
                  <c:v>-4.022110000369139E-2</c:v>
                </c:pt>
                <c:pt idx="52">
                  <c:v>-6.7021750008279923E-2</c:v>
                </c:pt>
                <c:pt idx="53">
                  <c:v>-1.9462100004602689E-2</c:v>
                </c:pt>
                <c:pt idx="54">
                  <c:v>-1.9262100002379157E-2</c:v>
                </c:pt>
                <c:pt idx="55">
                  <c:v>-1.5129200008232147E-2</c:v>
                </c:pt>
                <c:pt idx="56">
                  <c:v>4.364649998024106E-3</c:v>
                </c:pt>
                <c:pt idx="57">
                  <c:v>1.3924949991633184E-2</c:v>
                </c:pt>
                <c:pt idx="58">
                  <c:v>-0.11030310000205645</c:v>
                </c:pt>
                <c:pt idx="59">
                  <c:v>6.6045549996488262E-2</c:v>
                </c:pt>
                <c:pt idx="60">
                  <c:v>-5.2248949999921024E-2</c:v>
                </c:pt>
                <c:pt idx="64">
                  <c:v>1.8248299995320849E-2</c:v>
                </c:pt>
                <c:pt idx="65">
                  <c:v>-1.3242999993963167E-3</c:v>
                </c:pt>
                <c:pt idx="66">
                  <c:v>1.3074399998004083E-2</c:v>
                </c:pt>
                <c:pt idx="67">
                  <c:v>2.5682499981485307E-3</c:v>
                </c:pt>
                <c:pt idx="71">
                  <c:v>1.4660149994597305E-2</c:v>
                </c:pt>
                <c:pt idx="72">
                  <c:v>2.2726599992893171E-2</c:v>
                </c:pt>
                <c:pt idx="73">
                  <c:v>-1.5874700002314057E-2</c:v>
                </c:pt>
                <c:pt idx="74">
                  <c:v>1.555269999516895E-2</c:v>
                </c:pt>
                <c:pt idx="75">
                  <c:v>3.7775000018882565E-3</c:v>
                </c:pt>
                <c:pt idx="77">
                  <c:v>-3.6272400000598282E-2</c:v>
                </c:pt>
                <c:pt idx="78">
                  <c:v>-7.13950000499608E-3</c:v>
                </c:pt>
                <c:pt idx="79">
                  <c:v>-4.3006600004446227E-2</c:v>
                </c:pt>
                <c:pt idx="82">
                  <c:v>-2.313400007551536E-3</c:v>
                </c:pt>
                <c:pt idx="85">
                  <c:v>8.7120499956654385E-3</c:v>
                </c:pt>
                <c:pt idx="86">
                  <c:v>-1.2537200003862381E-2</c:v>
                </c:pt>
                <c:pt idx="87">
                  <c:v>2.9675299992959481E-2</c:v>
                </c:pt>
                <c:pt idx="88">
                  <c:v>3.5014000022783875E-3</c:v>
                </c:pt>
                <c:pt idx="95">
                  <c:v>-4.8170800007937942E-2</c:v>
                </c:pt>
                <c:pt idx="96">
                  <c:v>1.4822799996181857E-2</c:v>
                </c:pt>
                <c:pt idx="97">
                  <c:v>1.4721400002599694E-2</c:v>
                </c:pt>
                <c:pt idx="98">
                  <c:v>2.1054425000329502E-2</c:v>
                </c:pt>
                <c:pt idx="102">
                  <c:v>5.9018500032834709E-3</c:v>
                </c:pt>
                <c:pt idx="113">
                  <c:v>-1.312329999927897E-2</c:v>
                </c:pt>
                <c:pt idx="127">
                  <c:v>8.527321926158038E-2</c:v>
                </c:pt>
                <c:pt idx="131">
                  <c:v>5.3407649997097906E-2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68-40A9-B233-E99C483B9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5784"/>
        <c:axId val="1"/>
      </c:scatterChart>
      <c:valAx>
        <c:axId val="8458657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73388773388773"/>
              <c:y val="0.92586817026420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580041580041582E-2"/>
              <c:y val="0.4384861356052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3108108108108108"/>
          <c:y val="0.95899119865537308"/>
          <c:w val="0.44282744282744285"/>
          <c:h val="3.1545741324921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 fit</a:t>
            </a:r>
          </a:p>
        </c:rich>
      </c:tx>
      <c:layout>
        <c:manualLayout>
          <c:xMode val="edge"/>
          <c:yMode val="edge"/>
          <c:x val="0.3125001525972044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774765919364"/>
          <c:y val="0.1308139534883721"/>
          <c:w val="0.86482619517211567"/>
          <c:h val="0.6598837209302325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1'!$V$21:$V$137</c:f>
              <c:numCache>
                <c:formatCode>General</c:formatCode>
                <c:ptCount val="117"/>
                <c:pt idx="15" formatCode="0.00E+00">
                  <c:v>5.233060997463998E-5</c:v>
                </c:pt>
                <c:pt idx="16" formatCode="0.00E+00">
                  <c:v>-1.9913503399810288E-3</c:v>
                </c:pt>
                <c:pt idx="17" formatCode="0.00E+00">
                  <c:v>3.5410005012745448E-4</c:v>
                </c:pt>
                <c:pt idx="18" formatCode="0.00E+00">
                  <c:v>-1.2178790243920696E-3</c:v>
                </c:pt>
                <c:pt idx="19" formatCode="0.00E+00">
                  <c:v>-2.2525102468427746E-3</c:v>
                </c:pt>
                <c:pt idx="20" formatCode="0.00E+00">
                  <c:v>-3.6568306702213166E-4</c:v>
                </c:pt>
                <c:pt idx="21" formatCode="0.00E+00">
                  <c:v>9.8591029164696374E-4</c:v>
                </c:pt>
                <c:pt idx="23" formatCode="0.00E+00">
                  <c:v>-1.1561576099890095E-3</c:v>
                </c:pt>
                <c:pt idx="27" formatCode="0.00E+00">
                  <c:v>-1.1428688276696078E-4</c:v>
                </c:pt>
                <c:pt idx="28" formatCode="0.00E+00">
                  <c:v>-1.4286885293173261E-5</c:v>
                </c:pt>
                <c:pt idx="29" formatCode="0.00E+00">
                  <c:v>-8.7799944670822723E-4</c:v>
                </c:pt>
                <c:pt idx="30" formatCode="0.00E+00">
                  <c:v>-3.5145359677063361E-4</c:v>
                </c:pt>
                <c:pt idx="31" formatCode="0.00E+00">
                  <c:v>-9.2490971000170285E-4</c:v>
                </c:pt>
                <c:pt idx="32" formatCode="0.00E+00">
                  <c:v>-1.3789539017418915E-3</c:v>
                </c:pt>
                <c:pt idx="35" formatCode="0.00E+00">
                  <c:v>-4.8751665929981777E-4</c:v>
                </c:pt>
                <c:pt idx="38" formatCode="0.00E+00">
                  <c:v>-3.6075065815232253E-4</c:v>
                </c:pt>
                <c:pt idx="41" formatCode="0.00E+00">
                  <c:v>-2.6965480357955449E-4</c:v>
                </c:pt>
                <c:pt idx="47" formatCode="0.00E+00">
                  <c:v>-1.4317520170202378E-3</c:v>
                </c:pt>
                <c:pt idx="48" formatCode="0.00E+00">
                  <c:v>-2.271833969378423E-3</c:v>
                </c:pt>
                <c:pt idx="49" formatCode="0.00E+00">
                  <c:v>-7.7415430561913242E-4</c:v>
                </c:pt>
                <c:pt idx="93" formatCode="0.00E+00">
                  <c:v>-1.3115275158845016E-3</c:v>
                </c:pt>
                <c:pt idx="94" formatCode="0.00E+00">
                  <c:v>2.6884724849304056E-3</c:v>
                </c:pt>
                <c:pt idx="100" formatCode="0.00E+00">
                  <c:v>-1.7620778046793101E-4</c:v>
                </c:pt>
                <c:pt idx="103" formatCode="0.00E+00">
                  <c:v>3.9761494126410932E-4</c:v>
                </c:pt>
                <c:pt idx="105" formatCode="0.00E+00">
                  <c:v>-1.0548971198289757E-3</c:v>
                </c:pt>
                <c:pt idx="106" formatCode="0.00E+00">
                  <c:v>6.1367984783413862E-4</c:v>
                </c:pt>
                <c:pt idx="108" formatCode="0.00E+00">
                  <c:v>-2.1167933653639531E-4</c:v>
                </c:pt>
                <c:pt idx="109" formatCode="0.00E+00">
                  <c:v>-1.565661190338942E-4</c:v>
                </c:pt>
                <c:pt idx="110" formatCode="0.00E+00">
                  <c:v>-1.6682566115706898E-5</c:v>
                </c:pt>
                <c:pt idx="111" formatCode="0.00E+00">
                  <c:v>-7.071308485658255E-4</c:v>
                </c:pt>
                <c:pt idx="114" formatCode="0.00E+00">
                  <c:v>-6.2018982556845265E-3</c:v>
                </c:pt>
                <c:pt idx="116" formatCode="0.00E+00">
                  <c:v>-8.5240839318009506E-4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7-4E7E-8DF7-37BFE5C7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59880"/>
        <c:axId val="1"/>
      </c:scatterChart>
      <c:valAx>
        <c:axId val="845859880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31981322102179"/>
              <c:y val="0.86627906976744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48837209302327E-2"/>
              <c:y val="0.3517441860465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59880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58170054324603"/>
          <c:y val="0.92151162790697672"/>
          <c:w val="9.4476744186046513E-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  [46949.836, 0.4712863]</a:t>
            </a:r>
          </a:p>
        </c:rich>
      </c:tx>
      <c:layout>
        <c:manualLayout>
          <c:xMode val="edge"/>
          <c:yMode val="edge"/>
          <c:x val="0.27381005945685361"/>
          <c:y val="1.8867924528301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5123224787457"/>
          <c:y val="0.12578654980637594"/>
          <c:w val="0.82823266806286544"/>
          <c:h val="0.713838670151183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1'!$G$21:$G$137</c:f>
              <c:numCache>
                <c:formatCode>General</c:formatCode>
                <c:ptCount val="117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2">
                  <c:v>-2.313400007551536E-3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99">
                  <c:v>1.3731799997913186E-2</c:v>
                </c:pt>
                <c:pt idx="100">
                  <c:v>1.4011799998115748E-2</c:v>
                </c:pt>
                <c:pt idx="101">
                  <c:v>1.4331799997307826E-2</c:v>
                </c:pt>
                <c:pt idx="102">
                  <c:v>5.9018500032834709E-3</c:v>
                </c:pt>
                <c:pt idx="103">
                  <c:v>1.9487649995426182E-2</c:v>
                </c:pt>
                <c:pt idx="104">
                  <c:v>1.8640599999343976E-2</c:v>
                </c:pt>
                <c:pt idx="105">
                  <c:v>1.8680599998333491E-2</c:v>
                </c:pt>
                <c:pt idx="106">
                  <c:v>2.26974999968661E-2</c:v>
                </c:pt>
                <c:pt idx="107">
                  <c:v>2.1338599995942786E-2</c:v>
                </c:pt>
                <c:pt idx="108">
                  <c:v>2.1957800003292505E-2</c:v>
                </c:pt>
                <c:pt idx="109">
                  <c:v>2.2040000003471505E-2</c:v>
                </c:pt>
                <c:pt idx="110">
                  <c:v>2.2372250001353677E-2</c:v>
                </c:pt>
                <c:pt idx="111">
                  <c:v>2.1711299996240996E-2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6">
                  <c:v>2.526006184052676E-2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72-4FBE-8238-060D2863699E}"/>
            </c:ext>
          </c:extLst>
        </c:ser>
        <c:ser>
          <c:idx val="8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72-4FBE-8238-060D28636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4144"/>
        <c:axId val="1"/>
      </c:scatterChart>
      <c:valAx>
        <c:axId val="845864144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2619172603424575"/>
              <c:y val="0.89937371036167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5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034013605442185E-3"/>
              <c:y val="0.32390036151141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</a:t>
            </a:r>
          </a:p>
        </c:rich>
      </c:tx>
      <c:layout>
        <c:manualLayout>
          <c:xMode val="edge"/>
          <c:yMode val="edge"/>
          <c:x val="0.40736478711162255"/>
          <c:y val="3.1476997578692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92635212888384E-2"/>
          <c:y val="0.11622276029055691"/>
          <c:w val="0.90678941311852701"/>
          <c:h val="0.76755447941888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Q_fit!$D$21:$D$180</c:f>
              <c:numCache>
                <c:formatCode>General</c:formatCode>
                <c:ptCount val="160"/>
                <c:pt idx="0">
                  <c:v>1.7002999999999999</c:v>
                </c:pt>
                <c:pt idx="1">
                  <c:v>1.7824</c:v>
                </c:pt>
                <c:pt idx="2">
                  <c:v>1.9330499999999999</c:v>
                </c:pt>
                <c:pt idx="3">
                  <c:v>-0.14685000000000001</c:v>
                </c:pt>
                <c:pt idx="4">
                  <c:v>-7.1499999999999994E-2</c:v>
                </c:pt>
                <c:pt idx="5">
                  <c:v>-7.1300000000000002E-2</c:v>
                </c:pt>
                <c:pt idx="6">
                  <c:v>0</c:v>
                </c:pt>
                <c:pt idx="7">
                  <c:v>8.6999999999999994E-3</c:v>
                </c:pt>
                <c:pt idx="8">
                  <c:v>1.1650000000000001E-2</c:v>
                </c:pt>
                <c:pt idx="9">
                  <c:v>7.6399999999999996E-2</c:v>
                </c:pt>
                <c:pt idx="10">
                  <c:v>7.9049999999999995E-2</c:v>
                </c:pt>
                <c:pt idx="11">
                  <c:v>7.9049999999999995E-2</c:v>
                </c:pt>
                <c:pt idx="12">
                  <c:v>7.9049999999999995E-2</c:v>
                </c:pt>
                <c:pt idx="13">
                  <c:v>7.9350000000000004E-2</c:v>
                </c:pt>
                <c:pt idx="14">
                  <c:v>7.9350000000000004E-2</c:v>
                </c:pt>
                <c:pt idx="15">
                  <c:v>0.08</c:v>
                </c:pt>
                <c:pt idx="16">
                  <c:v>8.0199999999999994E-2</c:v>
                </c:pt>
                <c:pt idx="17">
                  <c:v>8.0399999999999999E-2</c:v>
                </c:pt>
                <c:pt idx="18">
                  <c:v>8.5650000000000004E-2</c:v>
                </c:pt>
                <c:pt idx="19">
                  <c:v>8.8200000000000001E-2</c:v>
                </c:pt>
                <c:pt idx="20">
                  <c:v>8.8200000000000001E-2</c:v>
                </c:pt>
                <c:pt idx="21">
                  <c:v>8.8200000000000001E-2</c:v>
                </c:pt>
                <c:pt idx="22">
                  <c:v>8.8200000000000001E-2</c:v>
                </c:pt>
                <c:pt idx="23">
                  <c:v>8.8400000000000006E-2</c:v>
                </c:pt>
                <c:pt idx="24">
                  <c:v>8.8400000000000006E-2</c:v>
                </c:pt>
                <c:pt idx="25">
                  <c:v>8.8400000000000006E-2</c:v>
                </c:pt>
                <c:pt idx="26">
                  <c:v>9.0950000000000003E-2</c:v>
                </c:pt>
                <c:pt idx="27">
                  <c:v>9.0950000000000003E-2</c:v>
                </c:pt>
                <c:pt idx="28">
                  <c:v>9.0950000000000003E-2</c:v>
                </c:pt>
                <c:pt idx="29">
                  <c:v>9.0950000000000003E-2</c:v>
                </c:pt>
                <c:pt idx="30">
                  <c:v>0.14979999999999999</c:v>
                </c:pt>
                <c:pt idx="31">
                  <c:v>0.15065000000000001</c:v>
                </c:pt>
                <c:pt idx="32">
                  <c:v>0.1583</c:v>
                </c:pt>
                <c:pt idx="33">
                  <c:v>0.1583</c:v>
                </c:pt>
                <c:pt idx="34">
                  <c:v>0.21510000000000001</c:v>
                </c:pt>
                <c:pt idx="35">
                  <c:v>0.21510000000000001</c:v>
                </c:pt>
                <c:pt idx="36">
                  <c:v>0.21510000000000001</c:v>
                </c:pt>
                <c:pt idx="37">
                  <c:v>0.24074999999999999</c:v>
                </c:pt>
                <c:pt idx="38">
                  <c:v>0.24074999999999999</c:v>
                </c:pt>
                <c:pt idx="39">
                  <c:v>0.24074999999999999</c:v>
                </c:pt>
                <c:pt idx="40">
                  <c:v>0.2989</c:v>
                </c:pt>
                <c:pt idx="41">
                  <c:v>0.31819999999999998</c:v>
                </c:pt>
                <c:pt idx="42">
                  <c:v>0.31819999999999998</c:v>
                </c:pt>
                <c:pt idx="43">
                  <c:v>0.32350000000000001</c:v>
                </c:pt>
                <c:pt idx="44">
                  <c:v>0.32350000000000001</c:v>
                </c:pt>
                <c:pt idx="45">
                  <c:v>0.46629999999999999</c:v>
                </c:pt>
                <c:pt idx="46">
                  <c:v>0.46629999999999999</c:v>
                </c:pt>
                <c:pt idx="47">
                  <c:v>0.53569999999999995</c:v>
                </c:pt>
                <c:pt idx="48">
                  <c:v>0.53569999999999995</c:v>
                </c:pt>
                <c:pt idx="49">
                  <c:v>0.56240000000000001</c:v>
                </c:pt>
                <c:pt idx="50">
                  <c:v>0.56240000000000001</c:v>
                </c:pt>
                <c:pt idx="51">
                  <c:v>0.72140000000000004</c:v>
                </c:pt>
                <c:pt idx="52">
                  <c:v>0.72140000000000004</c:v>
                </c:pt>
                <c:pt idx="53">
                  <c:v>0.72140000000000004</c:v>
                </c:pt>
                <c:pt idx="54">
                  <c:v>0.84845000000000004</c:v>
                </c:pt>
                <c:pt idx="55">
                  <c:v>0.86380000000000001</c:v>
                </c:pt>
                <c:pt idx="56">
                  <c:v>0.86380000000000001</c:v>
                </c:pt>
                <c:pt idx="57">
                  <c:v>0.91749999999999998</c:v>
                </c:pt>
                <c:pt idx="58">
                  <c:v>0.91779999999999995</c:v>
                </c:pt>
                <c:pt idx="59">
                  <c:v>0.9194</c:v>
                </c:pt>
                <c:pt idx="60">
                  <c:v>0.92</c:v>
                </c:pt>
                <c:pt idx="61">
                  <c:v>0.92425000000000002</c:v>
                </c:pt>
                <c:pt idx="62">
                  <c:v>0.92490000000000006</c:v>
                </c:pt>
                <c:pt idx="63">
                  <c:v>0.99890000000000001</c:v>
                </c:pt>
                <c:pt idx="64">
                  <c:v>1.0001500000000001</c:v>
                </c:pt>
                <c:pt idx="65">
                  <c:v>1.0009999999999999</c:v>
                </c:pt>
                <c:pt idx="66">
                  <c:v>1.0029999999999999</c:v>
                </c:pt>
                <c:pt idx="67">
                  <c:v>1.00335</c:v>
                </c:pt>
                <c:pt idx="68">
                  <c:v>1.0088999999999999</c:v>
                </c:pt>
                <c:pt idx="69">
                  <c:v>1.0088999999999999</c:v>
                </c:pt>
                <c:pt idx="70">
                  <c:v>1.0681499999999999</c:v>
                </c:pt>
                <c:pt idx="71">
                  <c:v>1.0784499999999999</c:v>
                </c:pt>
                <c:pt idx="72">
                  <c:v>1.08545</c:v>
                </c:pt>
                <c:pt idx="73">
                  <c:v>1.0929</c:v>
                </c:pt>
                <c:pt idx="74">
                  <c:v>1.1493500000000001</c:v>
                </c:pt>
                <c:pt idx="75">
                  <c:v>1.2204999999999999</c:v>
                </c:pt>
                <c:pt idx="76">
                  <c:v>1.2289000000000001</c:v>
                </c:pt>
                <c:pt idx="77">
                  <c:v>1.2313000000000001</c:v>
                </c:pt>
                <c:pt idx="78">
                  <c:v>1.2313000000000001</c:v>
                </c:pt>
                <c:pt idx="79">
                  <c:v>1.2330000000000001</c:v>
                </c:pt>
                <c:pt idx="80">
                  <c:v>1.2330000000000001</c:v>
                </c:pt>
                <c:pt idx="81">
                  <c:v>1.3086500000000001</c:v>
                </c:pt>
                <c:pt idx="82">
                  <c:v>1.3146</c:v>
                </c:pt>
                <c:pt idx="83">
                  <c:v>1.3159000000000001</c:v>
                </c:pt>
                <c:pt idx="84">
                  <c:v>1.3771</c:v>
                </c:pt>
                <c:pt idx="85">
                  <c:v>1.3996999999999999</c:v>
                </c:pt>
                <c:pt idx="86">
                  <c:v>1.3996999999999999</c:v>
                </c:pt>
                <c:pt idx="87">
                  <c:v>1.3996999999999999</c:v>
                </c:pt>
                <c:pt idx="88">
                  <c:v>1.4500999999999999</c:v>
                </c:pt>
                <c:pt idx="89">
                  <c:v>1.4572000000000001</c:v>
                </c:pt>
                <c:pt idx="90">
                  <c:v>1.464</c:v>
                </c:pt>
                <c:pt idx="91">
                  <c:v>1.4659</c:v>
                </c:pt>
                <c:pt idx="92">
                  <c:v>1.4659</c:v>
                </c:pt>
                <c:pt idx="93">
                  <c:v>1.4745999999999999</c:v>
                </c:pt>
                <c:pt idx="94">
                  <c:v>1.54555</c:v>
                </c:pt>
                <c:pt idx="95">
                  <c:v>1.54695</c:v>
                </c:pt>
                <c:pt idx="96">
                  <c:v>1.54695</c:v>
                </c:pt>
                <c:pt idx="97">
                  <c:v>1.6103000000000001</c:v>
                </c:pt>
                <c:pt idx="98">
                  <c:v>1.64835</c:v>
                </c:pt>
                <c:pt idx="99">
                  <c:v>1.68645</c:v>
                </c:pt>
                <c:pt idx="100">
                  <c:v>1.6887000000000001</c:v>
                </c:pt>
                <c:pt idx="101">
                  <c:v>1.69025</c:v>
                </c:pt>
                <c:pt idx="102">
                  <c:v>1.69465</c:v>
                </c:pt>
                <c:pt idx="103">
                  <c:v>1.6950499999999999</c:v>
                </c:pt>
                <c:pt idx="104">
                  <c:v>1.6959</c:v>
                </c:pt>
                <c:pt idx="105">
                  <c:v>1.6995</c:v>
                </c:pt>
                <c:pt idx="106">
                  <c:v>1.70425</c:v>
                </c:pt>
                <c:pt idx="107">
                  <c:v>1.70445</c:v>
                </c:pt>
                <c:pt idx="108">
                  <c:v>1.7078500000000001</c:v>
                </c:pt>
                <c:pt idx="109">
                  <c:v>1.7188000000000001</c:v>
                </c:pt>
                <c:pt idx="110">
                  <c:v>1.7188000000000001</c:v>
                </c:pt>
                <c:pt idx="111">
                  <c:v>1.7188000000000001</c:v>
                </c:pt>
                <c:pt idx="112">
                  <c:v>1.7188000000000001</c:v>
                </c:pt>
                <c:pt idx="113">
                  <c:v>1.7188000000000001</c:v>
                </c:pt>
                <c:pt idx="114">
                  <c:v>1.7188000000000001</c:v>
                </c:pt>
                <c:pt idx="115">
                  <c:v>1.7188000000000001</c:v>
                </c:pt>
                <c:pt idx="116">
                  <c:v>1.7188000000000001</c:v>
                </c:pt>
                <c:pt idx="117">
                  <c:v>1.7204999999999999</c:v>
                </c:pt>
                <c:pt idx="118">
                  <c:v>1.7242999999999999</c:v>
                </c:pt>
                <c:pt idx="119">
                  <c:v>1.7258</c:v>
                </c:pt>
                <c:pt idx="120">
                  <c:v>1.72875</c:v>
                </c:pt>
                <c:pt idx="121">
                  <c:v>1.7346999999999999</c:v>
                </c:pt>
                <c:pt idx="122">
                  <c:v>1.7828999999999999</c:v>
                </c:pt>
                <c:pt idx="123">
                  <c:v>1.7828999999999999</c:v>
                </c:pt>
                <c:pt idx="124">
                  <c:v>1.7828999999999999</c:v>
                </c:pt>
                <c:pt idx="125">
                  <c:v>1.7828999999999999</c:v>
                </c:pt>
                <c:pt idx="126">
                  <c:v>1.7828999999999999</c:v>
                </c:pt>
                <c:pt idx="127">
                  <c:v>1.7828999999999999</c:v>
                </c:pt>
                <c:pt idx="128">
                  <c:v>1.7828999999999999</c:v>
                </c:pt>
                <c:pt idx="129">
                  <c:v>1.7828999999999999</c:v>
                </c:pt>
                <c:pt idx="130">
                  <c:v>1.7828999999999999</c:v>
                </c:pt>
                <c:pt idx="131">
                  <c:v>1.788</c:v>
                </c:pt>
                <c:pt idx="132">
                  <c:v>1.7905500000000001</c:v>
                </c:pt>
                <c:pt idx="133">
                  <c:v>1.7916000000000001</c:v>
                </c:pt>
                <c:pt idx="134">
                  <c:v>1.8024</c:v>
                </c:pt>
                <c:pt idx="135">
                  <c:v>1.8416999999999999</c:v>
                </c:pt>
                <c:pt idx="136">
                  <c:v>1.85575</c:v>
                </c:pt>
                <c:pt idx="137">
                  <c:v>1.8588499999999999</c:v>
                </c:pt>
                <c:pt idx="138">
                  <c:v>1.8646499999999999</c:v>
                </c:pt>
                <c:pt idx="139">
                  <c:v>1.93205</c:v>
                </c:pt>
                <c:pt idx="140">
                  <c:v>1.9352499999999999</c:v>
                </c:pt>
                <c:pt idx="141">
                  <c:v>1.9483999999999999</c:v>
                </c:pt>
                <c:pt idx="142">
                  <c:v>1.9540999999999999</c:v>
                </c:pt>
                <c:pt idx="143">
                  <c:v>2.0067499999999998</c:v>
                </c:pt>
                <c:pt idx="144">
                  <c:v>2.0067499999999998</c:v>
                </c:pt>
                <c:pt idx="145">
                  <c:v>2.0067499999999998</c:v>
                </c:pt>
                <c:pt idx="146">
                  <c:v>2.0067499999999998</c:v>
                </c:pt>
                <c:pt idx="147">
                  <c:v>2.0067499999999998</c:v>
                </c:pt>
                <c:pt idx="148">
                  <c:v>2.0067499999999998</c:v>
                </c:pt>
                <c:pt idx="149">
                  <c:v>2.0349499999999998</c:v>
                </c:pt>
                <c:pt idx="150">
                  <c:v>2.0830000000000002</c:v>
                </c:pt>
                <c:pt idx="151">
                  <c:v>2.0832000000000002</c:v>
                </c:pt>
                <c:pt idx="152">
                  <c:v>2.16025</c:v>
                </c:pt>
              </c:numCache>
            </c:numRef>
          </c:xVal>
          <c:yVal>
            <c:numRef>
              <c:f>Q_fit!$E$21:$E$180</c:f>
              <c:numCache>
                <c:formatCode>General</c:formatCode>
                <c:ptCount val="160"/>
                <c:pt idx="0">
                  <c:v>7.134109999606153E-2</c:v>
                </c:pt>
                <c:pt idx="1">
                  <c:v>8.0788799998117611E-2</c:v>
                </c:pt>
                <c:pt idx="2">
                  <c:v>9.1577849991153926E-2</c:v>
                </c:pt>
                <c:pt idx="3">
                  <c:v>-2.6845000684261322E-4</c:v>
                </c:pt>
                <c:pt idx="4">
                  <c:v>1.7044999985955656E-3</c:v>
                </c:pt>
                <c:pt idx="5">
                  <c:v>1.3190000026952475E-4</c:v>
                </c:pt>
                <c:pt idx="6">
                  <c:v>-1.0000000038417056E-3</c:v>
                </c:pt>
                <c:pt idx="7">
                  <c:v>8.9189999562222511E-4</c:v>
                </c:pt>
                <c:pt idx="8">
                  <c:v>2.2460499967564829E-3</c:v>
                </c:pt>
                <c:pt idx="9">
                  <c:v>2.6679999427869916E-4</c:v>
                </c:pt>
                <c:pt idx="10">
                  <c:v>3.5798499957309105E-3</c:v>
                </c:pt>
                <c:pt idx="11">
                  <c:v>4.2798499925993383E-3</c:v>
                </c:pt>
                <c:pt idx="12">
                  <c:v>4.9798499967437238E-3</c:v>
                </c:pt>
                <c:pt idx="13">
                  <c:v>1.3209499957156368E-3</c:v>
                </c:pt>
                <c:pt idx="14">
                  <c:v>1.4209499931894243E-3</c:v>
                </c:pt>
                <c:pt idx="15">
                  <c:v>5.5999999312916771E-4</c:v>
                </c:pt>
                <c:pt idx="16">
                  <c:v>1.0873999999603257E-3</c:v>
                </c:pt>
                <c:pt idx="17">
                  <c:v>5.1479999092407525E-4</c:v>
                </c:pt>
                <c:pt idx="18">
                  <c:v>8.3924998762086034E-5</c:v>
                </c:pt>
                <c:pt idx="19">
                  <c:v>1.5834000005270354E-3</c:v>
                </c:pt>
                <c:pt idx="20">
                  <c:v>1.7834000027505681E-3</c:v>
                </c:pt>
                <c:pt idx="21">
                  <c:v>9.8710000020219013E-4</c:v>
                </c:pt>
                <c:pt idx="22">
                  <c:v>2.2833999973954633E-3</c:v>
                </c:pt>
                <c:pt idx="23">
                  <c:v>6.1079999431967735E-4</c:v>
                </c:pt>
                <c:pt idx="24">
                  <c:v>1.1147999975946732E-3</c:v>
                </c:pt>
                <c:pt idx="25">
                  <c:v>3.410799996345304E-3</c:v>
                </c:pt>
                <c:pt idx="26">
                  <c:v>1.7101499979617074E-3</c:v>
                </c:pt>
                <c:pt idx="27">
                  <c:v>1.2179749974166043E-3</c:v>
                </c:pt>
                <c:pt idx="28">
                  <c:v>2.2101499998825602E-3</c:v>
                </c:pt>
                <c:pt idx="29">
                  <c:v>2.4101499948301353E-3</c:v>
                </c:pt>
                <c:pt idx="30">
                  <c:v>4.225999946356751E-4</c:v>
                </c:pt>
                <c:pt idx="31">
                  <c:v>-4.1095000779023394E-4</c:v>
                </c:pt>
                <c:pt idx="32">
                  <c:v>1.1470999961602502E-3</c:v>
                </c:pt>
                <c:pt idx="33">
                  <c:v>1.1870999951497652E-3</c:v>
                </c:pt>
                <c:pt idx="34">
                  <c:v>1.1687000005622394E-3</c:v>
                </c:pt>
                <c:pt idx="35">
                  <c:v>2.1686999971279874E-3</c:v>
                </c:pt>
                <c:pt idx="36">
                  <c:v>3.0687000034959055E-3</c:v>
                </c:pt>
                <c:pt idx="37">
                  <c:v>2.832749996741768E-3</c:v>
                </c:pt>
                <c:pt idx="38">
                  <c:v>3.3327499986626208E-3</c:v>
                </c:pt>
                <c:pt idx="39">
                  <c:v>3.7327499958337285E-3</c:v>
                </c:pt>
                <c:pt idx="40">
                  <c:v>5.2492999966489151E-3</c:v>
                </c:pt>
                <c:pt idx="41">
                  <c:v>4.7933999958331697E-3</c:v>
                </c:pt>
                <c:pt idx="42">
                  <c:v>5.39339999522781E-3</c:v>
                </c:pt>
                <c:pt idx="43">
                  <c:v>5.7194999899365939E-3</c:v>
                </c:pt>
                <c:pt idx="44">
                  <c:v>7.5194999953964725E-3</c:v>
                </c:pt>
                <c:pt idx="45">
                  <c:v>7.2830999997677281E-3</c:v>
                </c:pt>
                <c:pt idx="46">
                  <c:v>7.2830999997677281E-3</c:v>
                </c:pt>
                <c:pt idx="47">
                  <c:v>8.8908999969135039E-3</c:v>
                </c:pt>
                <c:pt idx="48">
                  <c:v>8.9908999943872914E-3</c:v>
                </c:pt>
                <c:pt idx="49">
                  <c:v>7.84879999991972E-3</c:v>
                </c:pt>
                <c:pt idx="50">
                  <c:v>1.1848800000734627E-2</c:v>
                </c:pt>
                <c:pt idx="51">
                  <c:v>1.3731799997913186E-2</c:v>
                </c:pt>
                <c:pt idx="52">
                  <c:v>1.4011799998115748E-2</c:v>
                </c:pt>
                <c:pt idx="53">
                  <c:v>1.4331799997307826E-2</c:v>
                </c:pt>
                <c:pt idx="54">
                  <c:v>1.9487649995426182E-2</c:v>
                </c:pt>
                <c:pt idx="55">
                  <c:v>1.8640599999343976E-2</c:v>
                </c:pt>
                <c:pt idx="56">
                  <c:v>1.8680599998333491E-2</c:v>
                </c:pt>
                <c:pt idx="57">
                  <c:v>2.26974999968661E-2</c:v>
                </c:pt>
                <c:pt idx="58">
                  <c:v>2.1338599995942786E-2</c:v>
                </c:pt>
                <c:pt idx="59">
                  <c:v>2.1957800003292505E-2</c:v>
                </c:pt>
                <c:pt idx="60">
                  <c:v>2.2040000003471505E-2</c:v>
                </c:pt>
                <c:pt idx="61">
                  <c:v>2.2372250001353677E-2</c:v>
                </c:pt>
                <c:pt idx="62">
                  <c:v>2.1711299996240996E-2</c:v>
                </c:pt>
                <c:pt idx="63">
                  <c:v>2.3949299997184426E-2</c:v>
                </c:pt>
                <c:pt idx="64">
                  <c:v>1.9770549995882902E-2</c:v>
                </c:pt>
                <c:pt idx="65">
                  <c:v>1.8736999998509418E-2</c:v>
                </c:pt>
                <c:pt idx="66">
                  <c:v>2.526006184052676E-2</c:v>
                </c:pt>
                <c:pt idx="67">
                  <c:v>2.4308949999976903E-2</c:v>
                </c:pt>
                <c:pt idx="68">
                  <c:v>2.8219299994816538E-2</c:v>
                </c:pt>
                <c:pt idx="69">
                  <c:v>2.8219299994816538E-2</c:v>
                </c:pt>
                <c:pt idx="70">
                  <c:v>3.2286549998389091E-2</c:v>
                </c:pt>
                <c:pt idx="71">
                  <c:v>3.0897649994585663E-2</c:v>
                </c:pt>
                <c:pt idx="72">
                  <c:v>3.085665000253357E-2</c:v>
                </c:pt>
                <c:pt idx="73">
                  <c:v>3.3827300001576077E-2</c:v>
                </c:pt>
                <c:pt idx="74">
                  <c:v>3.4110949993191753E-2</c:v>
                </c:pt>
                <c:pt idx="75">
                  <c:v>3.7376154534285888E-2</c:v>
                </c:pt>
                <c:pt idx="76">
                  <c:v>3.7659299996448681E-2</c:v>
                </c:pt>
                <c:pt idx="77">
                  <c:v>4.018809999251971E-2</c:v>
                </c:pt>
                <c:pt idx="78">
                  <c:v>4.018809999251971E-2</c:v>
                </c:pt>
                <c:pt idx="79">
                  <c:v>3.8620999999693595E-2</c:v>
                </c:pt>
                <c:pt idx="80">
                  <c:v>3.8720999997167382E-2</c:v>
                </c:pt>
                <c:pt idx="81">
                  <c:v>4.1135049992590211E-2</c:v>
                </c:pt>
                <c:pt idx="82">
                  <c:v>4.5000199999776669E-2</c:v>
                </c:pt>
                <c:pt idx="83">
                  <c:v>4.3778300001577009E-2</c:v>
                </c:pt>
                <c:pt idx="84">
                  <c:v>4.8062699999718461E-2</c:v>
                </c:pt>
                <c:pt idx="85">
                  <c:v>5.0758899997163098E-2</c:v>
                </c:pt>
                <c:pt idx="86">
                  <c:v>5.1138900002115406E-2</c:v>
                </c:pt>
                <c:pt idx="87">
                  <c:v>5.1158900001610164E-2</c:v>
                </c:pt>
                <c:pt idx="88">
                  <c:v>5.2903699994203635E-2</c:v>
                </c:pt>
                <c:pt idx="89">
                  <c:v>5.3336399992986117E-2</c:v>
                </c:pt>
                <c:pt idx="90">
                  <c:v>5.2367999996931758E-2</c:v>
                </c:pt>
                <c:pt idx="91">
                  <c:v>5.4728299997805152E-2</c:v>
                </c:pt>
                <c:pt idx="92">
                  <c:v>5.512829999497626E-2</c:v>
                </c:pt>
                <c:pt idx="93">
                  <c:v>5.1520199995138682E-2</c:v>
                </c:pt>
                <c:pt idx="94">
                  <c:v>5.9890349992201664E-2</c:v>
                </c:pt>
                <c:pt idx="95">
                  <c:v>6.0582149999390822E-2</c:v>
                </c:pt>
                <c:pt idx="96">
                  <c:v>6.0982150003837887E-2</c:v>
                </c:pt>
                <c:pt idx="97">
                  <c:v>6.6711099992971867E-2</c:v>
                </c:pt>
                <c:pt idx="98">
                  <c:v>6.8673950001539197E-2</c:v>
                </c:pt>
                <c:pt idx="99">
                  <c:v>6.9993650002288632E-2</c:v>
                </c:pt>
                <c:pt idx="100">
                  <c:v>7.0951899993815459E-2</c:v>
                </c:pt>
                <c:pt idx="101">
                  <c:v>7.3814249997667503E-2</c:v>
                </c:pt>
                <c:pt idx="102">
                  <c:v>7.0517050000489689E-2</c:v>
                </c:pt>
                <c:pt idx="103">
                  <c:v>7.0871849995455705E-2</c:v>
                </c:pt>
                <c:pt idx="104">
                  <c:v>7.1538299998792354E-2</c:v>
                </c:pt>
                <c:pt idx="105">
                  <c:v>7.1431500000471715E-2</c:v>
                </c:pt>
                <c:pt idx="106">
                  <c:v>7.3532249996787868E-2</c:v>
                </c:pt>
                <c:pt idx="107">
                  <c:v>7.3459649996948428E-2</c:v>
                </c:pt>
                <c:pt idx="108">
                  <c:v>7.7425449999282137E-2</c:v>
                </c:pt>
                <c:pt idx="109">
                  <c:v>7.3675599996931851E-2</c:v>
                </c:pt>
                <c:pt idx="110">
                  <c:v>7.3755600002186839E-2</c:v>
                </c:pt>
                <c:pt idx="111">
                  <c:v>7.3775600001681596E-2</c:v>
                </c:pt>
                <c:pt idx="112">
                  <c:v>7.3855599999660626E-2</c:v>
                </c:pt>
                <c:pt idx="113">
                  <c:v>7.3875599999155384E-2</c:v>
                </c:pt>
                <c:pt idx="114">
                  <c:v>7.4175599998852704E-2</c:v>
                </c:pt>
                <c:pt idx="115">
                  <c:v>7.4255600004107691E-2</c:v>
                </c:pt>
                <c:pt idx="116">
                  <c:v>7.4275600003602449E-2</c:v>
                </c:pt>
                <c:pt idx="117">
                  <c:v>7.3908500002289657E-2</c:v>
                </c:pt>
                <c:pt idx="118">
                  <c:v>7.5029099993116688E-2</c:v>
                </c:pt>
                <c:pt idx="119">
                  <c:v>7.4734599998919293E-2</c:v>
                </c:pt>
                <c:pt idx="120">
                  <c:v>7.4888749993988313E-2</c:v>
                </c:pt>
                <c:pt idx="121">
                  <c:v>7.5753899996925611E-2</c:v>
                </c:pt>
                <c:pt idx="122">
                  <c:v>7.6157299998158123E-2</c:v>
                </c:pt>
                <c:pt idx="123">
                  <c:v>7.6237300003413111E-2</c:v>
                </c:pt>
                <c:pt idx="124">
                  <c:v>7.6257300002907868E-2</c:v>
                </c:pt>
                <c:pt idx="125">
                  <c:v>7.7457300001697149E-2</c:v>
                </c:pt>
                <c:pt idx="126">
                  <c:v>7.7537299999676179E-2</c:v>
                </c:pt>
                <c:pt idx="127">
                  <c:v>7.7557299999170937E-2</c:v>
                </c:pt>
                <c:pt idx="128">
                  <c:v>7.8057300001091789E-2</c:v>
                </c:pt>
                <c:pt idx="129">
                  <c:v>7.8137299999070819E-2</c:v>
                </c:pt>
                <c:pt idx="130">
                  <c:v>7.8157299998565577E-2</c:v>
                </c:pt>
                <c:pt idx="131">
                  <c:v>8.1055999995442107E-2</c:v>
                </c:pt>
                <c:pt idx="132">
                  <c:v>8.4455349999188911E-2</c:v>
                </c:pt>
                <c:pt idx="133">
                  <c:v>8.0549199992674403E-2</c:v>
                </c:pt>
                <c:pt idx="134">
                  <c:v>8.1428799996501766E-2</c:v>
                </c:pt>
                <c:pt idx="135">
                  <c:v>8.5612899994885083E-2</c:v>
                </c:pt>
                <c:pt idx="136">
                  <c:v>8.5387749997607898E-2</c:v>
                </c:pt>
                <c:pt idx="137">
                  <c:v>8.6412449993076734E-2</c:v>
                </c:pt>
                <c:pt idx="138">
                  <c:v>8.7807049996627029E-2</c:v>
                </c:pt>
                <c:pt idx="139">
                  <c:v>9.3540850000863429E-2</c:v>
                </c:pt>
                <c:pt idx="140">
                  <c:v>9.2779249993327539E-2</c:v>
                </c:pt>
                <c:pt idx="141">
                  <c:v>9.6530800001346506E-2</c:v>
                </c:pt>
                <c:pt idx="142">
                  <c:v>9.4411699996271636E-2</c:v>
                </c:pt>
                <c:pt idx="143">
                  <c:v>0.10083474999555619</c:v>
                </c:pt>
                <c:pt idx="144">
                  <c:v>0.10087474999454571</c:v>
                </c:pt>
                <c:pt idx="145">
                  <c:v>0.10107474999676924</c:v>
                </c:pt>
                <c:pt idx="146">
                  <c:v>0.10111474999575876</c:v>
                </c:pt>
                <c:pt idx="147">
                  <c:v>0.10204474999773083</c:v>
                </c:pt>
                <c:pt idx="148">
                  <c:v>0.10207474999333499</c:v>
                </c:pt>
                <c:pt idx="149">
                  <c:v>0.10263814999780152</c:v>
                </c:pt>
                <c:pt idx="150">
                  <c:v>0.10307099999772618</c:v>
                </c:pt>
                <c:pt idx="151">
                  <c:v>0.10669839999900432</c:v>
                </c:pt>
                <c:pt idx="152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F-4961-9F49-5427BB58FDC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1.3217976054974759E-3</c:v>
                </c:pt>
                <c:pt idx="1">
                  <c:v>1.6042894881944671E-3</c:v>
                </c:pt>
                <c:pt idx="2">
                  <c:v>2.3730457647854445E-3</c:v>
                </c:pt>
                <c:pt idx="3">
                  <c:v>3.6280664352704075E-3</c:v>
                </c:pt>
                <c:pt idx="4">
                  <c:v>5.369351499649358E-3</c:v>
                </c:pt>
                <c:pt idx="5">
                  <c:v>7.596900957922292E-3</c:v>
                </c:pt>
                <c:pt idx="6">
                  <c:v>1.0310714810089213E-2</c:v>
                </c:pt>
                <c:pt idx="7">
                  <c:v>1.3510793056150119E-2</c:v>
                </c:pt>
                <c:pt idx="8">
                  <c:v>1.7197135696105016E-2</c:v>
                </c:pt>
                <c:pt idx="9">
                  <c:v>2.1369742729953893E-2</c:v>
                </c:pt>
                <c:pt idx="10">
                  <c:v>2.602861415769676E-2</c:v>
                </c:pt>
                <c:pt idx="11">
                  <c:v>3.1173749979333615E-2</c:v>
                </c:pt>
                <c:pt idx="12">
                  <c:v>3.6805150194864446E-2</c:v>
                </c:pt>
                <c:pt idx="13">
                  <c:v>4.2922814804289278E-2</c:v>
                </c:pt>
                <c:pt idx="14">
                  <c:v>4.9526743807608076E-2</c:v>
                </c:pt>
                <c:pt idx="15">
                  <c:v>5.6616937204820875E-2</c:v>
                </c:pt>
                <c:pt idx="16">
                  <c:v>6.4193394995927675E-2</c:v>
                </c:pt>
                <c:pt idx="17">
                  <c:v>7.225611718092842E-2</c:v>
                </c:pt>
                <c:pt idx="18">
                  <c:v>8.080510375982318E-2</c:v>
                </c:pt>
                <c:pt idx="19">
                  <c:v>8.9840354732611913E-2</c:v>
                </c:pt>
                <c:pt idx="20">
                  <c:v>9.9361870099294647E-2</c:v>
                </c:pt>
                <c:pt idx="21">
                  <c:v>0.10936964985987137</c:v>
                </c:pt>
                <c:pt idx="22">
                  <c:v>0.11986369401434208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F-4961-9F49-5427BB58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816352"/>
        <c:axId val="1"/>
      </c:scatterChart>
      <c:valAx>
        <c:axId val="849816352"/>
        <c:scaling>
          <c:orientation val="minMax"/>
          <c:max val="2.200000000000000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814729574223243"/>
              <c:y val="0.93704600484261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7537399309551211E-3"/>
              <c:y val="0.4697336561743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8163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30494821634064"/>
          <c:y val="0.93704600484261502"/>
          <c:w val="0.43843498273878023"/>
          <c:h val="0.987893462469733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Diagram</a:t>
            </a:r>
          </a:p>
        </c:rich>
      </c:tx>
      <c:layout>
        <c:manualLayout>
          <c:xMode val="edge"/>
          <c:yMode val="edge"/>
          <c:x val="0.3966480446927374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2625698324022E-2"/>
          <c:y val="9.7505884853947108E-2"/>
          <c:w val="0.91061452513966479"/>
          <c:h val="0.7687091852439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Q_fit_old!$E$20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Q_fit_old!$D$21:$D$73</c:f>
              <c:numCache>
                <c:formatCode>General</c:formatCode>
                <c:ptCount val="53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0.84845000000000004</c:v>
                </c:pt>
                <c:pt idx="24">
                  <c:v>0.86380000000000001</c:v>
                </c:pt>
                <c:pt idx="25">
                  <c:v>0.91749999999999998</c:v>
                </c:pt>
                <c:pt idx="26">
                  <c:v>0.9194</c:v>
                </c:pt>
                <c:pt idx="27">
                  <c:v>0.92</c:v>
                </c:pt>
                <c:pt idx="28">
                  <c:v>0.92425000000000002</c:v>
                </c:pt>
                <c:pt idx="29">
                  <c:v>0.92490000000000006</c:v>
                </c:pt>
                <c:pt idx="30">
                  <c:v>1.0001500000000001</c:v>
                </c:pt>
                <c:pt idx="31">
                  <c:v>1.0029999999999999</c:v>
                </c:pt>
                <c:pt idx="32">
                  <c:v>1.0681499999999999</c:v>
                </c:pt>
                <c:pt idx="33">
                  <c:v>1.0784499999999999</c:v>
                </c:pt>
                <c:pt idx="34">
                  <c:v>1.0929</c:v>
                </c:pt>
                <c:pt idx="35">
                  <c:v>1.1493500000000001</c:v>
                </c:pt>
                <c:pt idx="36">
                  <c:v>1.2204999999999999</c:v>
                </c:pt>
                <c:pt idx="37">
                  <c:v>1.2289000000000001</c:v>
                </c:pt>
                <c:pt idx="38">
                  <c:v>1.2330000000000001</c:v>
                </c:pt>
                <c:pt idx="39">
                  <c:v>1.2330000000000001</c:v>
                </c:pt>
                <c:pt idx="40">
                  <c:v>1.3086500000000001</c:v>
                </c:pt>
                <c:pt idx="41">
                  <c:v>1.3146</c:v>
                </c:pt>
                <c:pt idx="42">
                  <c:v>1.3159000000000001</c:v>
                </c:pt>
                <c:pt idx="43">
                  <c:v>1.3771</c:v>
                </c:pt>
                <c:pt idx="44">
                  <c:v>1.3996999999999999</c:v>
                </c:pt>
                <c:pt idx="45">
                  <c:v>1.4500999999999999</c:v>
                </c:pt>
                <c:pt idx="46">
                  <c:v>1.4572000000000001</c:v>
                </c:pt>
                <c:pt idx="47">
                  <c:v>1.464</c:v>
                </c:pt>
                <c:pt idx="48">
                  <c:v>1.4659</c:v>
                </c:pt>
                <c:pt idx="49">
                  <c:v>1.4745999999999999</c:v>
                </c:pt>
                <c:pt idx="50">
                  <c:v>1.54695</c:v>
                </c:pt>
                <c:pt idx="51">
                  <c:v>1.6103000000000001</c:v>
                </c:pt>
                <c:pt idx="52">
                  <c:v>1.7078500000000001</c:v>
                </c:pt>
              </c:numCache>
            </c:numRef>
          </c:xVal>
          <c:yVal>
            <c:numRef>
              <c:f>Q_fit_old!$E$21:$E$73</c:f>
              <c:numCache>
                <c:formatCode>General</c:formatCode>
                <c:ptCount val="53"/>
                <c:pt idx="0">
                  <c:v>0.11011500027962029</c:v>
                </c:pt>
                <c:pt idx="1">
                  <c:v>-0.15173249994404614</c:v>
                </c:pt>
                <c:pt idx="2">
                  <c:v>2.6865000108955428E-2</c:v>
                </c:pt>
                <c:pt idx="3">
                  <c:v>-3.0364999838639051E-2</c:v>
                </c:pt>
                <c:pt idx="4">
                  <c:v>-0.22286000021267682</c:v>
                </c:pt>
                <c:pt idx="5">
                  <c:v>-1.2365000293357298E-2</c:v>
                </c:pt>
                <c:pt idx="6">
                  <c:v>0.12349250027909875</c:v>
                </c:pt>
                <c:pt idx="7">
                  <c:v>-6.472000022768043E-2</c:v>
                </c:pt>
                <c:pt idx="8">
                  <c:v>4.1137500375043601E-2</c:v>
                </c:pt>
                <c:pt idx="9">
                  <c:v>5.1137500122422352E-2</c:v>
                </c:pt>
                <c:pt idx="10">
                  <c:v>-3.4859999868785962E-2</c:v>
                </c:pt>
                <c:pt idx="11">
                  <c:v>1.7910000315168872E-2</c:v>
                </c:pt>
                <c:pt idx="12">
                  <c:v>-3.9320000360021368E-2</c:v>
                </c:pt>
                <c:pt idx="13">
                  <c:v>8.3924998762086034E-3</c:v>
                </c:pt>
                <c:pt idx="14">
                  <c:v>9.8710000020219013E-2</c:v>
                </c:pt>
                <c:pt idx="15">
                  <c:v>0.11147999975946732</c:v>
                </c:pt>
                <c:pt idx="16">
                  <c:v>0.12179749974166043</c:v>
                </c:pt>
                <c:pt idx="17">
                  <c:v>-3.8130000029923394E-2</c:v>
                </c:pt>
                <c:pt idx="18">
                  <c:v>-0.12135750002926216</c:v>
                </c:pt>
                <c:pt idx="19">
                  <c:v>3.559500037226826E-2</c:v>
                </c:pt>
                <c:pt idx="20">
                  <c:v>0.76638000027742237</c:v>
                </c:pt>
                <c:pt idx="21">
                  <c:v>1.1663800003589131</c:v>
                </c:pt>
                <c:pt idx="22">
                  <c:v>1.4065299998037517</c:v>
                </c:pt>
                <c:pt idx="23">
                  <c:v>1.9731724998564459</c:v>
                </c:pt>
                <c:pt idx="24">
                  <c:v>1.8947700002172496</c:v>
                </c:pt>
                <c:pt idx="25">
                  <c:v>2.3045149995596148</c:v>
                </c:pt>
                <c:pt idx="26">
                  <c:v>2.2308300001895986</c:v>
                </c:pt>
                <c:pt idx="27">
                  <c:v>2.2391400001652073</c:v>
                </c:pt>
                <c:pt idx="28">
                  <c:v>2.2730025004420895</c:v>
                </c:pt>
                <c:pt idx="29">
                  <c:v>2.2070049999456387</c:v>
                </c:pt>
                <c:pt idx="30">
                  <c:v>1.9770549995882902</c:v>
                </c:pt>
                <c:pt idx="31">
                  <c:v>2.5735961840837263</c:v>
                </c:pt>
                <c:pt idx="32">
                  <c:v>3.2860175000678282</c:v>
                </c:pt>
                <c:pt idx="33">
                  <c:v>3.0897649994585663</c:v>
                </c:pt>
                <c:pt idx="34">
                  <c:v>3.3827300001576077</c:v>
                </c:pt>
                <c:pt idx="35">
                  <c:v>3.4110949993191753</c:v>
                </c:pt>
                <c:pt idx="36">
                  <c:v>3.7376154534285888</c:v>
                </c:pt>
                <c:pt idx="37">
                  <c:v>3.7659299996448681</c:v>
                </c:pt>
                <c:pt idx="38">
                  <c:v>3.8620999999693595</c:v>
                </c:pt>
                <c:pt idx="39">
                  <c:v>3.8720999997167382</c:v>
                </c:pt>
                <c:pt idx="40">
                  <c:v>4.1135049992590211</c:v>
                </c:pt>
                <c:pt idx="41">
                  <c:v>4.5000199999776669</c:v>
                </c:pt>
                <c:pt idx="42">
                  <c:v>4.3778300001577009</c:v>
                </c:pt>
                <c:pt idx="43">
                  <c:v>4.8062699999718461</c:v>
                </c:pt>
                <c:pt idx="44">
                  <c:v>5.1138900002115406</c:v>
                </c:pt>
                <c:pt idx="45">
                  <c:v>5.2903699994203635</c:v>
                </c:pt>
                <c:pt idx="46">
                  <c:v>5.3336399992986117</c:v>
                </c:pt>
                <c:pt idx="47">
                  <c:v>5.2367999996931758</c:v>
                </c:pt>
                <c:pt idx="48">
                  <c:v>5.4728299997805152</c:v>
                </c:pt>
                <c:pt idx="49">
                  <c:v>5.1520199995138682</c:v>
                </c:pt>
                <c:pt idx="50">
                  <c:v>6.0982150003837887</c:v>
                </c:pt>
                <c:pt idx="51">
                  <c:v>6.6711099992971867</c:v>
                </c:pt>
                <c:pt idx="52">
                  <c:v>7.7425449999282137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B-488A-AF0B-5290D2000C1A}"/>
            </c:ext>
          </c:extLst>
        </c:ser>
        <c:ser>
          <c:idx val="1"/>
          <c:order val="1"/>
          <c:tx>
            <c:strRef>
              <c:f>Q_fit_old!$K$20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Q_fit_old!$D$21:$D$73</c:f>
              <c:numCache>
                <c:formatCode>General</c:formatCode>
                <c:ptCount val="53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0.84845000000000004</c:v>
                </c:pt>
                <c:pt idx="24">
                  <c:v>0.86380000000000001</c:v>
                </c:pt>
                <c:pt idx="25">
                  <c:v>0.91749999999999998</c:v>
                </c:pt>
                <c:pt idx="26">
                  <c:v>0.9194</c:v>
                </c:pt>
                <c:pt idx="27">
                  <c:v>0.92</c:v>
                </c:pt>
                <c:pt idx="28">
                  <c:v>0.92425000000000002</c:v>
                </c:pt>
                <c:pt idx="29">
                  <c:v>0.92490000000000006</c:v>
                </c:pt>
                <c:pt idx="30">
                  <c:v>1.0001500000000001</c:v>
                </c:pt>
                <c:pt idx="31">
                  <c:v>1.0029999999999999</c:v>
                </c:pt>
                <c:pt idx="32">
                  <c:v>1.0681499999999999</c:v>
                </c:pt>
                <c:pt idx="33">
                  <c:v>1.0784499999999999</c:v>
                </c:pt>
                <c:pt idx="34">
                  <c:v>1.0929</c:v>
                </c:pt>
                <c:pt idx="35">
                  <c:v>1.1493500000000001</c:v>
                </c:pt>
                <c:pt idx="36">
                  <c:v>1.2204999999999999</c:v>
                </c:pt>
                <c:pt idx="37">
                  <c:v>1.2289000000000001</c:v>
                </c:pt>
                <c:pt idx="38">
                  <c:v>1.2330000000000001</c:v>
                </c:pt>
                <c:pt idx="39">
                  <c:v>1.2330000000000001</c:v>
                </c:pt>
                <c:pt idx="40">
                  <c:v>1.3086500000000001</c:v>
                </c:pt>
                <c:pt idx="41">
                  <c:v>1.3146</c:v>
                </c:pt>
                <c:pt idx="42">
                  <c:v>1.3159000000000001</c:v>
                </c:pt>
                <c:pt idx="43">
                  <c:v>1.3771</c:v>
                </c:pt>
                <c:pt idx="44">
                  <c:v>1.3996999999999999</c:v>
                </c:pt>
                <c:pt idx="45">
                  <c:v>1.4500999999999999</c:v>
                </c:pt>
                <c:pt idx="46">
                  <c:v>1.4572000000000001</c:v>
                </c:pt>
                <c:pt idx="47">
                  <c:v>1.464</c:v>
                </c:pt>
                <c:pt idx="48">
                  <c:v>1.4659</c:v>
                </c:pt>
                <c:pt idx="49">
                  <c:v>1.4745999999999999</c:v>
                </c:pt>
                <c:pt idx="50">
                  <c:v>1.54695</c:v>
                </c:pt>
                <c:pt idx="51">
                  <c:v>1.6103000000000001</c:v>
                </c:pt>
                <c:pt idx="52">
                  <c:v>1.7078500000000001</c:v>
                </c:pt>
              </c:numCache>
            </c:numRef>
          </c:xVal>
          <c:yVal>
            <c:numRef>
              <c:f>Q_fit_old!$K$21:$K$73</c:f>
              <c:numCache>
                <c:formatCode>General</c:formatCode>
                <c:ptCount val="53"/>
                <c:pt idx="0">
                  <c:v>5.7285491919657885E-2</c:v>
                </c:pt>
                <c:pt idx="1">
                  <c:v>-1.4059266378490393E-4</c:v>
                </c:pt>
                <c:pt idx="2">
                  <c:v>-2.6123158447048198E-2</c:v>
                </c:pt>
                <c:pt idx="3">
                  <c:v>-2.6155454375832249E-2</c:v>
                </c:pt>
                <c:pt idx="4">
                  <c:v>-2.5297204534783947E-2</c:v>
                </c:pt>
                <c:pt idx="5">
                  <c:v>-2.3503422477955695E-2</c:v>
                </c:pt>
                <c:pt idx="6">
                  <c:v>-2.2811782691870834E-2</c:v>
                </c:pt>
                <c:pt idx="7">
                  <c:v>3.0072215992488199E-3</c:v>
                </c:pt>
                <c:pt idx="8">
                  <c:v>4.6682015091887696E-3</c:v>
                </c:pt>
                <c:pt idx="9">
                  <c:v>4.6682015091887696E-3</c:v>
                </c:pt>
                <c:pt idx="10">
                  <c:v>5.0398588653303589E-3</c:v>
                </c:pt>
                <c:pt idx="11">
                  <c:v>5.1546275323593807E-3</c:v>
                </c:pt>
                <c:pt idx="12">
                  <c:v>5.2695903440693539E-3</c:v>
                </c:pt>
                <c:pt idx="13">
                  <c:v>8.3568012099989909E-3</c:v>
                </c:pt>
                <c:pt idx="14">
                  <c:v>9.904572851892425E-3</c:v>
                </c:pt>
                <c:pt idx="15">
                  <c:v>1.0027301450840052E-2</c:v>
                </c:pt>
                <c:pt idx="16">
                  <c:v>1.1609109082111022E-2</c:v>
                </c:pt>
                <c:pt idx="17">
                  <c:v>5.6883753553306125E-2</c:v>
                </c:pt>
                <c:pt idx="18">
                  <c:v>5.7660826297888532E-2</c:v>
                </c:pt>
                <c:pt idx="19">
                  <c:v>6.4812284222607694E-2</c:v>
                </c:pt>
                <c:pt idx="20">
                  <c:v>0.846369771593383</c:v>
                </c:pt>
                <c:pt idx="21">
                  <c:v>0.846369771593383</c:v>
                </c:pt>
                <c:pt idx="22">
                  <c:v>1.3711660268490604</c:v>
                </c:pt>
                <c:pt idx="23">
                  <c:v>1.8787045986739466</c:v>
                </c:pt>
                <c:pt idx="24">
                  <c:v>1.9453293009814843</c:v>
                </c:pt>
                <c:pt idx="25">
                  <c:v>2.1874058193302255</c:v>
                </c:pt>
                <c:pt idx="26">
                  <c:v>2.1962272783471928</c:v>
                </c:pt>
                <c:pt idx="27">
                  <c:v>2.1990166424600552</c:v>
                </c:pt>
                <c:pt idx="28">
                  <c:v>2.2188246608499469</c:v>
                </c:pt>
                <c:pt idx="29">
                  <c:v>2.2218618518711586</c:v>
                </c:pt>
                <c:pt idx="30">
                  <c:v>2.5873357762407259</c:v>
                </c:pt>
                <c:pt idx="31">
                  <c:v>2.6017178169741566</c:v>
                </c:pt>
                <c:pt idx="32">
                  <c:v>2.9412374688791698</c:v>
                </c:pt>
                <c:pt idx="33">
                  <c:v>2.9968003632372362</c:v>
                </c:pt>
                <c:pt idx="34">
                  <c:v>3.0756181667405444</c:v>
                </c:pt>
                <c:pt idx="35">
                  <c:v>3.3932386075751233</c:v>
                </c:pt>
                <c:pt idx="36">
                  <c:v>3.8156021378747424</c:v>
                </c:pt>
                <c:pt idx="37">
                  <c:v>3.8670882022691138</c:v>
                </c:pt>
                <c:pt idx="38">
                  <c:v>3.8923426790644982</c:v>
                </c:pt>
                <c:pt idx="39">
                  <c:v>3.8923426790644982</c:v>
                </c:pt>
                <c:pt idx="40">
                  <c:v>4.3729597221790151</c:v>
                </c:pt>
                <c:pt idx="41">
                  <c:v>4.4119393267173281</c:v>
                </c:pt>
                <c:pt idx="42">
                  <c:v>4.4204787516396218</c:v>
                </c:pt>
                <c:pt idx="43">
                  <c:v>4.8317711443850317</c:v>
                </c:pt>
                <c:pt idx="44">
                  <c:v>4.9882497133920154</c:v>
                </c:pt>
                <c:pt idx="45">
                  <c:v>5.3461394838150529</c:v>
                </c:pt>
                <c:pt idx="46">
                  <c:v>5.3975472396995778</c:v>
                </c:pt>
                <c:pt idx="47">
                  <c:v>5.4470122188252867</c:v>
                </c:pt>
                <c:pt idx="48">
                  <c:v>5.4608734310786398</c:v>
                </c:pt>
                <c:pt idx="49">
                  <c:v>5.5245669927302155</c:v>
                </c:pt>
                <c:pt idx="50">
                  <c:v>6.0684792345456673</c:v>
                </c:pt>
                <c:pt idx="51">
                  <c:v>6.5655936394467282</c:v>
                </c:pt>
                <c:pt idx="52">
                  <c:v>7.3691698879112417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CB-488A-AF0B-5290D200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533288"/>
        <c:axId val="1"/>
      </c:scatterChart>
      <c:valAx>
        <c:axId val="82153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5332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296089385474862"/>
          <c:y val="0.93197493170496548"/>
          <c:w val="0.58240223463687157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6363636363636365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3353135074437641"/>
          <c:w val="0.83966942148760326"/>
          <c:h val="0.6528199369725069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(2)'!$D$20:$D$45</c:f>
                <c:numCache>
                  <c:formatCode>General</c:formatCode>
                  <c:ptCount val="26"/>
                  <c:pt idx="0">
                    <c:v>0</c:v>
                  </c:pt>
                  <c:pt idx="24">
                    <c:v>1.5E-3</c:v>
                  </c:pt>
                  <c:pt idx="25">
                    <c:v>1E-3</c:v>
                  </c:pt>
                </c:numCache>
              </c:numRef>
            </c:plus>
            <c:minus>
              <c:numRef>
                <c:f>'A (2)'!$D$20:$D$45</c:f>
                <c:numCache>
                  <c:formatCode>General</c:formatCode>
                  <c:ptCount val="26"/>
                  <c:pt idx="0">
                    <c:v>0</c:v>
                  </c:pt>
                  <c:pt idx="24">
                    <c:v>1.5E-3</c:v>
                  </c:pt>
                  <c:pt idx="2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(2)'!$I$21:$I$45</c:f>
              <c:numCache>
                <c:formatCode>General</c:formatCode>
                <c:ptCount val="25"/>
                <c:pt idx="1">
                  <c:v>1.1011500027962029E-3</c:v>
                </c:pt>
                <c:pt idx="2">
                  <c:v>-1.5173249994404614E-3</c:v>
                </c:pt>
                <c:pt idx="3">
                  <c:v>2.6865000108955428E-4</c:v>
                </c:pt>
                <c:pt idx="4">
                  <c:v>-3.0364999838639051E-4</c:v>
                </c:pt>
                <c:pt idx="5">
                  <c:v>-2.2286000021267682E-3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F-4E30-96A8-DD3CE8F5BF18}"/>
            </c:ext>
          </c:extLst>
        </c:ser>
        <c:ser>
          <c:idx val="3"/>
          <c:order val="1"/>
          <c:tx>
            <c:strRef>
              <c:f>'A (2)'!$J$20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(2)'!$J$21:$J$45</c:f>
              <c:numCache>
                <c:formatCode>General</c:formatCode>
                <c:ptCount val="25"/>
                <c:pt idx="21">
                  <c:v>7.6638000027742237E-3</c:v>
                </c:pt>
                <c:pt idx="22">
                  <c:v>1.1663800003589131E-2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F-4E30-96A8-DD3CE8F5BF18}"/>
            </c:ext>
          </c:extLst>
        </c:ser>
        <c:ser>
          <c:idx val="4"/>
          <c:order val="2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0F-4E30-96A8-DD3CE8F5BF18}"/>
            </c:ext>
          </c:extLst>
        </c:ser>
        <c:ser>
          <c:idx val="2"/>
          <c:order val="3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(2)'!$L$21:$L$45</c:f>
              <c:numCache>
                <c:formatCode>General</c:formatCode>
                <c:ptCount val="25"/>
                <c:pt idx="23">
                  <c:v>1.4065299998037517E-2</c:v>
                </c:pt>
                <c:pt idx="24">
                  <c:v>1.8947700002172496E-2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0F-4E30-96A8-DD3CE8F5BF18}"/>
            </c:ext>
          </c:extLst>
        </c:ser>
        <c:ser>
          <c:idx val="5"/>
          <c:order val="4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0F-4E30-96A8-DD3CE8F5BF18}"/>
            </c:ext>
          </c:extLst>
        </c:ser>
        <c:ser>
          <c:idx val="6"/>
          <c:order val="5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0F-4E30-96A8-DD3CE8F5BF18}"/>
            </c:ext>
          </c:extLst>
        </c:ser>
        <c:ser>
          <c:idx val="7"/>
          <c:order val="6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(2)'!$O$21:$O$45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0F-4E30-96A8-DD3CE8F5BF18}"/>
            </c:ext>
          </c:extLst>
        </c:ser>
        <c:ser>
          <c:idx val="8"/>
          <c:order val="7"/>
          <c:tx>
            <c:strRef>
              <c:f>'A (2)'!$W$1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(2)'!$V$2:$V$41</c:f>
              <c:numCache>
                <c:formatCode>General</c:formatCode>
                <c:ptCount val="40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(2)'!$W$2:$W$41</c:f>
              <c:numCache>
                <c:formatCode>0.00E+00</c:formatCode>
                <c:ptCount val="40"/>
                <c:pt idx="0">
                  <c:v>2.2828360849101756E-3</c:v>
                </c:pt>
                <c:pt idx="1">
                  <c:v>1.015082704933823E-3</c:v>
                </c:pt>
                <c:pt idx="2">
                  <c:v>2.544706775014946E-4</c:v>
                </c:pt>
                <c:pt idx="3">
                  <c:v>1.0000026131907404E-6</c:v>
                </c:pt>
                <c:pt idx="4">
                  <c:v>2.5467068026891138E-4</c:v>
                </c:pt>
                <c:pt idx="5">
                  <c:v>1.0154827104686564E-3</c:v>
                </c:pt>
                <c:pt idx="6">
                  <c:v>2.2834360932124259E-3</c:v>
                </c:pt>
                <c:pt idx="7">
                  <c:v>4.0585308285002201E-3</c:v>
                </c:pt>
                <c:pt idx="8">
                  <c:v>6.3407669163320383E-3</c:v>
                </c:pt>
                <c:pt idx="9">
                  <c:v>9.1301443567078817E-3</c:v>
                </c:pt>
                <c:pt idx="10">
                  <c:v>1.2426663149627749E-2</c:v>
                </c:pt>
                <c:pt idx="11">
                  <c:v>1.623032329509164E-2</c:v>
                </c:pt>
                <c:pt idx="12">
                  <c:v>2.0541124793099556E-2</c:v>
                </c:pt>
                <c:pt idx="13">
                  <c:v>2.5359067643651496E-2</c:v>
                </c:pt>
                <c:pt idx="14">
                  <c:v>3.0684151846747464E-2</c:v>
                </c:pt>
                <c:pt idx="15">
                  <c:v>3.6516377402387452E-2</c:v>
                </c:pt>
                <c:pt idx="16">
                  <c:v>4.2855744310571466E-2</c:v>
                </c:pt>
                <c:pt idx="17">
                  <c:v>4.9702252571299503E-2</c:v>
                </c:pt>
                <c:pt idx="18">
                  <c:v>5.7055902184571565E-2</c:v>
                </c:pt>
                <c:pt idx="19">
                  <c:v>6.4916693150387658E-2</c:v>
                </c:pt>
                <c:pt idx="20">
                  <c:v>7.3284625468747755E-2</c:v>
                </c:pt>
                <c:pt idx="21">
                  <c:v>8.2159699139651904E-2</c:v>
                </c:pt>
                <c:pt idx="22">
                  <c:v>9.1541914163100063E-2</c:v>
                </c:pt>
                <c:pt idx="23">
                  <c:v>0.10143127053909225</c:v>
                </c:pt>
                <c:pt idx="24">
                  <c:v>0.11182776826762846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0F-4E30-96A8-DD3CE8F5B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83864"/>
        <c:axId val="1"/>
      </c:scatterChart>
      <c:valAx>
        <c:axId val="810183864"/>
        <c:scaling>
          <c:orientation val="minMax"/>
          <c:max val="9000"/>
          <c:min val="-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661157024793388"/>
              <c:y val="0.86350272981455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223140495867768E-2"/>
              <c:y val="0.35905106817137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183864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0826446280992"/>
          <c:y val="0.91988255177301648"/>
          <c:w val="0.83140495867768593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667208561773073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45497589659059"/>
          <c:w val="0.8061395696653259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(2)'!$H$21:$H$45</c:f>
              <c:numCache>
                <c:formatCode>General</c:formatCode>
                <c:ptCount val="25"/>
                <c:pt idx="0">
                  <c:v>-1.0841725001228042E-2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F-4A80-9B4B-5D8178072021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(2)'!$I$21:$I$45</c:f>
              <c:numCache>
                <c:formatCode>General</c:formatCode>
                <c:ptCount val="25"/>
                <c:pt idx="1">
                  <c:v>1.1011500027962029E-3</c:v>
                </c:pt>
                <c:pt idx="2">
                  <c:v>-1.5173249994404614E-3</c:v>
                </c:pt>
                <c:pt idx="3">
                  <c:v>2.6865000108955428E-4</c:v>
                </c:pt>
                <c:pt idx="4">
                  <c:v>-3.0364999838639051E-4</c:v>
                </c:pt>
                <c:pt idx="5">
                  <c:v>-2.2286000021267682E-3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F-4A80-9B4B-5D817807202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(2)'!$J$21:$J$45</c:f>
              <c:numCache>
                <c:formatCode>General</c:formatCode>
                <c:ptCount val="25"/>
                <c:pt idx="21">
                  <c:v>7.6638000027742237E-3</c:v>
                </c:pt>
                <c:pt idx="22">
                  <c:v>1.1663800003589131E-2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F-4A80-9B4B-5D817807202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FF-4A80-9B4B-5D817807202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(2)'!$L$21:$L$45</c:f>
              <c:numCache>
                <c:formatCode>General</c:formatCode>
                <c:ptCount val="25"/>
                <c:pt idx="23">
                  <c:v>1.4065299998037517E-2</c:v>
                </c:pt>
                <c:pt idx="24">
                  <c:v>1.8947700002172496E-2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FF-4A80-9B4B-5D817807202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FF-4A80-9B4B-5D8178072021}"/>
            </c:ext>
          </c:extLst>
        </c:ser>
        <c:ser>
          <c:idx val="6"/>
          <c:order val="6"/>
          <c:tx>
            <c:strRef>
              <c:f>'A (2)'!$W$1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(2)'!$V$2:$V$41</c:f>
              <c:numCache>
                <c:formatCode>General</c:formatCode>
                <c:ptCount val="40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(2)'!$W$2:$W$41</c:f>
              <c:numCache>
                <c:formatCode>0.00E+00</c:formatCode>
                <c:ptCount val="40"/>
                <c:pt idx="0">
                  <c:v>2.2828360849101756E-3</c:v>
                </c:pt>
                <c:pt idx="1">
                  <c:v>1.015082704933823E-3</c:v>
                </c:pt>
                <c:pt idx="2">
                  <c:v>2.544706775014946E-4</c:v>
                </c:pt>
                <c:pt idx="3">
                  <c:v>1.0000026131907404E-6</c:v>
                </c:pt>
                <c:pt idx="4">
                  <c:v>2.5467068026891138E-4</c:v>
                </c:pt>
                <c:pt idx="5">
                  <c:v>1.0154827104686564E-3</c:v>
                </c:pt>
                <c:pt idx="6">
                  <c:v>2.2834360932124259E-3</c:v>
                </c:pt>
                <c:pt idx="7">
                  <c:v>4.0585308285002201E-3</c:v>
                </c:pt>
                <c:pt idx="8">
                  <c:v>6.3407669163320383E-3</c:v>
                </c:pt>
                <c:pt idx="9">
                  <c:v>9.1301443567078817E-3</c:v>
                </c:pt>
                <c:pt idx="10">
                  <c:v>1.2426663149627749E-2</c:v>
                </c:pt>
                <c:pt idx="11">
                  <c:v>1.623032329509164E-2</c:v>
                </c:pt>
                <c:pt idx="12">
                  <c:v>2.0541124793099556E-2</c:v>
                </c:pt>
                <c:pt idx="13">
                  <c:v>2.5359067643651496E-2</c:v>
                </c:pt>
                <c:pt idx="14">
                  <c:v>3.0684151846747464E-2</c:v>
                </c:pt>
                <c:pt idx="15">
                  <c:v>3.6516377402387452E-2</c:v>
                </c:pt>
                <c:pt idx="16">
                  <c:v>4.2855744310571466E-2</c:v>
                </c:pt>
                <c:pt idx="17">
                  <c:v>4.9702252571299503E-2</c:v>
                </c:pt>
                <c:pt idx="18">
                  <c:v>5.7055902184571565E-2</c:v>
                </c:pt>
                <c:pt idx="19">
                  <c:v>6.4916693150387658E-2</c:v>
                </c:pt>
                <c:pt idx="20">
                  <c:v>7.3284625468747755E-2</c:v>
                </c:pt>
                <c:pt idx="21">
                  <c:v>8.2159699139651904E-2</c:v>
                </c:pt>
                <c:pt idx="22">
                  <c:v>9.1541914163100063E-2</c:v>
                </c:pt>
                <c:pt idx="23">
                  <c:v>0.10143127053909225</c:v>
                </c:pt>
                <c:pt idx="24">
                  <c:v>0.11182776826762846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FF-4A80-9B4B-5D8178072021}"/>
            </c:ext>
          </c:extLst>
        </c:ser>
        <c:ser>
          <c:idx val="7"/>
          <c:order val="7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(2)'!$U$21:$U$45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FF-4A80-9B4B-5D817807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76136"/>
        <c:axId val="1"/>
      </c:scatterChart>
      <c:valAx>
        <c:axId val="5585761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7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085638931644045"/>
          <c:y val="0.92121498449057504"/>
          <c:w val="0.8255257188166502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Diagram</a:t>
            </a:r>
          </a:p>
        </c:rich>
      </c:tx>
      <c:layout>
        <c:manualLayout>
          <c:xMode val="edge"/>
          <c:yMode val="edge"/>
          <c:x val="0.40921787709497209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39106145251395E-2"/>
          <c:y val="9.9056717847967005E-2"/>
          <c:w val="0.8966480446927374"/>
          <c:h val="0.76415182339860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(2)'!$D$21:$D$72</c:f>
              <c:numCache>
                <c:formatCode>General</c:formatCode>
                <c:ptCount val="52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0.86380000000000001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xVal>
          <c:yVal>
            <c:numRef>
              <c:f>'Q_fit (2)'!$E$21:$E$72</c:f>
              <c:numCache>
                <c:formatCode>General</c:formatCode>
                <c:ptCount val="52"/>
                <c:pt idx="0">
                  <c:v>0.11011500027962029</c:v>
                </c:pt>
                <c:pt idx="1">
                  <c:v>-0.15173249994404614</c:v>
                </c:pt>
                <c:pt idx="2">
                  <c:v>2.6865000108955428E-2</c:v>
                </c:pt>
                <c:pt idx="3">
                  <c:v>-3.0364999838639051E-2</c:v>
                </c:pt>
                <c:pt idx="4">
                  <c:v>-0.22286000021267682</c:v>
                </c:pt>
                <c:pt idx="5">
                  <c:v>-1.2365000293357298E-2</c:v>
                </c:pt>
                <c:pt idx="6">
                  <c:v>0.12349250027909875</c:v>
                </c:pt>
                <c:pt idx="7">
                  <c:v>-6.472000022768043E-2</c:v>
                </c:pt>
                <c:pt idx="8">
                  <c:v>4.1137500375043601E-2</c:v>
                </c:pt>
                <c:pt idx="9">
                  <c:v>5.1137500122422352E-2</c:v>
                </c:pt>
                <c:pt idx="10">
                  <c:v>-3.4859999868785962E-2</c:v>
                </c:pt>
                <c:pt idx="11">
                  <c:v>1.7910000315168872E-2</c:v>
                </c:pt>
                <c:pt idx="12">
                  <c:v>-3.9320000360021368E-2</c:v>
                </c:pt>
                <c:pt idx="13">
                  <c:v>8.3924998762086034E-3</c:v>
                </c:pt>
                <c:pt idx="14">
                  <c:v>9.8710000020219013E-2</c:v>
                </c:pt>
                <c:pt idx="15">
                  <c:v>0.11147999975946732</c:v>
                </c:pt>
                <c:pt idx="16">
                  <c:v>0.12179749974166043</c:v>
                </c:pt>
                <c:pt idx="17">
                  <c:v>-3.8130000029923394E-2</c:v>
                </c:pt>
                <c:pt idx="18">
                  <c:v>-0.12135750002926216</c:v>
                </c:pt>
                <c:pt idx="19">
                  <c:v>3.559500037226826E-2</c:v>
                </c:pt>
                <c:pt idx="20">
                  <c:v>0.76638000027742237</c:v>
                </c:pt>
                <c:pt idx="21">
                  <c:v>1.1663800003589131</c:v>
                </c:pt>
                <c:pt idx="22">
                  <c:v>1.4065299998037517</c:v>
                </c:pt>
                <c:pt idx="23">
                  <c:v>1.8947700002172496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1-480D-A216-C6396F80C8C9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(2)'!$U$2:$U$17</c:f>
              <c:numCache>
                <c:formatCode>General</c:formatCode>
                <c:ptCount val="16"/>
                <c:pt idx="0">
                  <c:v>-0.4</c:v>
                </c:pt>
                <c:pt idx="1">
                  <c:v>-0.3</c:v>
                </c:pt>
                <c:pt idx="2">
                  <c:v>-0.2</c:v>
                </c:pt>
                <c:pt idx="3">
                  <c:v>-0.1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  <c:pt idx="11">
                  <c:v>0.7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</c:numCache>
            </c:numRef>
          </c:xVal>
          <c:yVal>
            <c:numRef>
              <c:f>'Q_fit (2)'!$V$2:$V$17</c:f>
              <c:numCache>
                <c:formatCode>General</c:formatCode>
                <c:ptCount val="16"/>
                <c:pt idx="0">
                  <c:v>0.21244795414488674</c:v>
                </c:pt>
                <c:pt idx="1">
                  <c:v>8.2075121857385747E-2</c:v>
                </c:pt>
                <c:pt idx="2">
                  <c:v>-2.013428626505831E-3</c:v>
                </c:pt>
                <c:pt idx="3">
                  <c:v>-3.9817697306788136E-2</c:v>
                </c:pt>
                <c:pt idx="4">
                  <c:v>-3.1337684183461105E-2</c:v>
                </c:pt>
                <c:pt idx="5">
                  <c:v>2.3426610743475254E-2</c:v>
                </c:pt>
                <c:pt idx="6">
                  <c:v>0.12447518747402095</c:v>
                </c:pt>
                <c:pt idx="7">
                  <c:v>0.27180804600817587</c:v>
                </c:pt>
                <c:pt idx="8">
                  <c:v>0.46542518634594032</c:v>
                </c:pt>
                <c:pt idx="9">
                  <c:v>0.70532660848731388</c:v>
                </c:pt>
                <c:pt idx="10">
                  <c:v>0.99151231243229676</c:v>
                </c:pt>
                <c:pt idx="11">
                  <c:v>1.3239822981808889</c:v>
                </c:pt>
                <c:pt idx="12">
                  <c:v>1.7027365657330908</c:v>
                </c:pt>
                <c:pt idx="13">
                  <c:v>2.1277751150889017</c:v>
                </c:pt>
                <c:pt idx="14">
                  <c:v>2.5990979462483219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1-480D-A216-C6396F80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97048"/>
        <c:axId val="1"/>
      </c:scatterChart>
      <c:valAx>
        <c:axId val="76189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97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413407821229051"/>
          <c:y val="0.9316047640271381"/>
          <c:w val="0.5851955307262569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51894250737568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9890258523321"/>
          <c:y val="0.13595186218352026"/>
          <c:w val="0.81391890684015311"/>
          <c:h val="0.6132939560723247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(3)'!$I$21:$I$108</c:f>
              <c:numCache>
                <c:formatCode>General</c:formatCode>
                <c:ptCount val="8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A-45D9-A306-CD61882032D9}"/>
            </c:ext>
          </c:extLst>
        </c:ser>
        <c:ser>
          <c:idx val="3"/>
          <c:order val="1"/>
          <c:tx>
            <c:strRef>
              <c:f>'A (3)'!$J$20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(3)'!$D$20:$D$26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(3)'!$J$21:$J$108</c:f>
              <c:numCache>
                <c:formatCode>General</c:formatCode>
                <c:ptCount val="88"/>
                <c:pt idx="21">
                  <c:v>7.6638000027742237E-3</c:v>
                </c:pt>
                <c:pt idx="22">
                  <c:v>1.1663800003589131E-2</c:v>
                </c:pt>
                <c:pt idx="24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A-45D9-A306-CD61882032D9}"/>
            </c:ext>
          </c:extLst>
        </c:ser>
        <c:ser>
          <c:idx val="4"/>
          <c:order val="2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(3)'!$K$21:$K$108</c:f>
              <c:numCache>
                <c:formatCode>General</c:formatCode>
                <c:ptCount val="88"/>
                <c:pt idx="35">
                  <c:v>3.0897649994585663E-2</c:v>
                </c:pt>
                <c:pt idx="43">
                  <c:v>4.1135049992590211E-2</c:v>
                </c:pt>
                <c:pt idx="44">
                  <c:v>4.5000199999776669E-2</c:v>
                </c:pt>
                <c:pt idx="45">
                  <c:v>4.3778300001577009E-2</c:v>
                </c:pt>
                <c:pt idx="49">
                  <c:v>5.3336399992986117E-2</c:v>
                </c:pt>
                <c:pt idx="50">
                  <c:v>5.2367999996931758E-2</c:v>
                </c:pt>
                <c:pt idx="51">
                  <c:v>5.4728299997805152E-2</c:v>
                </c:pt>
                <c:pt idx="52">
                  <c:v>5.1520199995138682E-2</c:v>
                </c:pt>
                <c:pt idx="54">
                  <c:v>6.0982150003837887E-2</c:v>
                </c:pt>
                <c:pt idx="57">
                  <c:v>6.9993650002288632E-2</c:v>
                </c:pt>
                <c:pt idx="59">
                  <c:v>7.3814249997667503E-2</c:v>
                </c:pt>
                <c:pt idx="64">
                  <c:v>7.3532249996787868E-2</c:v>
                </c:pt>
                <c:pt idx="65">
                  <c:v>7.3459649996948428E-2</c:v>
                </c:pt>
                <c:pt idx="66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A-45D9-A306-CD61882032D9}"/>
            </c:ext>
          </c:extLst>
        </c:ser>
        <c:ser>
          <c:idx val="2"/>
          <c:order val="3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plus>
            <c:minus>
              <c:numRef>
                <c:f>'A (3)'!$D$21:$D$200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(3)'!$L$21:$L$108</c:f>
              <c:numCache>
                <c:formatCode>General</c:formatCode>
                <c:ptCount val="88"/>
                <c:pt idx="23">
                  <c:v>1.4065299998037517E-2</c:v>
                </c:pt>
                <c:pt idx="25">
                  <c:v>1.8947700002172496E-2</c:v>
                </c:pt>
                <c:pt idx="26">
                  <c:v>2.3045149995596148E-2</c:v>
                </c:pt>
                <c:pt idx="27">
                  <c:v>2.2308300001895986E-2</c:v>
                </c:pt>
                <c:pt idx="30">
                  <c:v>2.2070049999456387E-2</c:v>
                </c:pt>
                <c:pt idx="32">
                  <c:v>2.5735961840837263E-2</c:v>
                </c:pt>
                <c:pt idx="34">
                  <c:v>3.2860175000678282E-2</c:v>
                </c:pt>
                <c:pt idx="38">
                  <c:v>3.7376154534285888E-2</c:v>
                </c:pt>
                <c:pt idx="41">
                  <c:v>3.8620999999693595E-2</c:v>
                </c:pt>
                <c:pt idx="42">
                  <c:v>3.8720999997167382E-2</c:v>
                </c:pt>
                <c:pt idx="46">
                  <c:v>4.8062699999718461E-2</c:v>
                </c:pt>
                <c:pt idx="48">
                  <c:v>5.2903699994203635E-2</c:v>
                </c:pt>
                <c:pt idx="55">
                  <c:v>6.6711099992971867E-2</c:v>
                </c:pt>
                <c:pt idx="80">
                  <c:v>8.5387749997607898E-2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A-45D9-A306-CD61882032D9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A-45D9-A306-CD61882032D9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(3)'!$N$21:$N$108</c:f>
              <c:numCache>
                <c:formatCode>General</c:formatCode>
                <c:ptCount val="8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28">
                  <c:v>2.2391400001652073E-2</c:v>
                </c:pt>
                <c:pt idx="29">
                  <c:v>2.2730025004420895E-2</c:v>
                </c:pt>
                <c:pt idx="31">
                  <c:v>1.9770549995882902E-2</c:v>
                </c:pt>
                <c:pt idx="33">
                  <c:v>2.8219299994816538E-2</c:v>
                </c:pt>
                <c:pt idx="36">
                  <c:v>3.3827300001576077E-2</c:v>
                </c:pt>
                <c:pt idx="37">
                  <c:v>3.4110949993191753E-2</c:v>
                </c:pt>
                <c:pt idx="39">
                  <c:v>3.7659299996448681E-2</c:v>
                </c:pt>
                <c:pt idx="40">
                  <c:v>4.018809999251971E-2</c:v>
                </c:pt>
                <c:pt idx="47">
                  <c:v>5.1138900002115406E-2</c:v>
                </c:pt>
                <c:pt idx="53">
                  <c:v>5.9890349992201664E-2</c:v>
                </c:pt>
                <c:pt idx="56">
                  <c:v>6.8673950001539197E-2</c:v>
                </c:pt>
                <c:pt idx="58">
                  <c:v>7.0951899993815459E-2</c:v>
                </c:pt>
                <c:pt idx="60">
                  <c:v>7.0517050000489689E-2</c:v>
                </c:pt>
                <c:pt idx="61">
                  <c:v>7.0871849995455705E-2</c:v>
                </c:pt>
                <c:pt idx="62">
                  <c:v>7.1538299998792354E-2</c:v>
                </c:pt>
                <c:pt idx="63">
                  <c:v>7.1431500000471715E-2</c:v>
                </c:pt>
                <c:pt idx="67">
                  <c:v>7.3755600002186839E-2</c:v>
                </c:pt>
                <c:pt idx="68">
                  <c:v>7.3855599999660626E-2</c:v>
                </c:pt>
                <c:pt idx="69">
                  <c:v>7.4255600004107691E-2</c:v>
                </c:pt>
                <c:pt idx="70">
                  <c:v>7.5029099993116688E-2</c:v>
                </c:pt>
                <c:pt idx="71">
                  <c:v>7.4734599998919293E-2</c:v>
                </c:pt>
                <c:pt idx="72">
                  <c:v>7.4888749993988313E-2</c:v>
                </c:pt>
                <c:pt idx="73">
                  <c:v>7.6237300003413111E-2</c:v>
                </c:pt>
                <c:pt idx="74">
                  <c:v>7.7537299999676179E-2</c:v>
                </c:pt>
                <c:pt idx="75">
                  <c:v>7.8137299999070819E-2</c:v>
                </c:pt>
                <c:pt idx="76">
                  <c:v>8.1055999995442107E-2</c:v>
                </c:pt>
                <c:pt idx="77">
                  <c:v>8.4455349999188911E-2</c:v>
                </c:pt>
                <c:pt idx="78">
                  <c:v>8.0549199992674403E-2</c:v>
                </c:pt>
                <c:pt idx="79">
                  <c:v>8.1428799996501766E-2</c:v>
                </c:pt>
                <c:pt idx="81">
                  <c:v>8.6412449993076734E-2</c:v>
                </c:pt>
                <c:pt idx="82">
                  <c:v>8.7807049996627029E-2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A-45D9-A306-CD61882032D9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(3)'!$O$21:$O$108</c:f>
              <c:numCache>
                <c:formatCode>General</c:formatCode>
                <c:ptCount val="88"/>
                <c:pt idx="3">
                  <c:v>-0.10298168682607067</c:v>
                </c:pt>
                <c:pt idx="4">
                  <c:v>-0.10296203467366191</c:v>
                </c:pt>
                <c:pt idx="5">
                  <c:v>-9.5956042339943273E-2</c:v>
                </c:pt>
                <c:pt idx="31">
                  <c:v>2.319458818103054E-3</c:v>
                </c:pt>
                <c:pt idx="33">
                  <c:v>3.1792404859857792E-3</c:v>
                </c:pt>
                <c:pt idx="39">
                  <c:v>2.4796608135608522E-2</c:v>
                </c:pt>
                <c:pt idx="40">
                  <c:v>2.5032433964513504E-2</c:v>
                </c:pt>
                <c:pt idx="41">
                  <c:v>2.5199477259987849E-2</c:v>
                </c:pt>
                <c:pt idx="42">
                  <c:v>2.5199477259987849E-2</c:v>
                </c:pt>
                <c:pt idx="43">
                  <c:v>3.2632903908596758E-2</c:v>
                </c:pt>
                <c:pt idx="44">
                  <c:v>3.3217555442757021E-2</c:v>
                </c:pt>
                <c:pt idx="45">
                  <c:v>3.3345294433413872E-2</c:v>
                </c:pt>
                <c:pt idx="46">
                  <c:v>3.9358853070490765E-2</c:v>
                </c:pt>
                <c:pt idx="47">
                  <c:v>4.1579546292679279E-2</c:v>
                </c:pt>
                <c:pt idx="48">
                  <c:v>4.6531888699683763E-2</c:v>
                </c:pt>
                <c:pt idx="49">
                  <c:v>4.7229540110194299E-2</c:v>
                </c:pt>
                <c:pt idx="50">
                  <c:v>4.7897713292091734E-2</c:v>
                </c:pt>
                <c:pt idx="51">
                  <c:v>4.808440873997484E-2</c:v>
                </c:pt>
                <c:pt idx="52">
                  <c:v>4.8939277369755382E-2</c:v>
                </c:pt>
                <c:pt idx="53">
                  <c:v>5.5910878436758724E-2</c:v>
                </c:pt>
                <c:pt idx="54">
                  <c:v>5.6048443503619941E-2</c:v>
                </c:pt>
                <c:pt idx="55">
                  <c:v>6.2273262779090857E-2</c:v>
                </c:pt>
                <c:pt idx="56">
                  <c:v>6.6012084774855165E-2</c:v>
                </c:pt>
                <c:pt idx="57">
                  <c:v>6.9755819808721656E-2</c:v>
                </c:pt>
                <c:pt idx="58">
                  <c:v>6.9976906523320073E-2</c:v>
                </c:pt>
                <c:pt idx="59">
                  <c:v>7.0129210704487868E-2</c:v>
                </c:pt>
                <c:pt idx="60">
                  <c:v>7.0561558057480309E-2</c:v>
                </c:pt>
                <c:pt idx="61">
                  <c:v>7.0600862362297803E-2</c:v>
                </c:pt>
                <c:pt idx="62">
                  <c:v>7.0684384010035003E-2</c:v>
                </c:pt>
                <c:pt idx="63">
                  <c:v>7.1038122753392455E-2</c:v>
                </c:pt>
                <c:pt idx="64">
                  <c:v>7.1504861373100206E-2</c:v>
                </c:pt>
                <c:pt idx="65">
                  <c:v>7.1524513525508968E-2</c:v>
                </c:pt>
                <c:pt idx="66">
                  <c:v>7.1858600116457685E-2</c:v>
                </c:pt>
                <c:pt idx="67">
                  <c:v>7.2934555460836645E-2</c:v>
                </c:pt>
                <c:pt idx="68">
                  <c:v>7.2934555460836645E-2</c:v>
                </c:pt>
                <c:pt idx="69">
                  <c:v>7.2934555460836645E-2</c:v>
                </c:pt>
                <c:pt idx="70">
                  <c:v>7.3474989652077202E-2</c:v>
                </c:pt>
                <c:pt idx="71">
                  <c:v>7.3622380795142814E-2</c:v>
                </c:pt>
                <c:pt idx="72">
                  <c:v>7.3912250043171854E-2</c:v>
                </c:pt>
                <c:pt idx="73">
                  <c:v>7.9233070307840339E-2</c:v>
                </c:pt>
                <c:pt idx="74">
                  <c:v>7.9233070307840339E-2</c:v>
                </c:pt>
                <c:pt idx="75">
                  <c:v>7.9233070307840339E-2</c:v>
                </c:pt>
                <c:pt idx="76">
                  <c:v>7.973420019426343E-2</c:v>
                </c:pt>
                <c:pt idx="77">
                  <c:v>7.9984765137474947E-2</c:v>
                </c:pt>
                <c:pt idx="78">
                  <c:v>8.0087938937620881E-2</c:v>
                </c:pt>
                <c:pt idx="79">
                  <c:v>8.114915516769329E-2</c:v>
                </c:pt>
                <c:pt idx="80">
                  <c:v>8.6391366822726787E-2</c:v>
                </c:pt>
                <c:pt idx="81">
                  <c:v>8.6695975185062377E-2</c:v>
                </c:pt>
                <c:pt idx="82">
                  <c:v>8.726588760491609E-2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A-45D9-A306-CD61882032D9}"/>
            </c:ext>
          </c:extLst>
        </c:ser>
        <c:ser>
          <c:idx val="8"/>
          <c:order val="7"/>
          <c:tx>
            <c:strRef>
              <c:f>'A (3)'!$Y$1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(3)'!$Y$2:$Y$26</c:f>
              <c:numCache>
                <c:formatCode>0.00E+00</c:formatCode>
                <c:ptCount val="25"/>
                <c:pt idx="0">
                  <c:v>1.1716619220145962E-3</c:v>
                </c:pt>
                <c:pt idx="1">
                  <c:v>2.7527568390389441E-4</c:v>
                </c:pt>
                <c:pt idx="2">
                  <c:v>-1.5096589182515661E-4</c:v>
                </c:pt>
                <c:pt idx="3">
                  <c:v>-1.0706280517255703E-4</c:v>
                </c:pt>
                <c:pt idx="4">
                  <c:v>4.0698494386169306E-4</c:v>
                </c:pt>
                <c:pt idx="5">
                  <c:v>1.3911773552775938E-3</c:v>
                </c:pt>
                <c:pt idx="6">
                  <c:v>2.8455144290751451E-3</c:v>
                </c:pt>
                <c:pt idx="7">
                  <c:v>4.769996165254347E-3</c:v>
                </c:pt>
                <c:pt idx="8">
                  <c:v>7.1646225638151984E-3</c:v>
                </c:pt>
                <c:pt idx="9">
                  <c:v>1.0029393624757701E-2</c:v>
                </c:pt>
                <c:pt idx="10">
                  <c:v>1.3364309348081855E-2</c:v>
                </c:pt>
                <c:pt idx="11">
                  <c:v>1.7169369733787659E-2</c:v>
                </c:pt>
                <c:pt idx="12">
                  <c:v>2.1444574781875114E-2</c:v>
                </c:pt>
                <c:pt idx="13">
                  <c:v>2.6189924492344217E-2</c:v>
                </c:pt>
                <c:pt idx="14">
                  <c:v>3.1405418865194976E-2</c:v>
                </c:pt>
                <c:pt idx="15">
                  <c:v>3.7091057900427382E-2</c:v>
                </c:pt>
                <c:pt idx="16">
                  <c:v>4.3246841598041437E-2</c:v>
                </c:pt>
                <c:pt idx="17">
                  <c:v>4.987276995803714E-2</c:v>
                </c:pt>
                <c:pt idx="18">
                  <c:v>5.6968842980414505E-2</c:v>
                </c:pt>
                <c:pt idx="19">
                  <c:v>6.4535060665173505E-2</c:v>
                </c:pt>
                <c:pt idx="20">
                  <c:v>7.2571423012314173E-2</c:v>
                </c:pt>
                <c:pt idx="21">
                  <c:v>8.1077930021836483E-2</c:v>
                </c:pt>
                <c:pt idx="22">
                  <c:v>9.0054581693740435E-2</c:v>
                </c:pt>
                <c:pt idx="23">
                  <c:v>9.9501378028026055E-2</c:v>
                </c:pt>
                <c:pt idx="24">
                  <c:v>0.1094183190246933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A-45D9-A306-CD618820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76464"/>
        <c:axId val="1"/>
      </c:scatterChart>
      <c:valAx>
        <c:axId val="55857646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178565046993939"/>
              <c:y val="0.82779583065711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28593040847202E-2"/>
              <c:y val="0.30211512080627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7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8246671510993"/>
          <c:y val="0.90936682763597143"/>
          <c:w val="0.7609688652761067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Quadr. Fit</a:t>
            </a:r>
          </a:p>
        </c:rich>
      </c:tx>
      <c:layout>
        <c:manualLayout>
          <c:xMode val="edge"/>
          <c:yMode val="edge"/>
          <c:x val="0.2885196374622356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075528700906"/>
          <c:y val="0.13554216867469879"/>
          <c:w val="0.8595166163141994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(3)'!$U$20</c:f>
              <c:strCache>
                <c:ptCount val="1"/>
                <c:pt idx="0">
                  <c:v>Diff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(3)'!$U$21:$U$108</c:f>
              <c:numCache>
                <c:formatCode>0.00E+00</c:formatCode>
                <c:ptCount val="88"/>
                <c:pt idx="1">
                  <c:v>6.3411817910066564E-4</c:v>
                </c:pt>
                <c:pt idx="2">
                  <c:v>-1.5075184535672829E-3</c:v>
                </c:pt>
                <c:pt idx="3">
                  <c:v>1.8908553750131417E-3</c:v>
                </c:pt>
                <c:pt idx="4">
                  <c:v>3.1836879242929506E-4</c:v>
                </c:pt>
                <c:pt idx="5">
                  <c:v>-8.9293719866914863E-4</c:v>
                </c:pt>
                <c:pt idx="6">
                  <c:v>-4.2637321588177263E-5</c:v>
                </c:pt>
                <c:pt idx="7">
                  <c:v>1.3062967113377808E-3</c:v>
                </c:pt>
                <c:pt idx="8">
                  <c:v>-8.904851957633838E-4</c:v>
                </c:pt>
                <c:pt idx="9">
                  <c:v>1.4905934334049904E-4</c:v>
                </c:pt>
                <c:pt idx="10">
                  <c:v>2.4905934081428656E-4</c:v>
                </c:pt>
                <c:pt idx="11">
                  <c:v>-6.1516381975217061E-4</c:v>
                </c:pt>
                <c:pt idx="12">
                  <c:v>-8.8774940497444532E-5</c:v>
                </c:pt>
                <c:pt idx="13">
                  <c:v>-6.6238795041281872E-4</c:v>
                </c:pt>
                <c:pt idx="14">
                  <c:v>-2.2040188179927298E-4</c:v>
                </c:pt>
                <c:pt idx="15">
                  <c:v>6.6523807866755496E-4</c:v>
                </c:pt>
                <c:pt idx="16">
                  <c:v>7.9154984975058512E-4</c:v>
                </c:pt>
                <c:pt idx="17">
                  <c:v>8.7686011965474491E-4</c:v>
                </c:pt>
                <c:pt idx="18">
                  <c:v>-1.2196456225376639E-3</c:v>
                </c:pt>
                <c:pt idx="19">
                  <c:v>-2.0602952495447548E-3</c:v>
                </c:pt>
                <c:pt idx="20">
                  <c:v>-5.6767044648634783E-4</c:v>
                </c:pt>
                <c:pt idx="21">
                  <c:v>-1.2332860924357814E-3</c:v>
                </c:pt>
                <c:pt idx="22">
                  <c:v>2.7667139083791259E-3</c:v>
                </c:pt>
                <c:pt idx="23">
                  <c:v>-7.3752166189757981E-5</c:v>
                </c:pt>
                <c:pt idx="24">
                  <c:v>5.4973002564856488E-4</c:v>
                </c:pt>
                <c:pt idx="25">
                  <c:v>-8.9495918697244867E-4</c:v>
                </c:pt>
                <c:pt idx="26">
                  <c:v>8.0407758220461811E-4</c:v>
                </c:pt>
                <c:pt idx="27">
                  <c:v>-2.0115773815811144E-5</c:v>
                </c:pt>
                <c:pt idx="28">
                  <c:v>3.5366850673672345E-5</c:v>
                </c:pt>
                <c:pt idx="29">
                  <c:v>1.7788423579470983E-4</c:v>
                </c:pt>
                <c:pt idx="30">
                  <c:v>-5.1215856946518201E-4</c:v>
                </c:pt>
                <c:pt idx="31">
                  <c:v>-6.4268456584365523E-3</c:v>
                </c:pt>
                <c:pt idx="32">
                  <c:v>-6.0358687785482673E-4</c:v>
                </c:pt>
                <c:pt idx="33">
                  <c:v>1.5842559328292233E-3</c:v>
                </c:pt>
                <c:pt idx="34">
                  <c:v>3.1669153645318068E-3</c:v>
                </c:pt>
                <c:pt idx="35">
                  <c:v>6.5591143628306384E-4</c:v>
                </c:pt>
                <c:pt idx="36">
                  <c:v>2.8076863727465248E-3</c:v>
                </c:pt>
                <c:pt idx="37">
                  <c:v>-4.1573584898701998E-5</c:v>
                </c:pt>
                <c:pt idx="38">
                  <c:v>-9.3852811097654837E-4</c:v>
                </c:pt>
                <c:pt idx="39">
                  <c:v>-1.1624769650483979E-3</c:v>
                </c:pt>
                <c:pt idx="40">
                  <c:v>1.2208296331874258E-3</c:v>
                </c:pt>
                <c:pt idx="41">
                  <c:v>-4.4949202852013342E-4</c:v>
                </c:pt>
                <c:pt idx="42">
                  <c:v>-3.4949203104634591E-4</c:v>
                </c:pt>
                <c:pt idx="43">
                  <c:v>-2.666359521892897E-3</c:v>
                </c:pt>
                <c:pt idx="44">
                  <c:v>8.1528261971805516E-4</c:v>
                </c:pt>
                <c:pt idx="45">
                  <c:v>-4.9063056864923765E-4</c:v>
                </c:pt>
                <c:pt idx="46">
                  <c:v>-2.512282281569439E-4</c:v>
                </c:pt>
                <c:pt idx="47">
                  <c:v>1.2867109305008395E-3</c:v>
                </c:pt>
                <c:pt idx="48">
                  <c:v>-4.6543470031919221E-4</c:v>
                </c:pt>
                <c:pt idx="49">
                  <c:v>-5.3777426601805955E-4</c:v>
                </c:pt>
                <c:pt idx="50">
                  <c:v>-1.9920960303205226E-3</c:v>
                </c:pt>
                <c:pt idx="51">
                  <c:v>2.320431372142065E-4</c:v>
                </c:pt>
                <c:pt idx="52">
                  <c:v>-3.6016979919886033E-3</c:v>
                </c:pt>
                <c:pt idx="53">
                  <c:v>-4.6660256280670054E-4</c:v>
                </c:pt>
                <c:pt idx="54">
                  <c:v>5.1951722719064536E-4</c:v>
                </c:pt>
                <c:pt idx="55">
                  <c:v>1.3700125737939189E-3</c:v>
                </c:pt>
                <c:pt idx="56">
                  <c:v>3.1201222587871891E-4</c:v>
                </c:pt>
                <c:pt idx="57">
                  <c:v>-1.4613095978803642E-3</c:v>
                </c:pt>
                <c:pt idx="58">
                  <c:v>-6.8785253844422245E-4</c:v>
                </c:pt>
                <c:pt idx="59">
                  <c:v>2.0470572101422696E-3</c:v>
                </c:pt>
                <c:pt idx="60">
                  <c:v>-1.6125240923137024E-3</c:v>
                </c:pt>
                <c:pt idx="61">
                  <c:v>-1.2907129862605587E-3</c:v>
                </c:pt>
                <c:pt idx="62">
                  <c:v>-6.9438934829896271E-4</c:v>
                </c:pt>
                <c:pt idx="63">
                  <c:v>-1.0985717152590668E-3</c:v>
                </c:pt>
                <c:pt idx="64">
                  <c:v>6.0886641124639762E-4</c:v>
                </c:pt>
                <c:pt idx="65">
                  <c:v>5.1968263946466919E-4</c:v>
                </c:pt>
                <c:pt idx="66">
                  <c:v>4.2032707902460581E-3</c:v>
                </c:pt>
                <c:pt idx="67">
                  <c:v>-3.7916112612725039E-4</c:v>
                </c:pt>
                <c:pt idx="68">
                  <c:v>-2.7916112865346288E-4</c:v>
                </c:pt>
                <c:pt idx="69">
                  <c:v>1.2083887579360242E-4</c:v>
                </c:pt>
                <c:pt idx="70">
                  <c:v>4.3383756788348271E-4</c:v>
                </c:pt>
                <c:pt idx="71">
                  <c:v>1.3499484942211537E-5</c:v>
                </c:pt>
                <c:pt idx="72">
                  <c:v>-8.0140685721152849E-5</c:v>
                </c:pt>
                <c:pt idx="73">
                  <c:v>-3.3526937011977842E-3</c:v>
                </c:pt>
                <c:pt idx="74">
                  <c:v>-2.052693704934716E-3</c:v>
                </c:pt>
                <c:pt idx="75">
                  <c:v>-1.4526937055400757E-3</c:v>
                </c:pt>
                <c:pt idx="76">
                  <c:v>1.0236744529220632E-3</c:v>
                </c:pt>
                <c:pt idx="77">
                  <c:v>4.2013999703642141E-3</c:v>
                </c:pt>
                <c:pt idx="78">
                  <c:v>2.0390396508894459E-4</c:v>
                </c:pt>
                <c:pt idx="79">
                  <c:v>1.4093666882541989E-4</c:v>
                </c:pt>
                <c:pt idx="80">
                  <c:v>-6.3667245641232939E-4</c:v>
                </c:pt>
                <c:pt idx="81">
                  <c:v>1.086873998565191E-4</c:v>
                </c:pt>
                <c:pt idx="82">
                  <c:v>9.7943757056224989E-4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F-4D3A-92FE-6ABD4603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09952"/>
        <c:axId val="1"/>
      </c:scatterChart>
      <c:valAx>
        <c:axId val="76320995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271903323262843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05740181268883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0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489425981873113"/>
          <c:y val="0.90963855421686746"/>
          <c:w val="5.2870090634441036E-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51894250737568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9890258523321"/>
          <c:y val="0.13554216867469879"/>
          <c:w val="0.81391890684015311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(4)'!$I$21:$I$108</c:f>
              <c:numCache>
                <c:formatCode>General</c:formatCode>
                <c:ptCount val="8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BB-4091-ACC3-B44523BB284C}"/>
            </c:ext>
          </c:extLst>
        </c:ser>
        <c:ser>
          <c:idx val="3"/>
          <c:order val="1"/>
          <c:tx>
            <c:strRef>
              <c:f>'A (4)'!$J$20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(4)'!$D$20:$D$26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(4)'!$J$21:$J$108</c:f>
              <c:numCache>
                <c:formatCode>General</c:formatCode>
                <c:ptCount val="88"/>
                <c:pt idx="21">
                  <c:v>7.6638000027742237E-3</c:v>
                </c:pt>
                <c:pt idx="22">
                  <c:v>1.1663800003589131E-2</c:v>
                </c:pt>
                <c:pt idx="24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BB-4091-ACC3-B44523BB284C}"/>
            </c:ext>
          </c:extLst>
        </c:ser>
        <c:ser>
          <c:idx val="4"/>
          <c:order val="2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(4)'!$K$21:$K$108</c:f>
              <c:numCache>
                <c:formatCode>General</c:formatCode>
                <c:ptCount val="88"/>
                <c:pt idx="35">
                  <c:v>3.0897649994585663E-2</c:v>
                </c:pt>
                <c:pt idx="43">
                  <c:v>4.1135049992590211E-2</c:v>
                </c:pt>
                <c:pt idx="44">
                  <c:v>4.5000199999776669E-2</c:v>
                </c:pt>
                <c:pt idx="45">
                  <c:v>4.3778300001577009E-2</c:v>
                </c:pt>
                <c:pt idx="49">
                  <c:v>5.3336399992986117E-2</c:v>
                </c:pt>
                <c:pt idx="50">
                  <c:v>5.2367999996931758E-2</c:v>
                </c:pt>
                <c:pt idx="51">
                  <c:v>5.4728299997805152E-2</c:v>
                </c:pt>
                <c:pt idx="52">
                  <c:v>5.1520199995138682E-2</c:v>
                </c:pt>
                <c:pt idx="54">
                  <c:v>6.0982150003837887E-2</c:v>
                </c:pt>
                <c:pt idx="57">
                  <c:v>6.9993650002288632E-2</c:v>
                </c:pt>
                <c:pt idx="59">
                  <c:v>7.3814249997667503E-2</c:v>
                </c:pt>
                <c:pt idx="64">
                  <c:v>7.3532249996787868E-2</c:v>
                </c:pt>
                <c:pt idx="65">
                  <c:v>7.3459649996948428E-2</c:v>
                </c:pt>
                <c:pt idx="66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BB-4091-ACC3-B44523BB284C}"/>
            </c:ext>
          </c:extLst>
        </c:ser>
        <c:ser>
          <c:idx val="2"/>
          <c:order val="3"/>
          <c:tx>
            <c:strRef>
              <c:f>'A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plus>
            <c:minus>
              <c:numRef>
                <c:f>'A (4)'!$D$21:$D$200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(4)'!$L$21:$L$108</c:f>
              <c:numCache>
                <c:formatCode>General</c:formatCode>
                <c:ptCount val="88"/>
                <c:pt idx="23">
                  <c:v>1.4065299998037517E-2</c:v>
                </c:pt>
                <c:pt idx="25">
                  <c:v>1.8947700002172496E-2</c:v>
                </c:pt>
                <c:pt idx="26">
                  <c:v>2.3045149995596148E-2</c:v>
                </c:pt>
                <c:pt idx="27">
                  <c:v>2.2308300001895986E-2</c:v>
                </c:pt>
                <c:pt idx="30">
                  <c:v>2.2070049999456387E-2</c:v>
                </c:pt>
                <c:pt idx="32">
                  <c:v>2.5735961840837263E-2</c:v>
                </c:pt>
                <c:pt idx="34">
                  <c:v>3.2860175000678282E-2</c:v>
                </c:pt>
                <c:pt idx="38">
                  <c:v>3.7376154534285888E-2</c:v>
                </c:pt>
                <c:pt idx="41">
                  <c:v>3.8620999999693595E-2</c:v>
                </c:pt>
                <c:pt idx="42">
                  <c:v>3.8720999997167382E-2</c:v>
                </c:pt>
                <c:pt idx="46">
                  <c:v>4.8062699999718461E-2</c:v>
                </c:pt>
                <c:pt idx="48">
                  <c:v>5.2903699994203635E-2</c:v>
                </c:pt>
                <c:pt idx="55">
                  <c:v>6.6711099992971867E-2</c:v>
                </c:pt>
                <c:pt idx="80">
                  <c:v>8.5387749997607898E-2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BB-4091-ACC3-B44523BB284C}"/>
            </c:ext>
          </c:extLst>
        </c:ser>
        <c:ser>
          <c:idx val="5"/>
          <c:order val="4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BB-4091-ACC3-B44523BB284C}"/>
            </c:ext>
          </c:extLst>
        </c:ser>
        <c:ser>
          <c:idx val="6"/>
          <c:order val="5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(4)'!$N$21:$N$108</c:f>
              <c:numCache>
                <c:formatCode>General</c:formatCode>
                <c:ptCount val="8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28">
                  <c:v>2.2391400001652073E-2</c:v>
                </c:pt>
                <c:pt idx="29">
                  <c:v>2.2730025004420895E-2</c:v>
                </c:pt>
                <c:pt idx="31">
                  <c:v>1.9770549995882902E-2</c:v>
                </c:pt>
                <c:pt idx="33">
                  <c:v>2.8219299994816538E-2</c:v>
                </c:pt>
                <c:pt idx="36">
                  <c:v>3.3827300001576077E-2</c:v>
                </c:pt>
                <c:pt idx="37">
                  <c:v>3.4110949993191753E-2</c:v>
                </c:pt>
                <c:pt idx="39">
                  <c:v>3.7659299996448681E-2</c:v>
                </c:pt>
                <c:pt idx="40">
                  <c:v>4.018809999251971E-2</c:v>
                </c:pt>
                <c:pt idx="47">
                  <c:v>5.1138900002115406E-2</c:v>
                </c:pt>
                <c:pt idx="53">
                  <c:v>5.9890349992201664E-2</c:v>
                </c:pt>
                <c:pt idx="56">
                  <c:v>6.8673950001539197E-2</c:v>
                </c:pt>
                <c:pt idx="58">
                  <c:v>7.0951899993815459E-2</c:v>
                </c:pt>
                <c:pt idx="60">
                  <c:v>7.0517050000489689E-2</c:v>
                </c:pt>
                <c:pt idx="61">
                  <c:v>7.0871849995455705E-2</c:v>
                </c:pt>
                <c:pt idx="62">
                  <c:v>7.1538299998792354E-2</c:v>
                </c:pt>
                <c:pt idx="63">
                  <c:v>7.1431500000471715E-2</c:v>
                </c:pt>
                <c:pt idx="67">
                  <c:v>7.3755600002186839E-2</c:v>
                </c:pt>
                <c:pt idx="68">
                  <c:v>7.3855599999660626E-2</c:v>
                </c:pt>
                <c:pt idx="69">
                  <c:v>7.4255600004107691E-2</c:v>
                </c:pt>
                <c:pt idx="70">
                  <c:v>7.5029099993116688E-2</c:v>
                </c:pt>
                <c:pt idx="71">
                  <c:v>7.4734599998919293E-2</c:v>
                </c:pt>
                <c:pt idx="72">
                  <c:v>7.4888749993988313E-2</c:v>
                </c:pt>
                <c:pt idx="73">
                  <c:v>7.6237300003413111E-2</c:v>
                </c:pt>
                <c:pt idx="74">
                  <c:v>7.7537299999676179E-2</c:v>
                </c:pt>
                <c:pt idx="75">
                  <c:v>7.8137299999070819E-2</c:v>
                </c:pt>
                <c:pt idx="76">
                  <c:v>8.1055999995442107E-2</c:v>
                </c:pt>
                <c:pt idx="77">
                  <c:v>8.4455349999188911E-2</c:v>
                </c:pt>
                <c:pt idx="78">
                  <c:v>8.0549199992674403E-2</c:v>
                </c:pt>
                <c:pt idx="79">
                  <c:v>8.1428799996501766E-2</c:v>
                </c:pt>
                <c:pt idx="81">
                  <c:v>8.6412449993076734E-2</c:v>
                </c:pt>
                <c:pt idx="82">
                  <c:v>8.7807049996627029E-2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BB-4091-ACC3-B44523BB284C}"/>
            </c:ext>
          </c:extLst>
        </c:ser>
        <c:ser>
          <c:idx val="7"/>
          <c:order val="6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(4)'!$O$21:$O$108</c:f>
              <c:numCache>
                <c:formatCode>General</c:formatCode>
                <c:ptCount val="88"/>
                <c:pt idx="3">
                  <c:v>-0.10298168682607067</c:v>
                </c:pt>
                <c:pt idx="4">
                  <c:v>-0.10296203467366191</c:v>
                </c:pt>
                <c:pt idx="5">
                  <c:v>-9.5956042339943273E-2</c:v>
                </c:pt>
                <c:pt idx="31">
                  <c:v>2.319458818103054E-3</c:v>
                </c:pt>
                <c:pt idx="33">
                  <c:v>3.1792404859857792E-3</c:v>
                </c:pt>
                <c:pt idx="39">
                  <c:v>2.4796608135608522E-2</c:v>
                </c:pt>
                <c:pt idx="40">
                  <c:v>2.5032433964513504E-2</c:v>
                </c:pt>
                <c:pt idx="41">
                  <c:v>2.5199477259987849E-2</c:v>
                </c:pt>
                <c:pt idx="42">
                  <c:v>2.5199477259987849E-2</c:v>
                </c:pt>
                <c:pt idx="43">
                  <c:v>3.2632903908596758E-2</c:v>
                </c:pt>
                <c:pt idx="44">
                  <c:v>3.3217555442757021E-2</c:v>
                </c:pt>
                <c:pt idx="45">
                  <c:v>3.3345294433413872E-2</c:v>
                </c:pt>
                <c:pt idx="46">
                  <c:v>3.9358853070490765E-2</c:v>
                </c:pt>
                <c:pt idx="47">
                  <c:v>4.1579546292679279E-2</c:v>
                </c:pt>
                <c:pt idx="48">
                  <c:v>4.6531888699683763E-2</c:v>
                </c:pt>
                <c:pt idx="49">
                  <c:v>4.7229540110194299E-2</c:v>
                </c:pt>
                <c:pt idx="50">
                  <c:v>4.7897713292091734E-2</c:v>
                </c:pt>
                <c:pt idx="51">
                  <c:v>4.808440873997484E-2</c:v>
                </c:pt>
                <c:pt idx="52">
                  <c:v>4.8939277369755382E-2</c:v>
                </c:pt>
                <c:pt idx="53">
                  <c:v>5.5910878436758724E-2</c:v>
                </c:pt>
                <c:pt idx="54">
                  <c:v>5.6048443503619941E-2</c:v>
                </c:pt>
                <c:pt idx="55">
                  <c:v>6.2273262779090857E-2</c:v>
                </c:pt>
                <c:pt idx="56">
                  <c:v>6.6012084774855165E-2</c:v>
                </c:pt>
                <c:pt idx="57">
                  <c:v>6.9755819808721656E-2</c:v>
                </c:pt>
                <c:pt idx="58">
                  <c:v>6.9976906523320073E-2</c:v>
                </c:pt>
                <c:pt idx="59">
                  <c:v>7.0129210704487868E-2</c:v>
                </c:pt>
                <c:pt idx="60">
                  <c:v>7.0561558057480309E-2</c:v>
                </c:pt>
                <c:pt idx="61">
                  <c:v>7.0600862362297803E-2</c:v>
                </c:pt>
                <c:pt idx="62">
                  <c:v>7.0684384010035003E-2</c:v>
                </c:pt>
                <c:pt idx="63">
                  <c:v>7.1038122753392455E-2</c:v>
                </c:pt>
                <c:pt idx="64">
                  <c:v>7.1504861373100206E-2</c:v>
                </c:pt>
                <c:pt idx="65">
                  <c:v>7.1524513525508968E-2</c:v>
                </c:pt>
                <c:pt idx="66">
                  <c:v>7.1858600116457685E-2</c:v>
                </c:pt>
                <c:pt idx="67">
                  <c:v>7.2934555460836645E-2</c:v>
                </c:pt>
                <c:pt idx="68">
                  <c:v>7.2934555460836645E-2</c:v>
                </c:pt>
                <c:pt idx="69">
                  <c:v>7.2934555460836645E-2</c:v>
                </c:pt>
                <c:pt idx="70">
                  <c:v>7.3474989652077202E-2</c:v>
                </c:pt>
                <c:pt idx="71">
                  <c:v>7.3622380795142814E-2</c:v>
                </c:pt>
                <c:pt idx="72">
                  <c:v>7.3912250043171854E-2</c:v>
                </c:pt>
                <c:pt idx="73">
                  <c:v>7.9233070307840339E-2</c:v>
                </c:pt>
                <c:pt idx="74">
                  <c:v>7.9233070307840339E-2</c:v>
                </c:pt>
                <c:pt idx="75">
                  <c:v>7.9233070307840339E-2</c:v>
                </c:pt>
                <c:pt idx="76">
                  <c:v>7.973420019426343E-2</c:v>
                </c:pt>
                <c:pt idx="77">
                  <c:v>7.9984765137474947E-2</c:v>
                </c:pt>
                <c:pt idx="78">
                  <c:v>8.0087938937620881E-2</c:v>
                </c:pt>
                <c:pt idx="79">
                  <c:v>8.114915516769329E-2</c:v>
                </c:pt>
                <c:pt idx="80">
                  <c:v>8.6391366822726787E-2</c:v>
                </c:pt>
                <c:pt idx="81">
                  <c:v>8.6695975185062377E-2</c:v>
                </c:pt>
                <c:pt idx="82">
                  <c:v>8.726588760491609E-2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BB-4091-ACC3-B44523BB284C}"/>
            </c:ext>
          </c:extLst>
        </c:ser>
        <c:ser>
          <c:idx val="8"/>
          <c:order val="7"/>
          <c:tx>
            <c:strRef>
              <c:f>'A (4)'!$Y$1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(4)'!$Y$2:$Y$26</c:f>
              <c:numCache>
                <c:formatCode>0.00E+00</c:formatCode>
                <c:ptCount val="25"/>
                <c:pt idx="0">
                  <c:v>1.6514416014727917E-3</c:v>
                </c:pt>
                <c:pt idx="1">
                  <c:v>5.8180100913396426E-4</c:v>
                </c:pt>
                <c:pt idx="2">
                  <c:v>7.0236456873873365E-6</c:v>
                </c:pt>
                <c:pt idx="3">
                  <c:v>-7.2326359688235087E-5</c:v>
                </c:pt>
                <c:pt idx="4">
                  <c:v>3.438288729935568E-4</c:v>
                </c:pt>
                <c:pt idx="5">
                  <c:v>1.2550808980900108E-3</c:v>
                </c:pt>
                <c:pt idx="6">
                  <c:v>2.6605353452083813E-3</c:v>
                </c:pt>
                <c:pt idx="7">
                  <c:v>4.5588127970064285E-3</c:v>
                </c:pt>
                <c:pt idx="8">
                  <c:v>6.9480501430561059E-3</c:v>
                </c:pt>
                <c:pt idx="9">
                  <c:v>9.8259024084376145E-3</c:v>
                </c:pt>
                <c:pt idx="10">
                  <c:v>1.31895450552727E-2</c:v>
                </c:pt>
                <c:pt idx="11">
                  <c:v>1.7035676754934781E-2</c:v>
                </c:pt>
                <c:pt idx="12">
                  <c:v>2.1360522628219136E-2</c:v>
                </c:pt>
                <c:pt idx="13">
                  <c:v>2.6159837950288811E-2</c:v>
                </c:pt>
                <c:pt idx="14">
                  <c:v>3.1428912316762869E-2</c:v>
                </c:pt>
                <c:pt idx="15">
                  <c:v>3.7162574266857429E-2</c:v>
                </c:pt>
                <c:pt idx="16">
                  <c:v>4.3355196359040338E-2</c:v>
                </c:pt>
                <c:pt idx="17">
                  <c:v>5.0000700694221356E-2</c:v>
                </c:pt>
                <c:pt idx="18">
                  <c:v>5.7092564881052021E-2</c:v>
                </c:pt>
                <c:pt idx="19">
                  <c:v>6.462382843748643E-2</c:v>
                </c:pt>
                <c:pt idx="20">
                  <c:v>7.2587099622313578E-2</c:v>
                </c:pt>
                <c:pt idx="21">
                  <c:v>8.0974562689962337E-2</c:v>
                </c:pt>
                <c:pt idx="22">
                  <c:v>8.9777985561453E-2</c:v>
                </c:pt>
                <c:pt idx="23">
                  <c:v>9.8988727903972507E-2</c:v>
                </c:pt>
                <c:pt idx="24">
                  <c:v>0.1085977496111365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BB-4091-ACC3-B44523BB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6792"/>
        <c:axId val="1"/>
      </c:scatterChart>
      <c:valAx>
        <c:axId val="12276679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178565046993939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28593040847202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6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85038575926874"/>
          <c:y val="0.90963855421686746"/>
          <c:w val="0.75340456875568318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Quadr. Fit</a:t>
            </a:r>
          </a:p>
        </c:rich>
      </c:tx>
      <c:layout>
        <c:manualLayout>
          <c:xMode val="edge"/>
          <c:yMode val="edge"/>
          <c:x val="0.2885196374622356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075528700906"/>
          <c:y val="0.13554216867469879"/>
          <c:w val="0.8595166163141994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(4)'!$U$20</c:f>
              <c:strCache>
                <c:ptCount val="1"/>
                <c:pt idx="0">
                  <c:v>Diff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(4)'!$U$21:$U$108</c:f>
              <c:numCache>
                <c:formatCode>0.00E+00</c:formatCode>
                <c:ptCount val="88"/>
                <c:pt idx="1">
                  <c:v>2.8405326291192079E-4</c:v>
                </c:pt>
                <c:pt idx="2">
                  <c:v>-1.731972252527969E-3</c:v>
                </c:pt>
                <c:pt idx="3">
                  <c:v>1.7705814591265634E-3</c:v>
                </c:pt>
                <c:pt idx="4">
                  <c:v>1.9835226509123949E-4</c:v>
                </c:pt>
                <c:pt idx="5">
                  <c:v>-9.2767364415347053E-4</c:v>
                </c:pt>
                <c:pt idx="6">
                  <c:v>-6.7852441367644012E-5</c:v>
                </c:pt>
                <c:pt idx="7">
                  <c:v>1.2842664598757825E-3</c:v>
                </c:pt>
                <c:pt idx="8">
                  <c:v>-8.4815913964042533E-4</c:v>
                </c:pt>
                <c:pt idx="9">
                  <c:v>1.9406555031420414E-4</c:v>
                </c:pt>
                <c:pt idx="10">
                  <c:v>2.9406554778799165E-4</c:v>
                </c:pt>
                <c:pt idx="11">
                  <c:v>-5.6957001022384102E-4</c:v>
                </c:pt>
                <c:pt idx="12">
                  <c:v>-4.3000543652582657E-5</c:v>
                </c:pt>
                <c:pt idx="13">
                  <c:v>-6.1643306669989517E-4</c:v>
                </c:pt>
                <c:pt idx="14">
                  <c:v>-1.6974512867207192E-4</c:v>
                </c:pt>
                <c:pt idx="15">
                  <c:v>7.181536486359219E-4</c:v>
                </c:pt>
                <c:pt idx="16">
                  <c:v>8.4464189237820619E-4</c:v>
                </c:pt>
                <c:pt idx="17">
                  <c:v>9.3219340193650968E-4</c:v>
                </c:pt>
                <c:pt idx="18">
                  <c:v>-1.117090714950475E-3</c:v>
                </c:pt>
                <c:pt idx="19">
                  <c:v>-1.9571211360146501E-3</c:v>
                </c:pt>
                <c:pt idx="20">
                  <c:v>-4.5900339430093862E-4</c:v>
                </c:pt>
                <c:pt idx="21">
                  <c:v>-1.0228784857179152E-3</c:v>
                </c:pt>
                <c:pt idx="22">
                  <c:v>2.9771215150969921E-3</c:v>
                </c:pt>
                <c:pt idx="23">
                  <c:v>9.3139754377080664E-5</c:v>
                </c:pt>
                <c:pt idx="24">
                  <c:v>6.6019083660556754E-4</c:v>
                </c:pt>
                <c:pt idx="25">
                  <c:v>-7.9220505676202979E-4</c:v>
                </c:pt>
                <c:pt idx="26">
                  <c:v>8.7887075243775481E-4</c:v>
                </c:pt>
                <c:pt idx="27">
                  <c:v>5.3665115820389353E-5</c:v>
                </c:pt>
                <c:pt idx="28">
                  <c:v>1.0882780982052198E-4</c:v>
                </c:pt>
                <c:pt idx="29">
                  <c:v>2.4907551355674018E-4</c:v>
                </c:pt>
                <c:pt idx="30">
                  <c:v>-4.4131494797516879E-4</c:v>
                </c:pt>
                <c:pt idx="31">
                  <c:v>-6.3968410106673979E-3</c:v>
                </c:pt>
                <c:pt idx="32">
                  <c:v>-5.7513805089964842E-4</c:v>
                </c:pt>
                <c:pt idx="33">
                  <c:v>1.6094853474967752E-3</c:v>
                </c:pt>
                <c:pt idx="34">
                  <c:v>3.1601399000794617E-3</c:v>
                </c:pt>
                <c:pt idx="35">
                  <c:v>6.4367885270910641E-4</c:v>
                </c:pt>
                <c:pt idx="36">
                  <c:v>2.7878773196260975E-3</c:v>
                </c:pt>
                <c:pt idx="37">
                  <c:v>-8.9800371547932301E-5</c:v>
                </c:pt>
                <c:pt idx="38">
                  <c:v>-1.018700102480341E-3</c:v>
                </c:pt>
                <c:pt idx="39">
                  <c:v>-1.2460485648118635E-3</c:v>
                </c:pt>
                <c:pt idx="40">
                  <c:v>1.1363032253999261E-3</c:v>
                </c:pt>
                <c:pt idx="41">
                  <c:v>-5.3469023255553472E-4</c:v>
                </c:pt>
                <c:pt idx="42">
                  <c:v>-4.346902350817472E-4</c:v>
                </c:pt>
                <c:pt idx="43">
                  <c:v>-2.7771799262399921E-3</c:v>
                </c:pt>
                <c:pt idx="44">
                  <c:v>7.0284314115848234E-4</c:v>
                </c:pt>
                <c:pt idx="45">
                  <c:v>-6.03415287707465E-4</c:v>
                </c:pt>
                <c:pt idx="46">
                  <c:v>-3.7653283195304699E-4</c:v>
                </c:pt>
                <c:pt idx="47">
                  <c:v>1.1588067232433663E-3</c:v>
                </c:pt>
                <c:pt idx="48">
                  <c:v>-5.9465502805039483E-4</c:v>
                </c:pt>
                <c:pt idx="49">
                  <c:v>-6.6664550393630284E-4</c:v>
                </c:pt>
                <c:pt idx="50">
                  <c:v>-2.1205021602770935E-3</c:v>
                </c:pt>
                <c:pt idx="51">
                  <c:v>1.0379013792799485E-4</c:v>
                </c:pt>
                <c:pt idx="52">
                  <c:v>-3.7291186476374749E-3</c:v>
                </c:pt>
                <c:pt idx="53">
                  <c:v>-5.7865036738907749E-4</c:v>
                </c:pt>
                <c:pt idx="54">
                  <c:v>4.0793650681297811E-4</c:v>
                </c:pt>
                <c:pt idx="55">
                  <c:v>1.28688207496791E-3</c:v>
                </c:pt>
                <c:pt idx="56">
                  <c:v>2.533493464319525E-4</c:v>
                </c:pt>
                <c:pt idx="57">
                  <c:v>-1.4894039071711163E-3</c:v>
                </c:pt>
                <c:pt idx="58">
                  <c:v>-7.139423984173221E-4</c:v>
                </c:pt>
                <c:pt idx="59">
                  <c:v>2.0223614441227111E-3</c:v>
                </c:pt>
                <c:pt idx="60">
                  <c:v>-1.6332032459310253E-3</c:v>
                </c:pt>
                <c:pt idx="61">
                  <c:v>-1.3110226365624089E-3</c:v>
                </c:pt>
                <c:pt idx="62">
                  <c:v>-7.1391138509802055E-4</c:v>
                </c:pt>
                <c:pt idx="63">
                  <c:v>-1.1147214013038087E-3</c:v>
                </c:pt>
                <c:pt idx="64">
                  <c:v>5.9725739751514961E-4</c:v>
                </c:pt>
                <c:pt idx="65">
                  <c:v>5.0826709574908202E-4</c:v>
                </c:pt>
                <c:pt idx="66">
                  <c:v>4.1951726100291631E-3</c:v>
                </c:pt>
                <c:pt idx="67">
                  <c:v>-3.7620812741001597E-4</c:v>
                </c:pt>
                <c:pt idx="68">
                  <c:v>-2.7620812993622845E-4</c:v>
                </c:pt>
                <c:pt idx="69">
                  <c:v>1.2379187451083684E-4</c:v>
                </c:pt>
                <c:pt idx="70">
                  <c:v>4.4255530337378168E-4</c:v>
                </c:pt>
                <c:pt idx="71">
                  <c:v>2.3814501865226934E-5</c:v>
                </c:pt>
                <c:pt idx="72">
                  <c:v>-6.665281512729937E-5</c:v>
                </c:pt>
                <c:pt idx="73">
                  <c:v>-3.2732905150993363E-3</c:v>
                </c:pt>
                <c:pt idx="74">
                  <c:v>-1.9732905188362682E-3</c:v>
                </c:pt>
                <c:pt idx="75">
                  <c:v>-1.3732905194416278E-3</c:v>
                </c:pt>
                <c:pt idx="76">
                  <c:v>1.110061636806603E-3</c:v>
                </c:pt>
                <c:pt idx="77">
                  <c:v>4.2913309162349589E-3</c:v>
                </c:pt>
                <c:pt idx="78">
                  <c:v>2.9530418327750052E-4</c:v>
                </c:pt>
                <c:pt idx="79">
                  <c:v>2.4779313704531569E-4</c:v>
                </c:pt>
                <c:pt idx="80">
                  <c:v>-4.4395757756904297E-4</c:v>
                </c:pt>
                <c:pt idx="81">
                  <c:v>3.0689414155560257E-4</c:v>
                </c:pt>
                <c:pt idx="82">
                  <c:v>1.1880723744055466E-3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0-4AA8-B037-650F9925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824552"/>
        <c:axId val="1"/>
      </c:scatterChart>
      <c:valAx>
        <c:axId val="84982455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271903323262843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05740181268883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82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489425981873113"/>
          <c:y val="0.90963855421686746"/>
          <c:w val="5.2870090634441036E-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819921009191722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9700729358109E-2"/>
          <c:y val="0.13473073588770099"/>
          <c:w val="0.886767302853816"/>
          <c:h val="0.6167673687303645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plus>
            <c:min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(old)'!$I$21:$I$238</c:f>
              <c:numCache>
                <c:formatCode>General</c:formatCode>
                <c:ptCount val="21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A-4B62-BFF4-0A7DC874C0F2}"/>
            </c:ext>
          </c:extLst>
        </c:ser>
        <c:ser>
          <c:idx val="3"/>
          <c:order val="1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(old)'!$J$21:$J$238</c:f>
              <c:numCache>
                <c:formatCode>General</c:formatCode>
                <c:ptCount val="218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A-4B62-BFF4-0A7DC874C0F2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(old)'!$K$21:$K$238</c:f>
              <c:numCache>
                <c:formatCode>General</c:formatCode>
                <c:ptCount val="218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7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A-4B62-BFF4-0A7DC874C0F2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(old)'!$D$21:$D$230</c:f>
                <c:numCache>
                  <c:formatCode>General</c:formatCode>
                  <c:ptCount val="21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2.9999999999999997E-4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8.9999999999999998E-4</c:v>
                  </c:pt>
                  <c:pt idx="108">
                    <c:v>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2.2000000000000001E-3</c:v>
                  </c:pt>
                  <c:pt idx="112">
                    <c:v>1.6000000000000001E-3</c:v>
                  </c:pt>
                  <c:pt idx="113">
                    <c:v>8.0000000000000004E-4</c:v>
                  </c:pt>
                  <c:pt idx="114">
                    <c:v>3.0999999999999999E-3</c:v>
                  </c:pt>
                  <c:pt idx="115">
                    <c:v>2.3E-3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3.0999999999999999E-3</c:v>
                  </c:pt>
                  <c:pt idx="120">
                    <c:v>4.0000000000000002E-4</c:v>
                  </c:pt>
                  <c:pt idx="121">
                    <c:v>1.6000000000000001E-3</c:v>
                  </c:pt>
                  <c:pt idx="122">
                    <c:v>4.0000000000000002E-4</c:v>
                  </c:pt>
                  <c:pt idx="123">
                    <c:v>4.1999999999999997E-3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2.9999999999999997E-4</c:v>
                  </c:pt>
                  <c:pt idx="127">
                    <c:v>7.3000000000000001E-3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</c:numCache>
              </c:numRef>
            </c:plus>
            <c:minus>
              <c:numRef>
                <c:f>'A (old)'!$D$21:$D$230</c:f>
                <c:numCache>
                  <c:formatCode>General</c:formatCode>
                  <c:ptCount val="21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2.9999999999999997E-4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8.9999999999999998E-4</c:v>
                  </c:pt>
                  <c:pt idx="108">
                    <c:v>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2.2000000000000001E-3</c:v>
                  </c:pt>
                  <c:pt idx="112">
                    <c:v>1.6000000000000001E-3</c:v>
                  </c:pt>
                  <c:pt idx="113">
                    <c:v>8.0000000000000004E-4</c:v>
                  </c:pt>
                  <c:pt idx="114">
                    <c:v>3.0999999999999999E-3</c:v>
                  </c:pt>
                  <c:pt idx="115">
                    <c:v>2.3E-3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3.0999999999999999E-3</c:v>
                  </c:pt>
                  <c:pt idx="120">
                    <c:v>4.0000000000000002E-4</c:v>
                  </c:pt>
                  <c:pt idx="121">
                    <c:v>1.6000000000000001E-3</c:v>
                  </c:pt>
                  <c:pt idx="122">
                    <c:v>4.0000000000000002E-4</c:v>
                  </c:pt>
                  <c:pt idx="123">
                    <c:v>4.1999999999999997E-3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2.9999999999999997E-4</c:v>
                  </c:pt>
                  <c:pt idx="127">
                    <c:v>7.3000000000000001E-3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(old)'!$L$21:$L$238</c:f>
              <c:numCache>
                <c:formatCode>General</c:formatCode>
                <c:ptCount val="218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  <c:pt idx="118">
                  <c:v>8.5387749997607898E-2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A-4B62-BFF4-0A7DC874C0F2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(old)'!$M$21:$M$238</c:f>
              <c:numCache>
                <c:formatCode>General</c:formatCode>
                <c:ptCount val="2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0A-4B62-BFF4-0A7DC874C0F2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(old)'!$N$21:$N$138</c:f>
              <c:numCache>
                <c:formatCode>General</c:formatCode>
                <c:ptCount val="11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3">
                  <c:v>2.2391400001652073E-2</c:v>
                </c:pt>
                <c:pt idx="64">
                  <c:v>2.2730025004420895E-2</c:v>
                </c:pt>
                <c:pt idx="66">
                  <c:v>1.9770549995882902E-2</c:v>
                </c:pt>
                <c:pt idx="68">
                  <c:v>2.8219299994816538E-2</c:v>
                </c:pt>
                <c:pt idx="71">
                  <c:v>3.3827300001576077E-2</c:v>
                </c:pt>
                <c:pt idx="72">
                  <c:v>3.4110949993191753E-2</c:v>
                </c:pt>
                <c:pt idx="74">
                  <c:v>3.7659299996448681E-2</c:v>
                </c:pt>
                <c:pt idx="75">
                  <c:v>4.018809999251971E-2</c:v>
                </c:pt>
                <c:pt idx="83">
                  <c:v>5.1138900002115406E-2</c:v>
                </c:pt>
                <c:pt idx="89">
                  <c:v>5.9890349992201664E-2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6">
                  <c:v>7.0951899993815459E-2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A-4B62-BFF4-0A7DC874C0F2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(old)'!$O$21:$O$138</c:f>
              <c:numCache>
                <c:formatCode>General</c:formatCode>
                <c:ptCount val="118"/>
                <c:pt idx="86">
                  <c:v>5.5404734084563853E-2</c:v>
                </c:pt>
                <c:pt idx="87">
                  <c:v>5.5553621982657064E-2</c:v>
                </c:pt>
                <c:pt idx="88">
                  <c:v>5.623537183182066E-2</c:v>
                </c:pt>
                <c:pt idx="89">
                  <c:v>6.1795159394827326E-2</c:v>
                </c:pt>
                <c:pt idx="90">
                  <c:v>6.190486626710652E-2</c:v>
                </c:pt>
                <c:pt idx="91">
                  <c:v>6.6869102237740383E-2</c:v>
                </c:pt>
                <c:pt idx="92">
                  <c:v>6.9850778302185793E-2</c:v>
                </c:pt>
                <c:pt idx="93">
                  <c:v>1.9742164388660693E-2</c:v>
                </c:pt>
                <c:pt idx="94">
                  <c:v>3.7169884670728071E-2</c:v>
                </c:pt>
                <c:pt idx="95">
                  <c:v>7.2836372469212637E-2</c:v>
                </c:pt>
                <c:pt idx="96">
                  <c:v>7.301268708537563E-2</c:v>
                </c:pt>
                <c:pt idx="97">
                  <c:v>7.3134148265399032E-2</c:v>
                </c:pt>
                <c:pt idx="98">
                  <c:v>7.347894129256223E-2</c:v>
                </c:pt>
                <c:pt idx="99">
                  <c:v>7.3510286113213433E-2</c:v>
                </c:pt>
                <c:pt idx="100">
                  <c:v>7.3576893857097245E-2</c:v>
                </c:pt>
                <c:pt idx="101">
                  <c:v>7.3858997242958038E-2</c:v>
                </c:pt>
                <c:pt idx="102">
                  <c:v>7.4231216988191059E-2</c:v>
                </c:pt>
                <c:pt idx="103">
                  <c:v>7.4246889398516661E-2</c:v>
                </c:pt>
                <c:pt idx="104">
                  <c:v>7.4513320374051853E-2</c:v>
                </c:pt>
                <c:pt idx="105">
                  <c:v>7.5371384839378455E-2</c:v>
                </c:pt>
                <c:pt idx="106">
                  <c:v>7.5371384839378455E-2</c:v>
                </c:pt>
                <c:pt idx="107">
                  <c:v>7.5371384839378455E-2</c:v>
                </c:pt>
                <c:pt idx="108">
                  <c:v>7.5802376123332474E-2</c:v>
                </c:pt>
                <c:pt idx="109">
                  <c:v>7.5919919200774469E-2</c:v>
                </c:pt>
                <c:pt idx="110">
                  <c:v>7.6151087253077079E-2</c:v>
                </c:pt>
                <c:pt idx="111">
                  <c:v>8.0394392348733315E-2</c:v>
                </c:pt>
                <c:pt idx="112">
                  <c:v>8.0394392348733315E-2</c:v>
                </c:pt>
                <c:pt idx="113">
                  <c:v>8.0394392348733315E-2</c:v>
                </c:pt>
                <c:pt idx="114">
                  <c:v>8.0794038812036104E-2</c:v>
                </c:pt>
                <c:pt idx="115">
                  <c:v>8.0993862043687512E-2</c:v>
                </c:pt>
                <c:pt idx="116">
                  <c:v>8.1076142197896925E-2</c:v>
                </c:pt>
                <c:pt idx="117">
                  <c:v>8.1922452355479333E-2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0A-4B62-BFF4-0A7DC874C0F2}"/>
            </c:ext>
          </c:extLst>
        </c:ser>
        <c:ser>
          <c:idx val="8"/>
          <c:order val="7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A-4B62-BFF4-0A7DC874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6744"/>
        <c:axId val="1"/>
      </c:scatterChart>
      <c:valAx>
        <c:axId val="922526744"/>
        <c:scaling>
          <c:orientation val="minMax"/>
          <c:max val="22000"/>
          <c:min val="1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90902450290584"/>
              <c:y val="0.82934257469313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0239552391280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88963845412912"/>
          <c:y val="0.91018089804642677"/>
          <c:w val="0.6862214392368757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9913275032760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4985749558984"/>
          <c:y val="0.13119552204173032"/>
          <c:w val="0.81222822880877688"/>
          <c:h val="0.65889306625402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plus>
            <c:min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(old)'!$I$21:$I$138</c:f>
              <c:numCache>
                <c:formatCode>General</c:formatCode>
                <c:ptCount val="11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66-48AE-B9B3-5461644C26FB}"/>
            </c:ext>
          </c:extLst>
        </c:ser>
        <c:ser>
          <c:idx val="3"/>
          <c:order val="1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(old)'!$J$21:$J$138</c:f>
              <c:numCache>
                <c:formatCode>General</c:formatCode>
                <c:ptCount val="118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66-48AE-B9B3-5461644C26FB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(old)'!$K$21:$K$138</c:f>
              <c:numCache>
                <c:formatCode>General</c:formatCode>
                <c:ptCount val="118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66-48AE-B9B3-5461644C26FB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(old)'!$L$21:$L$138</c:f>
              <c:numCache>
                <c:formatCode>General</c:formatCode>
                <c:ptCount val="118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66-48AE-B9B3-5461644C26FB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(old)'!$M$21:$M$138</c:f>
              <c:numCache>
                <c:formatCode>General</c:formatCode>
                <c:ptCount val="1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66-48AE-B9B3-5461644C26FB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(old)'!$N$21:$N$138</c:f>
              <c:numCache>
                <c:formatCode>General</c:formatCode>
                <c:ptCount val="11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3">
                  <c:v>2.2391400001652073E-2</c:v>
                </c:pt>
                <c:pt idx="64">
                  <c:v>2.2730025004420895E-2</c:v>
                </c:pt>
                <c:pt idx="66">
                  <c:v>1.9770549995882902E-2</c:v>
                </c:pt>
                <c:pt idx="68">
                  <c:v>2.8219299994816538E-2</c:v>
                </c:pt>
                <c:pt idx="71">
                  <c:v>3.3827300001576077E-2</c:v>
                </c:pt>
                <c:pt idx="72">
                  <c:v>3.4110949993191753E-2</c:v>
                </c:pt>
                <c:pt idx="74">
                  <c:v>3.7659299996448681E-2</c:v>
                </c:pt>
                <c:pt idx="75">
                  <c:v>4.018809999251971E-2</c:v>
                </c:pt>
                <c:pt idx="83">
                  <c:v>5.1138900002115406E-2</c:v>
                </c:pt>
                <c:pt idx="89">
                  <c:v>5.9890349992201664E-2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6">
                  <c:v>7.0951899993815459E-2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66-48AE-B9B3-5461644C26FB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(old)'!$O$21:$O$138</c:f>
              <c:numCache>
                <c:formatCode>General</c:formatCode>
                <c:ptCount val="118"/>
                <c:pt idx="86">
                  <c:v>5.5404734084563853E-2</c:v>
                </c:pt>
                <c:pt idx="87">
                  <c:v>5.5553621982657064E-2</c:v>
                </c:pt>
                <c:pt idx="88">
                  <c:v>5.623537183182066E-2</c:v>
                </c:pt>
                <c:pt idx="89">
                  <c:v>6.1795159394827326E-2</c:v>
                </c:pt>
                <c:pt idx="90">
                  <c:v>6.190486626710652E-2</c:v>
                </c:pt>
                <c:pt idx="91">
                  <c:v>6.6869102237740383E-2</c:v>
                </c:pt>
                <c:pt idx="92">
                  <c:v>6.9850778302185793E-2</c:v>
                </c:pt>
                <c:pt idx="93">
                  <c:v>1.9742164388660693E-2</c:v>
                </c:pt>
                <c:pt idx="94">
                  <c:v>3.7169884670728071E-2</c:v>
                </c:pt>
                <c:pt idx="95">
                  <c:v>7.2836372469212637E-2</c:v>
                </c:pt>
                <c:pt idx="96">
                  <c:v>7.301268708537563E-2</c:v>
                </c:pt>
                <c:pt idx="97">
                  <c:v>7.3134148265399032E-2</c:v>
                </c:pt>
                <c:pt idx="98">
                  <c:v>7.347894129256223E-2</c:v>
                </c:pt>
                <c:pt idx="99">
                  <c:v>7.3510286113213433E-2</c:v>
                </c:pt>
                <c:pt idx="100">
                  <c:v>7.3576893857097245E-2</c:v>
                </c:pt>
                <c:pt idx="101">
                  <c:v>7.3858997242958038E-2</c:v>
                </c:pt>
                <c:pt idx="102">
                  <c:v>7.4231216988191059E-2</c:v>
                </c:pt>
                <c:pt idx="103">
                  <c:v>7.4246889398516661E-2</c:v>
                </c:pt>
                <c:pt idx="104">
                  <c:v>7.4513320374051853E-2</c:v>
                </c:pt>
                <c:pt idx="105">
                  <c:v>7.5371384839378455E-2</c:v>
                </c:pt>
                <c:pt idx="106">
                  <c:v>7.5371384839378455E-2</c:v>
                </c:pt>
                <c:pt idx="107">
                  <c:v>7.5371384839378455E-2</c:v>
                </c:pt>
                <c:pt idx="108">
                  <c:v>7.5802376123332474E-2</c:v>
                </c:pt>
                <c:pt idx="109">
                  <c:v>7.5919919200774469E-2</c:v>
                </c:pt>
                <c:pt idx="110">
                  <c:v>7.6151087253077079E-2</c:v>
                </c:pt>
                <c:pt idx="111">
                  <c:v>8.0394392348733315E-2</c:v>
                </c:pt>
                <c:pt idx="112">
                  <c:v>8.0394392348733315E-2</c:v>
                </c:pt>
                <c:pt idx="113">
                  <c:v>8.0394392348733315E-2</c:v>
                </c:pt>
                <c:pt idx="114">
                  <c:v>8.0794038812036104E-2</c:v>
                </c:pt>
                <c:pt idx="115">
                  <c:v>8.0993862043687512E-2</c:v>
                </c:pt>
                <c:pt idx="116">
                  <c:v>8.1076142197896925E-2</c:v>
                </c:pt>
                <c:pt idx="117">
                  <c:v>8.1922452355479333E-2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66-48AE-B9B3-5461644C26FB}"/>
            </c:ext>
          </c:extLst>
        </c:ser>
        <c:ser>
          <c:idx val="8"/>
          <c:order val="7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66-48AE-B9B3-5461644C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31664"/>
        <c:axId val="1"/>
      </c:scatterChart>
      <c:valAx>
        <c:axId val="92253166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44550653875689"/>
              <c:y val="0.86589043716474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78457059679767E-2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31664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1660114538084"/>
          <c:y val="0.92128402317057301"/>
          <c:w val="0.732169919808058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41372141372141374"/>
          <c:y val="2.8391167192429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92099792099798E-2"/>
          <c:y val="8.8328143736555884E-2"/>
          <c:w val="0.86590436590436592"/>
          <c:h val="0.79653058191001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(old)'!$H$21:$H$187</c:f>
              <c:numCache>
                <c:formatCode>General</c:formatCode>
                <c:ptCount val="167"/>
                <c:pt idx="0">
                  <c:v>-1.0841725001228042E-2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A-46B0-B59F-88CDDF6B5D0E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(old)'!$I$21:$I$187</c:f>
              <c:numCache>
                <c:formatCode>General</c:formatCode>
                <c:ptCount val="167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A-46B0-B59F-88CDDF6B5D0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(old)'!$J$21:$J$187</c:f>
              <c:numCache>
                <c:formatCode>General</c:formatCode>
                <c:ptCount val="167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FA-46B0-B59F-88CDDF6B5D0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(old)'!$K$21:$K$187</c:f>
              <c:numCache>
                <c:formatCode>General</c:formatCode>
                <c:ptCount val="167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7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FA-46B0-B59F-88CDDF6B5D0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(old)'!$L$21:$L$187</c:f>
              <c:numCache>
                <c:formatCode>General</c:formatCode>
                <c:ptCount val="167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  <c:pt idx="118">
                  <c:v>8.5387749997607898E-2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FA-46B0-B59F-88CDDF6B5D0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FA-46B0-B59F-88CDDF6B5D0E}"/>
            </c:ext>
          </c:extLst>
        </c:ser>
        <c:ser>
          <c:idx val="6"/>
          <c:order val="6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FA-46B0-B59F-88CDDF6B5D0E}"/>
            </c:ext>
          </c:extLst>
        </c:ser>
        <c:ser>
          <c:idx val="7"/>
          <c:order val="7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(old)'!$U$21:$U$187</c:f>
              <c:numCache>
                <c:formatCode>General</c:formatCode>
                <c:ptCount val="167"/>
                <c:pt idx="8">
                  <c:v>-1.0856475004402455E-2</c:v>
                </c:pt>
                <c:pt idx="10">
                  <c:v>2.6698250003391877E-3</c:v>
                </c:pt>
                <c:pt idx="11">
                  <c:v>4.069825001352001E-3</c:v>
                </c:pt>
                <c:pt idx="21">
                  <c:v>1.6848849998496007E-2</c:v>
                </c:pt>
                <c:pt idx="22">
                  <c:v>7.7255199998035096E-2</c:v>
                </c:pt>
                <c:pt idx="23">
                  <c:v>4.7304625004471745E-2</c:v>
                </c:pt>
                <c:pt idx="27">
                  <c:v>-4.022110000369139E-2</c:v>
                </c:pt>
                <c:pt idx="28">
                  <c:v>-6.7021750008279923E-2</c:v>
                </c:pt>
                <c:pt idx="29">
                  <c:v>-1.5129200008232147E-2</c:v>
                </c:pt>
                <c:pt idx="30">
                  <c:v>4.364649998024106E-3</c:v>
                </c:pt>
                <c:pt idx="31">
                  <c:v>1.3924949991633184E-2</c:v>
                </c:pt>
                <c:pt idx="32">
                  <c:v>-0.11030310000205645</c:v>
                </c:pt>
                <c:pt idx="33">
                  <c:v>6.6045549996488262E-2</c:v>
                </c:pt>
                <c:pt idx="34">
                  <c:v>-5.2248949999921024E-2</c:v>
                </c:pt>
                <c:pt idx="35">
                  <c:v>1.8248299995320849E-2</c:v>
                </c:pt>
                <c:pt idx="36">
                  <c:v>-1.3242999993963167E-3</c:v>
                </c:pt>
                <c:pt idx="37">
                  <c:v>1.3074399998004083E-2</c:v>
                </c:pt>
                <c:pt idx="38">
                  <c:v>2.5682499981485307E-3</c:v>
                </c:pt>
                <c:pt idx="39">
                  <c:v>1.4660149994597305E-2</c:v>
                </c:pt>
                <c:pt idx="40">
                  <c:v>2.2726599992893171E-2</c:v>
                </c:pt>
                <c:pt idx="41">
                  <c:v>-1.5874700002314057E-2</c:v>
                </c:pt>
                <c:pt idx="42">
                  <c:v>1.555269999516895E-2</c:v>
                </c:pt>
                <c:pt idx="43">
                  <c:v>3.7775000018882565E-3</c:v>
                </c:pt>
                <c:pt idx="44">
                  <c:v>-3.6272400000598282E-2</c:v>
                </c:pt>
                <c:pt idx="45">
                  <c:v>-7.13950000499608E-3</c:v>
                </c:pt>
                <c:pt idx="46">
                  <c:v>-4.3006600004446227E-2</c:v>
                </c:pt>
                <c:pt idx="47">
                  <c:v>-2.313400007551536E-3</c:v>
                </c:pt>
                <c:pt idx="48">
                  <c:v>8.7120499956654385E-3</c:v>
                </c:pt>
                <c:pt idx="49">
                  <c:v>-1.2537200003862381E-2</c:v>
                </c:pt>
                <c:pt idx="50">
                  <c:v>2.9675299992959481E-2</c:v>
                </c:pt>
                <c:pt idx="51">
                  <c:v>3.5014000022783875E-3</c:v>
                </c:pt>
                <c:pt idx="54">
                  <c:v>1.4822799996181857E-2</c:v>
                </c:pt>
                <c:pt idx="55">
                  <c:v>1.4721400002599694E-2</c:v>
                </c:pt>
                <c:pt idx="56">
                  <c:v>2.1054425000329502E-2</c:v>
                </c:pt>
                <c:pt idx="58">
                  <c:v>5.9018500032834709E-3</c:v>
                </c:pt>
                <c:pt idx="78">
                  <c:v>5.3407649997097906E-2</c:v>
                </c:pt>
                <c:pt idx="94">
                  <c:v>8.527321926158038E-2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FA-46B0-B59F-88CDDF6B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7728"/>
        <c:axId val="1"/>
      </c:scatterChart>
      <c:valAx>
        <c:axId val="9225277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73388773388773"/>
              <c:y val="0.92586817026420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580041580041582E-2"/>
              <c:y val="0.4384861356052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7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6715176715176714"/>
          <c:y val="0.95899119865537308"/>
          <c:w val="0.79833679833679827"/>
          <c:h val="0.990536939980294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12.  V0728 Her -- [46949.836, 0.4712863]</a:t>
            </a:r>
          </a:p>
        </c:rich>
      </c:tx>
      <c:layout>
        <c:manualLayout>
          <c:xMode val="edge"/>
          <c:yMode val="edge"/>
          <c:x val="0.17884635574399352"/>
          <c:y val="2.197802197802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9390032856"/>
          <c:y val="0.16117273771154458"/>
          <c:w val="0.85000079815279272"/>
          <c:h val="0.684984135274064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(old)'!$F$21:$F$938</c:f>
              <c:numCache>
                <c:formatCode>General</c:formatCode>
                <c:ptCount val="9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(old)'!$G$21:$G$938</c:f>
              <c:numCache>
                <c:formatCode>General</c:formatCode>
                <c:ptCount val="918"/>
                <c:pt idx="0">
                  <c:v>-1.0841725001228042E-2</c:v>
                </c:pt>
                <c:pt idx="1">
                  <c:v>1.1011500027962029E-3</c:v>
                </c:pt>
                <c:pt idx="2">
                  <c:v>-1.5173249994404614E-3</c:v>
                </c:pt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  <c:pt idx="52">
                  <c:v>7.6638000027742237E-3</c:v>
                </c:pt>
                <c:pt idx="53">
                  <c:v>1.1663800003589131E-2</c:v>
                </c:pt>
                <c:pt idx="57">
                  <c:v>1.4065299998037517E-2</c:v>
                </c:pt>
                <c:pt idx="59">
                  <c:v>1.9731724998564459E-2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3">
                  <c:v>2.2391400001652073E-2</c:v>
                </c:pt>
                <c:pt idx="64">
                  <c:v>2.2730025004420895E-2</c:v>
                </c:pt>
                <c:pt idx="65">
                  <c:v>2.2070049999456387E-2</c:v>
                </c:pt>
                <c:pt idx="66">
                  <c:v>1.9770549995882902E-2</c:v>
                </c:pt>
                <c:pt idx="67">
                  <c:v>2.5735961840837263E-2</c:v>
                </c:pt>
                <c:pt idx="68">
                  <c:v>2.8219299994816538E-2</c:v>
                </c:pt>
                <c:pt idx="69">
                  <c:v>3.2860175000678282E-2</c:v>
                </c:pt>
                <c:pt idx="70">
                  <c:v>3.0897649994585663E-2</c:v>
                </c:pt>
                <c:pt idx="71">
                  <c:v>3.3827300001576077E-2</c:v>
                </c:pt>
                <c:pt idx="72">
                  <c:v>3.4110949993191753E-2</c:v>
                </c:pt>
                <c:pt idx="73">
                  <c:v>3.7376154534285888E-2</c:v>
                </c:pt>
                <c:pt idx="74">
                  <c:v>3.7659299996448681E-2</c:v>
                </c:pt>
                <c:pt idx="75">
                  <c:v>4.018809999251971E-2</c:v>
                </c:pt>
                <c:pt idx="76">
                  <c:v>3.8620999999693595E-2</c:v>
                </c:pt>
                <c:pt idx="77">
                  <c:v>3.8720999997167382E-2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2">
                  <c:v>4.8062699999718461E-2</c:v>
                </c:pt>
                <c:pt idx="83">
                  <c:v>5.1138900002115406E-2</c:v>
                </c:pt>
                <c:pt idx="84">
                  <c:v>5.2903699994203635E-2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89">
                  <c:v>5.9890349992201664E-2</c:v>
                </c:pt>
                <c:pt idx="90">
                  <c:v>6.0982150003837887E-2</c:v>
                </c:pt>
                <c:pt idx="91">
                  <c:v>6.6711099992971867E-2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5">
                  <c:v>6.9993650002288632E-2</c:v>
                </c:pt>
                <c:pt idx="96">
                  <c:v>7.0951899993815459E-2</c:v>
                </c:pt>
                <c:pt idx="97">
                  <c:v>7.3814249997667503E-2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  <c:pt idx="118">
                  <c:v>8.5387749997607898E-2</c:v>
                </c:pt>
                <c:pt idx="119">
                  <c:v>8.6412449993076734E-2</c:v>
                </c:pt>
                <c:pt idx="120">
                  <c:v>8.7807049996627029E-2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4">
                  <c:v>0.10083474999555619</c:v>
                </c:pt>
                <c:pt idx="125">
                  <c:v>0.10111474999575876</c:v>
                </c:pt>
                <c:pt idx="126">
                  <c:v>0.10204474999773083</c:v>
                </c:pt>
                <c:pt idx="127">
                  <c:v>0.10263814999780152</c:v>
                </c:pt>
                <c:pt idx="128">
                  <c:v>0.10307099999772618</c:v>
                </c:pt>
                <c:pt idx="129">
                  <c:v>0.10669839999900432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DE-491F-89C2-26CDBBCE9E97}"/>
            </c:ext>
          </c:extLst>
        </c:ser>
        <c:ser>
          <c:idx val="8"/>
          <c:order val="1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E-491F-89C2-26CDBBCE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9696"/>
        <c:axId val="1"/>
      </c:scatterChart>
      <c:valAx>
        <c:axId val="92252969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9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  [46949.836, 0.4712863]</a:t>
            </a:r>
          </a:p>
        </c:rich>
      </c:tx>
      <c:layout>
        <c:manualLayout>
          <c:xMode val="edge"/>
          <c:yMode val="edge"/>
          <c:x val="0.27427597955706984"/>
          <c:y val="2.034883720930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6831345826234"/>
          <c:y val="0.11627906976744186"/>
          <c:w val="0.82793867120954001"/>
          <c:h val="0.7354651162790697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(old)'!$G$21:$G$138</c:f>
              <c:numCache>
                <c:formatCode>General</c:formatCode>
                <c:ptCount val="118"/>
                <c:pt idx="0">
                  <c:v>-1.0841725001228042E-2</c:v>
                </c:pt>
                <c:pt idx="1">
                  <c:v>1.1011500027962029E-3</c:v>
                </c:pt>
                <c:pt idx="2">
                  <c:v>-1.5173249994404614E-3</c:v>
                </c:pt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  <c:pt idx="52">
                  <c:v>7.6638000027742237E-3</c:v>
                </c:pt>
                <c:pt idx="53">
                  <c:v>1.1663800003589131E-2</c:v>
                </c:pt>
                <c:pt idx="57">
                  <c:v>1.4065299998037517E-2</c:v>
                </c:pt>
                <c:pt idx="59">
                  <c:v>1.9731724998564459E-2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3">
                  <c:v>2.2391400001652073E-2</c:v>
                </c:pt>
                <c:pt idx="64">
                  <c:v>2.2730025004420895E-2</c:v>
                </c:pt>
                <c:pt idx="65">
                  <c:v>2.2070049999456387E-2</c:v>
                </c:pt>
                <c:pt idx="66">
                  <c:v>1.9770549995882902E-2</c:v>
                </c:pt>
                <c:pt idx="67">
                  <c:v>2.5735961840837263E-2</c:v>
                </c:pt>
                <c:pt idx="68">
                  <c:v>2.8219299994816538E-2</c:v>
                </c:pt>
                <c:pt idx="69">
                  <c:v>3.2860175000678282E-2</c:v>
                </c:pt>
                <c:pt idx="70">
                  <c:v>3.0897649994585663E-2</c:v>
                </c:pt>
                <c:pt idx="71">
                  <c:v>3.3827300001576077E-2</c:v>
                </c:pt>
                <c:pt idx="72">
                  <c:v>3.4110949993191753E-2</c:v>
                </c:pt>
                <c:pt idx="73">
                  <c:v>3.7376154534285888E-2</c:v>
                </c:pt>
                <c:pt idx="74">
                  <c:v>3.7659299996448681E-2</c:v>
                </c:pt>
                <c:pt idx="75">
                  <c:v>4.018809999251971E-2</c:v>
                </c:pt>
                <c:pt idx="76">
                  <c:v>3.8620999999693595E-2</c:v>
                </c:pt>
                <c:pt idx="77">
                  <c:v>3.8720999997167382E-2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2">
                  <c:v>4.8062699999718461E-2</c:v>
                </c:pt>
                <c:pt idx="83">
                  <c:v>5.1138900002115406E-2</c:v>
                </c:pt>
                <c:pt idx="84">
                  <c:v>5.2903699994203635E-2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89">
                  <c:v>5.9890349992201664E-2</c:v>
                </c:pt>
                <c:pt idx="90">
                  <c:v>6.0982150003837887E-2</c:v>
                </c:pt>
                <c:pt idx="91">
                  <c:v>6.6711099992971867E-2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5">
                  <c:v>6.9993650002288632E-2</c:v>
                </c:pt>
                <c:pt idx="96">
                  <c:v>7.0951899993815459E-2</c:v>
                </c:pt>
                <c:pt idx="97">
                  <c:v>7.3814249997667503E-2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C-41DD-833A-88173A9DE57B}"/>
            </c:ext>
          </c:extLst>
        </c:ser>
        <c:ser>
          <c:idx val="8"/>
          <c:order val="1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C-41DD-833A-88173A9D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30688"/>
        <c:axId val="1"/>
      </c:scatterChart>
      <c:valAx>
        <c:axId val="845830688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2572402044293016"/>
              <c:y val="0.90697674418604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5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178875638841564E-3"/>
              <c:y val="0.3343023255813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3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 fit</a:t>
            </a:r>
          </a:p>
        </c:rich>
      </c:tx>
      <c:layout>
        <c:manualLayout>
          <c:xMode val="edge"/>
          <c:yMode val="edge"/>
          <c:x val="0.3125001525972044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774765919364"/>
          <c:y val="0.1308139534883721"/>
          <c:w val="0.86482619517211567"/>
          <c:h val="0.6598837209302325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(old)'!$V$20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(old)'!$V$21:$V$138</c:f>
              <c:numCache>
                <c:formatCode>0.00E+00</c:formatCode>
                <c:ptCount val="118"/>
                <c:pt idx="1">
                  <c:v>8.5804168445188529E-4</c:v>
                </c:pt>
                <c:pt idx="2">
                  <c:v>-1.3421441076179028E-3</c:v>
                </c:pt>
                <c:pt idx="3">
                  <c:v>2.0048389148351188E-3</c:v>
                </c:pt>
                <c:pt idx="4">
                  <c:v>4.3222109842587048E-4</c:v>
                </c:pt>
                <c:pt idx="5">
                  <c:v>-8.2412485410079744E-4</c:v>
                </c:pt>
                <c:pt idx="6">
                  <c:v>2.0917486231774262E-5</c:v>
                </c:pt>
                <c:pt idx="7">
                  <c:v>1.3680805542922352E-3</c:v>
                </c:pt>
                <c:pt idx="9">
                  <c:v>-8.6607214567287769E-4</c:v>
                </c:pt>
                <c:pt idx="12">
                  <c:v>1.7183814319384147E-4</c:v>
                </c:pt>
                <c:pt idx="13">
                  <c:v>2.7183814066762896E-4</c:v>
                </c:pt>
                <c:pt idx="14">
                  <c:v>-5.92744308012246E-4</c:v>
                </c:pt>
                <c:pt idx="15">
                  <c:v>-6.6465920759630848E-5</c:v>
                </c:pt>
                <c:pt idx="16">
                  <c:v>-6.4018939529517105E-4</c:v>
                </c:pt>
                <c:pt idx="17">
                  <c:v>-2.0109322963723854E-4</c:v>
                </c:pt>
                <c:pt idx="18">
                  <c:v>6.8314987151578031E-4</c:v>
                </c:pt>
                <c:pt idx="19">
                  <c:v>8.0935227325644205E-4</c:v>
                </c:pt>
                <c:pt idx="20">
                  <c:v>8.9327048424401472E-4</c:v>
                </c:pt>
                <c:pt idx="24">
                  <c:v>-1.2341250235461368E-3</c:v>
                </c:pt>
                <c:pt idx="25">
                  <c:v>-2.0752034381858126E-3</c:v>
                </c:pt>
                <c:pt idx="26">
                  <c:v>-5.8641546743354647E-4</c:v>
                </c:pt>
                <c:pt idx="52">
                  <c:v>-1.3977557394765673E-3</c:v>
                </c:pt>
                <c:pt idx="53">
                  <c:v>2.6022442613383399E-3</c:v>
                </c:pt>
                <c:pt idx="57">
                  <c:v>-2.6491482766012077E-4</c:v>
                </c:pt>
                <c:pt idx="59">
                  <c:v>3.4967729109445372E-4</c:v>
                </c:pt>
                <c:pt idx="60">
                  <c:v>-1.095337850609876E-3</c:v>
                </c:pt>
                <c:pt idx="61">
                  <c:v>6.0382784561849659E-4</c:v>
                </c:pt>
                <c:pt idx="62">
                  <c:v>-2.2032479087888759E-4</c:v>
                </c:pt>
                <c:pt idx="63">
                  <c:v>-1.6482879418118143E-4</c:v>
                </c:pt>
                <c:pt idx="64">
                  <c:v>-2.2209634122673239E-5</c:v>
                </c:pt>
                <c:pt idx="65">
                  <c:v>-7.1223578366020474E-4</c:v>
                </c:pt>
                <c:pt idx="66">
                  <c:v>-6.6230397612920162E-3</c:v>
                </c:pt>
                <c:pt idx="67">
                  <c:v>-7.9955772757839272E-4</c:v>
                </c:pt>
                <c:pt idx="68">
                  <c:v>1.3887649261672477E-3</c:v>
                </c:pt>
                <c:pt idx="69">
                  <c:v>2.9775643467248314E-3</c:v>
                </c:pt>
                <c:pt idx="70">
                  <c:v>4.6787298540339195E-4</c:v>
                </c:pt>
                <c:pt idx="71">
                  <c:v>2.6216117487047018E-3</c:v>
                </c:pt>
                <c:pt idx="72">
                  <c:v>-2.1860648711139602E-4</c:v>
                </c:pt>
                <c:pt idx="73">
                  <c:v>-1.1010573402386245E-3</c:v>
                </c:pt>
                <c:pt idx="74">
                  <c:v>-1.3230651698220991E-3</c:v>
                </c:pt>
                <c:pt idx="75">
                  <c:v>1.0608048785891375E-3</c:v>
                </c:pt>
                <c:pt idx="76">
                  <c:v>-6.0911528692555311E-4</c:v>
                </c:pt>
                <c:pt idx="77">
                  <c:v>-5.091152894517656E-4</c:v>
                </c:pt>
                <c:pt idx="79">
                  <c:v>-2.806113372168087E-3</c:v>
                </c:pt>
                <c:pt idx="80">
                  <c:v>6.7725771290391007E-4</c:v>
                </c:pt>
                <c:pt idx="81">
                  <c:v>-6.2827449717516026E-4</c:v>
                </c:pt>
                <c:pt idx="82">
                  <c:v>-3.6962767187197904E-4</c:v>
                </c:pt>
                <c:pt idx="83">
                  <c:v>1.1760663367352195E-3</c:v>
                </c:pt>
                <c:pt idx="84">
                  <c:v>-5.5752599678001585E-4</c:v>
                </c:pt>
                <c:pt idx="85">
                  <c:v>-6.2711217004540049E-4</c:v>
                </c:pt>
                <c:pt idx="86">
                  <c:v>-2.0787645306718019E-3</c:v>
                </c:pt>
                <c:pt idx="87">
                  <c:v>1.4612615744914043E-4</c:v>
                </c:pt>
                <c:pt idx="88">
                  <c:v>-3.6841422340060798E-3</c:v>
                </c:pt>
                <c:pt idx="89">
                  <c:v>-5.1879178027815914E-4</c:v>
                </c:pt>
                <c:pt idx="90">
                  <c:v>4.6795967705440256E-4</c:v>
                </c:pt>
                <c:pt idx="91">
                  <c:v>1.3484419498539651E-3</c:v>
                </c:pt>
                <c:pt idx="92">
                  <c:v>3.0977327849385228E-4</c:v>
                </c:pt>
                <c:pt idx="93">
                  <c:v>1.3887649261672477E-3</c:v>
                </c:pt>
                <c:pt idx="94">
                  <c:v>1.0608048785891375E-3</c:v>
                </c:pt>
                <c:pt idx="95">
                  <c:v>-1.4431984201238729E-3</c:v>
                </c:pt>
                <c:pt idx="96">
                  <c:v>-6.685085074148861E-4</c:v>
                </c:pt>
                <c:pt idx="97">
                  <c:v>2.0672525560886112E-3</c:v>
                </c:pt>
                <c:pt idx="98">
                  <c:v>-1.5899031497324523E-3</c:v>
                </c:pt>
                <c:pt idx="99">
                  <c:v>-1.2678708777276448E-3</c:v>
                </c:pt>
                <c:pt idx="100">
                  <c:v>-6.7107689845229135E-4</c:v>
                </c:pt>
                <c:pt idx="101">
                  <c:v>-1.0732617483785178E-3</c:v>
                </c:pt>
                <c:pt idx="102">
                  <c:v>6.3682556633490317E-4</c:v>
                </c:pt>
                <c:pt idx="103">
                  <c:v>5.4775367817139209E-4</c:v>
                </c:pt>
                <c:pt idx="104">
                  <c:v>4.2332480399000921E-3</c:v>
                </c:pt>
                <c:pt idx="105">
                  <c:v>-3.4299097350409813E-4</c:v>
                </c:pt>
                <c:pt idx="106">
                  <c:v>-2.4299097603031061E-4</c:v>
                </c:pt>
                <c:pt idx="107">
                  <c:v>1.5700902841675468E-4</c:v>
                </c:pt>
                <c:pt idx="108">
                  <c:v>4.7314927830745257E-4</c:v>
                </c:pt>
                <c:pt idx="109">
                  <c:v>5.367157773758513E-5</c:v>
                </c:pt>
                <c:pt idx="110">
                  <c:v>-3.8272014389328923E-5</c:v>
                </c:pt>
                <c:pt idx="111">
                  <c:v>-3.2786244490809052E-3</c:v>
                </c:pt>
                <c:pt idx="112">
                  <c:v>-1.9786244528178371E-3</c:v>
                </c:pt>
                <c:pt idx="113">
                  <c:v>-1.3786244534231967E-3</c:v>
                </c:pt>
                <c:pt idx="114">
                  <c:v>1.1008798734596509E-3</c:v>
                </c:pt>
                <c:pt idx="115">
                  <c:v>4.2801801520283012E-3</c:v>
                </c:pt>
                <c:pt idx="116">
                  <c:v>2.8333387160203727E-4</c:v>
                </c:pt>
                <c:pt idx="117">
                  <c:v>2.2709326376590955E-4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D-470D-AC43-03A49A16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29048"/>
        <c:axId val="1"/>
      </c:scatterChart>
      <c:valAx>
        <c:axId val="84582904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31981322102179"/>
              <c:y val="0.86627906976744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48837209302327E-2"/>
              <c:y val="0.3517441860465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29048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58170054324603"/>
          <c:y val="0.92151162790697672"/>
          <c:w val="9.4476744186046513E-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0</xdr:row>
      <xdr:rowOff>0</xdr:rowOff>
    </xdr:from>
    <xdr:to>
      <xdr:col>26</xdr:col>
      <xdr:colOff>266700</xdr:colOff>
      <xdr:row>18</xdr:row>
      <xdr:rowOff>38100</xdr:rowOff>
    </xdr:to>
    <xdr:graphicFrame macro="">
      <xdr:nvGraphicFramePr>
        <xdr:cNvPr id="54301" name="Chart 2">
          <a:extLst>
            <a:ext uri="{FF2B5EF4-FFF2-40B4-BE49-F238E27FC236}">
              <a16:creationId xmlns:a16="http://schemas.microsoft.com/office/drawing/2014/main" id="{B7E07328-1613-F8B6-32F1-A5698D18E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0</xdr:rowOff>
    </xdr:from>
    <xdr:to>
      <xdr:col>17</xdr:col>
      <xdr:colOff>285750</xdr:colOff>
      <xdr:row>18</xdr:row>
      <xdr:rowOff>47625</xdr:rowOff>
    </xdr:to>
    <xdr:graphicFrame macro="">
      <xdr:nvGraphicFramePr>
        <xdr:cNvPr id="54302" name="Chart 4">
          <a:extLst>
            <a:ext uri="{FF2B5EF4-FFF2-40B4-BE49-F238E27FC236}">
              <a16:creationId xmlns:a16="http://schemas.microsoft.com/office/drawing/2014/main" id="{A1566F8F-F939-A472-4197-AB615056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28574</xdr:rowOff>
    </xdr:from>
    <xdr:to>
      <xdr:col>9</xdr:col>
      <xdr:colOff>9525</xdr:colOff>
      <xdr:row>37</xdr:row>
      <xdr:rowOff>28575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02B7A4F-65C4-AE3C-BA9B-E6124E6DD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28576</xdr:colOff>
      <xdr:row>17</xdr:row>
      <xdr:rowOff>19050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B9014FD7-B7A7-329E-90E7-714FCF4EE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238125</xdr:colOff>
      <xdr:row>0</xdr:row>
      <xdr:rowOff>38100</xdr:rowOff>
    </xdr:from>
    <xdr:to>
      <xdr:col>28</xdr:col>
      <xdr:colOff>581025</xdr:colOff>
      <xdr:row>18</xdr:row>
      <xdr:rowOff>85725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9BE717D-B5C1-410C-1608-613D7133F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18</xdr:row>
      <xdr:rowOff>85725</xdr:rowOff>
    </xdr:from>
    <xdr:to>
      <xdr:col>18</xdr:col>
      <xdr:colOff>476250</xdr:colOff>
      <xdr:row>37</xdr:row>
      <xdr:rowOff>66675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E7EDEB5-5BE4-9E33-609A-C57810270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600075</xdr:colOff>
      <xdr:row>0</xdr:row>
      <xdr:rowOff>0</xdr:rowOff>
    </xdr:from>
    <xdr:to>
      <xdr:col>18</xdr:col>
      <xdr:colOff>542925</xdr:colOff>
      <xdr:row>18</xdr:row>
      <xdr:rowOff>76200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75884C74-D33A-676E-5432-243613806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19050</xdr:rowOff>
    </xdr:from>
    <xdr:to>
      <xdr:col>25</xdr:col>
      <xdr:colOff>285750</xdr:colOff>
      <xdr:row>27</xdr:row>
      <xdr:rowOff>28575</xdr:rowOff>
    </xdr:to>
    <xdr:graphicFrame macro="">
      <xdr:nvGraphicFramePr>
        <xdr:cNvPr id="61444" name="Chart 1025">
          <a:extLst>
            <a:ext uri="{FF2B5EF4-FFF2-40B4-BE49-F238E27FC236}">
              <a16:creationId xmlns:a16="http://schemas.microsoft.com/office/drawing/2014/main" id="{97CC29BF-AD6A-CD13-390D-E6F3C8A52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133350</xdr:rowOff>
    </xdr:from>
    <xdr:to>
      <xdr:col>19</xdr:col>
      <xdr:colOff>323850</xdr:colOff>
      <xdr:row>26</xdr:row>
      <xdr:rowOff>9525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0DB7727A-D79A-0620-CFAA-A9BD17C67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16</xdr:col>
      <xdr:colOff>447675</xdr:colOff>
      <xdr:row>18</xdr:row>
      <xdr:rowOff>104775</xdr:rowOff>
    </xdr:to>
    <xdr:graphicFrame macro="">
      <xdr:nvGraphicFramePr>
        <xdr:cNvPr id="57352" name="Chart 1026">
          <a:extLst>
            <a:ext uri="{FF2B5EF4-FFF2-40B4-BE49-F238E27FC236}">
              <a16:creationId xmlns:a16="http://schemas.microsoft.com/office/drawing/2014/main" id="{2861DA5C-2C6A-2393-BB04-A2078D76D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304800</xdr:colOff>
      <xdr:row>0</xdr:row>
      <xdr:rowOff>19050</xdr:rowOff>
    </xdr:from>
    <xdr:to>
      <xdr:col>34</xdr:col>
      <xdr:colOff>28575</xdr:colOff>
      <xdr:row>18</xdr:row>
      <xdr:rowOff>57150</xdr:rowOff>
    </xdr:to>
    <xdr:graphicFrame macro="">
      <xdr:nvGraphicFramePr>
        <xdr:cNvPr id="57353" name="Chart 1027">
          <a:extLst>
            <a:ext uri="{FF2B5EF4-FFF2-40B4-BE49-F238E27FC236}">
              <a16:creationId xmlns:a16="http://schemas.microsoft.com/office/drawing/2014/main" id="{9FB852A9-CC25-F4CE-9C85-0F8EA75CB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10</xdr:row>
      <xdr:rowOff>95250</xdr:rowOff>
    </xdr:from>
    <xdr:to>
      <xdr:col>17</xdr:col>
      <xdr:colOff>314325</xdr:colOff>
      <xdr:row>35</xdr:row>
      <xdr:rowOff>57150</xdr:rowOff>
    </xdr:to>
    <xdr:graphicFrame macro="">
      <xdr:nvGraphicFramePr>
        <xdr:cNvPr id="59396" name="Chart 1">
          <a:extLst>
            <a:ext uri="{FF2B5EF4-FFF2-40B4-BE49-F238E27FC236}">
              <a16:creationId xmlns:a16="http://schemas.microsoft.com/office/drawing/2014/main" id="{C2793389-5EED-4F88-EB13-6992526C8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161925</xdr:colOff>
      <xdr:row>18</xdr:row>
      <xdr:rowOff>104775</xdr:rowOff>
    </xdr:to>
    <xdr:graphicFrame macro="">
      <xdr:nvGraphicFramePr>
        <xdr:cNvPr id="62475" name="Chart 1">
          <a:extLst>
            <a:ext uri="{FF2B5EF4-FFF2-40B4-BE49-F238E27FC236}">
              <a16:creationId xmlns:a16="http://schemas.microsoft.com/office/drawing/2014/main" id="{31660A86-0EC8-CA94-4889-685B777B4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22</xdr:row>
      <xdr:rowOff>95250</xdr:rowOff>
    </xdr:from>
    <xdr:to>
      <xdr:col>13</xdr:col>
      <xdr:colOff>457200</xdr:colOff>
      <xdr:row>42</xdr:row>
      <xdr:rowOff>19050</xdr:rowOff>
    </xdr:to>
    <xdr:graphicFrame macro="">
      <xdr:nvGraphicFramePr>
        <xdr:cNvPr id="62476" name="Chart 6">
          <a:extLst>
            <a:ext uri="{FF2B5EF4-FFF2-40B4-BE49-F238E27FC236}">
              <a16:creationId xmlns:a16="http://schemas.microsoft.com/office/drawing/2014/main" id="{9A0BC990-E21C-2838-03F4-CFEBB0907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161925</xdr:colOff>
      <xdr:row>18</xdr:row>
      <xdr:rowOff>104775</xdr:rowOff>
    </xdr:to>
    <xdr:graphicFrame macro="">
      <xdr:nvGraphicFramePr>
        <xdr:cNvPr id="64519" name="Chart 1">
          <a:extLst>
            <a:ext uri="{FF2B5EF4-FFF2-40B4-BE49-F238E27FC236}">
              <a16:creationId xmlns:a16="http://schemas.microsoft.com/office/drawing/2014/main" id="{60276107-FF45-F39E-6FCC-39686FFD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22</xdr:row>
      <xdr:rowOff>95250</xdr:rowOff>
    </xdr:from>
    <xdr:to>
      <xdr:col>13</xdr:col>
      <xdr:colOff>457200</xdr:colOff>
      <xdr:row>42</xdr:row>
      <xdr:rowOff>19050</xdr:rowOff>
    </xdr:to>
    <xdr:graphicFrame macro="">
      <xdr:nvGraphicFramePr>
        <xdr:cNvPr id="64520" name="Chart 2">
          <a:extLst>
            <a:ext uri="{FF2B5EF4-FFF2-40B4-BE49-F238E27FC236}">
              <a16:creationId xmlns:a16="http://schemas.microsoft.com/office/drawing/2014/main" id="{D153ED6E-BAEC-0161-121E-979DAABF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22</xdr:col>
      <xdr:colOff>190500</xdr:colOff>
      <xdr:row>18</xdr:row>
      <xdr:rowOff>47625</xdr:rowOff>
    </xdr:to>
    <xdr:graphicFrame macro="">
      <xdr:nvGraphicFramePr>
        <xdr:cNvPr id="66579" name="Chart 1">
          <a:extLst>
            <a:ext uri="{FF2B5EF4-FFF2-40B4-BE49-F238E27FC236}">
              <a16:creationId xmlns:a16="http://schemas.microsoft.com/office/drawing/2014/main" id="{601B1C27-C1B4-B86B-9AEF-9F168CB0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457200</xdr:colOff>
      <xdr:row>1</xdr:row>
      <xdr:rowOff>0</xdr:rowOff>
    </xdr:from>
    <xdr:to>
      <xdr:col>36</xdr:col>
      <xdr:colOff>142875</xdr:colOff>
      <xdr:row>20</xdr:row>
      <xdr:rowOff>57150</xdr:rowOff>
    </xdr:to>
    <xdr:graphicFrame macro="">
      <xdr:nvGraphicFramePr>
        <xdr:cNvPr id="66580" name="Chart 2">
          <a:extLst>
            <a:ext uri="{FF2B5EF4-FFF2-40B4-BE49-F238E27FC236}">
              <a16:creationId xmlns:a16="http://schemas.microsoft.com/office/drawing/2014/main" id="{D0AA0E59-8864-9C11-6622-638D751D6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133350</xdr:colOff>
      <xdr:row>0</xdr:row>
      <xdr:rowOff>123825</xdr:rowOff>
    </xdr:from>
    <xdr:to>
      <xdr:col>50</xdr:col>
      <xdr:colOff>381000</xdr:colOff>
      <xdr:row>36</xdr:row>
      <xdr:rowOff>95250</xdr:rowOff>
    </xdr:to>
    <xdr:graphicFrame macro="">
      <xdr:nvGraphicFramePr>
        <xdr:cNvPr id="66581" name="Chart 3">
          <a:extLst>
            <a:ext uri="{FF2B5EF4-FFF2-40B4-BE49-F238E27FC236}">
              <a16:creationId xmlns:a16="http://schemas.microsoft.com/office/drawing/2014/main" id="{24D52CA4-E52C-5561-9BE0-0AF75AD05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27</xdr:row>
      <xdr:rowOff>152400</xdr:rowOff>
    </xdr:from>
    <xdr:to>
      <xdr:col>16</xdr:col>
      <xdr:colOff>57150</xdr:colOff>
      <xdr:row>44</xdr:row>
      <xdr:rowOff>0</xdr:rowOff>
    </xdr:to>
    <xdr:graphicFrame macro="">
      <xdr:nvGraphicFramePr>
        <xdr:cNvPr id="66582" name="Chart 4">
          <a:extLst>
            <a:ext uri="{FF2B5EF4-FFF2-40B4-BE49-F238E27FC236}">
              <a16:creationId xmlns:a16="http://schemas.microsoft.com/office/drawing/2014/main" id="{42700AB2-15E1-1057-A12A-0743DAA64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371475</xdr:colOff>
      <xdr:row>45</xdr:row>
      <xdr:rowOff>123825</xdr:rowOff>
    </xdr:from>
    <xdr:to>
      <xdr:col>17</xdr:col>
      <xdr:colOff>85725</xdr:colOff>
      <xdr:row>66</xdr:row>
      <xdr:rowOff>0</xdr:rowOff>
    </xdr:to>
    <xdr:graphicFrame macro="">
      <xdr:nvGraphicFramePr>
        <xdr:cNvPr id="66583" name="Chart 5">
          <a:extLst>
            <a:ext uri="{FF2B5EF4-FFF2-40B4-BE49-F238E27FC236}">
              <a16:creationId xmlns:a16="http://schemas.microsoft.com/office/drawing/2014/main" id="{05D97E6F-C42D-D229-7B45-DD929044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26</xdr:row>
      <xdr:rowOff>0</xdr:rowOff>
    </xdr:from>
    <xdr:to>
      <xdr:col>35</xdr:col>
      <xdr:colOff>381000</xdr:colOff>
      <xdr:row>46</xdr:row>
      <xdr:rowOff>38100</xdr:rowOff>
    </xdr:to>
    <xdr:graphicFrame macro="">
      <xdr:nvGraphicFramePr>
        <xdr:cNvPr id="66584" name="Chart 6">
          <a:extLst>
            <a:ext uri="{FF2B5EF4-FFF2-40B4-BE49-F238E27FC236}">
              <a16:creationId xmlns:a16="http://schemas.microsoft.com/office/drawing/2014/main" id="{6F12F7E0-68E4-CF00-A924-3DA1C2D59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www.bav-astro.de/sfs/BAVM_link.php?BAVMnr=117" TargetMode="External"/><Relationship Id="rId39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493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713" TargetMode="External"/><Relationship Id="rId50" Type="http://schemas.openxmlformats.org/officeDocument/2006/relationships/hyperlink" Target="http://www.bav-astro.de/sfs/BAVM_link.php?BAVMnr=209" TargetMode="External"/><Relationship Id="rId55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www.konkoly.hu/cgi-bin/IBVS?5980" TargetMode="External"/><Relationship Id="rId76" Type="http://schemas.openxmlformats.org/officeDocument/2006/relationships/hyperlink" Target="http://www.bav-astro.de/sfs/BAVM_link.php?BAVMnr=220" TargetMode="External"/><Relationship Id="rId84" Type="http://schemas.openxmlformats.org/officeDocument/2006/relationships/hyperlink" Target="http://www.bav-astro.de/sfs/BAVM_link.php?BAVMnr=231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56" TargetMode="External"/><Relationship Id="rId71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201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51" TargetMode="External"/><Relationship Id="rId24" Type="http://schemas.openxmlformats.org/officeDocument/2006/relationships/hyperlink" Target="http://www.bav-astro.de/sfs/BAVM_link.php?BAVMnr=80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86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938" TargetMode="External"/><Relationship Id="rId58" Type="http://schemas.openxmlformats.org/officeDocument/2006/relationships/hyperlink" Target="http://vsolj.cetus-net.org/vsoljno50.pdf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www.bav-astro.de/sfs/BAVM_link.php?BAVMnr=214" TargetMode="External"/><Relationship Id="rId79" Type="http://schemas.openxmlformats.org/officeDocument/2006/relationships/hyperlink" Target="http://www.konkoly.hu/cgi-bin/IBVS?6018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52" TargetMode="External"/><Relationship Id="rId61" Type="http://schemas.openxmlformats.org/officeDocument/2006/relationships/hyperlink" Target="http://www.konkoly.hu/cgi-bin/IBVS?5894" TargetMode="External"/><Relationship Id="rId82" Type="http://schemas.openxmlformats.org/officeDocument/2006/relationships/hyperlink" Target="http://www.bav-astro.de/sfs/BAVM_link.php?BAVMnr=228" TargetMode="External"/><Relationship Id="rId90" Type="http://schemas.openxmlformats.org/officeDocument/2006/relationships/printerSettings" Target="../printerSettings/printerSettings5.bin"/><Relationship Id="rId19" Type="http://schemas.openxmlformats.org/officeDocument/2006/relationships/hyperlink" Target="http://www.bav-astro.de/sfs/BAVM_link.php?BAVMnr=60" TargetMode="External"/><Relationship Id="rId4" Type="http://schemas.openxmlformats.org/officeDocument/2006/relationships/hyperlink" Target="http://www.konkoly.hu/cgi-bin/IBVS?3201" TargetMode="External"/><Relationship Id="rId9" Type="http://schemas.openxmlformats.org/officeDocument/2006/relationships/hyperlink" Target="http://www.bav-astro.de/sfs/BAVM_link.php?BAVMnr=51" TargetMode="External"/><Relationship Id="rId14" Type="http://schemas.openxmlformats.org/officeDocument/2006/relationships/hyperlink" Target="http://www.bav-astro.de/sfs/BAVM_link.php?BAVMnr=59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027" TargetMode="External"/><Relationship Id="rId30" Type="http://schemas.openxmlformats.org/officeDocument/2006/relationships/hyperlink" Target="http://www.konkoly.hu/cgi-bin/IBVS?5224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konkoly.hu/cgi-bin/IBVS?5760" TargetMode="External"/><Relationship Id="rId48" Type="http://schemas.openxmlformats.org/officeDocument/2006/relationships/hyperlink" Target="http://www.konkoly.hu/cgi-bin/IBVS?5820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www.bav-astro.de/sfs/BAVM_link.php?BAVMnr=212" TargetMode="External"/><Relationship Id="rId77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3356" TargetMode="External"/><Relationship Id="rId51" Type="http://schemas.openxmlformats.org/officeDocument/2006/relationships/hyperlink" Target="http://www.konkoly.hu/cgi-bin/IBVS?5938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bav-astro.de/sfs/BAVM_link.php?BAVMnr=220" TargetMode="External"/><Relationship Id="rId85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3201" TargetMode="External"/><Relationship Id="rId12" Type="http://schemas.openxmlformats.org/officeDocument/2006/relationships/hyperlink" Target="http://www.bav-astro.de/sfs/BAVM_link.php?BAVMnr=5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80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bav-astro.de/sfs/BAVM_link.php?BAVMnr=173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konkoly.hu/cgi-bin/IBVS?5938" TargetMode="External"/><Relationship Id="rId67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konkoly.hu/cgi-bin/IBVS?5672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solj.cetus-net.org/vsoljno51.pdf" TargetMode="External"/><Relationship Id="rId75" Type="http://schemas.openxmlformats.org/officeDocument/2006/relationships/hyperlink" Target="http://www.bav-astro.de/sfs/BAVM_link.php?BAVMnr=215" TargetMode="External"/><Relationship Id="rId83" Type="http://schemas.openxmlformats.org/officeDocument/2006/relationships/hyperlink" Target="http://vsolj.cetus-net.org/vsoljno55.pdf" TargetMode="External"/><Relationship Id="rId88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356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www.konkoly.hu/cgi-bin/IBVS?5027" TargetMode="External"/><Relationship Id="rId36" Type="http://schemas.openxmlformats.org/officeDocument/2006/relationships/hyperlink" Target="http://www.konkoly.hu/cgi-bin/IBVS?5493" TargetMode="External"/><Relationship Id="rId49" Type="http://schemas.openxmlformats.org/officeDocument/2006/relationships/hyperlink" Target="http://www.bav-astro.de/sfs/BAVM_link.php?BAVMnr=186" TargetMode="External"/><Relationship Id="rId5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bav-astro.de/sfs/BAVM_link.php?BAVMnr=51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bav-astro.de/sfs/BAVM_link.php?BAVMnr=209" TargetMode="External"/><Relationship Id="rId60" Type="http://schemas.openxmlformats.org/officeDocument/2006/relationships/hyperlink" Target="http://www.konkoly.hu/cgi-bin/IBVS?5938" TargetMode="External"/><Relationship Id="rId65" Type="http://schemas.openxmlformats.org/officeDocument/2006/relationships/hyperlink" Target="http://www.bav-astro.de/sfs/BAVM_link.php?BAVMnr=212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www.konkoly.hu/cgi-bin/IBVS?6044" TargetMode="External"/><Relationship Id="rId81" Type="http://schemas.openxmlformats.org/officeDocument/2006/relationships/hyperlink" Target="http://www.konkoly.hu/cgi-bin/IBVS?5992" TargetMode="External"/><Relationship Id="rId86" Type="http://schemas.openxmlformats.org/officeDocument/2006/relationships/hyperlink" Target="http://www.konkoly.hu/cgi-bin/IBVS?604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BJ447"/>
  <sheetViews>
    <sheetView tabSelected="1" workbookViewId="0">
      <pane xSplit="13" ySplit="22" topLeftCell="N258" activePane="bottomRight" state="frozen"/>
      <selection pane="topRight" activeCell="N1" sqref="N1"/>
      <selection pane="bottomLeft" activeCell="A23" sqref="A23"/>
      <selection pane="bottomRight" activeCell="A258" sqref="A258"/>
    </sheetView>
  </sheetViews>
  <sheetFormatPr defaultColWidth="10.28515625" defaultRowHeight="12.95" customHeight="1" x14ac:dyDescent="0.2"/>
  <cols>
    <col min="1" max="1" width="16.28515625" style="172" customWidth="1"/>
    <col min="2" max="2" width="3.85546875" style="173" customWidth="1"/>
    <col min="3" max="3" width="13.42578125" style="172" customWidth="1"/>
    <col min="4" max="4" width="10.28515625" style="172" customWidth="1"/>
    <col min="5" max="5" width="10" style="172" customWidth="1"/>
    <col min="6" max="6" width="16.7109375" style="172" customWidth="1"/>
    <col min="7" max="7" width="9.7109375" style="174" customWidth="1"/>
    <col min="8" max="8" width="9.5703125" style="172" customWidth="1"/>
    <col min="9" max="10" width="10.28515625" style="172" customWidth="1"/>
    <col min="11" max="15" width="7.5703125" style="172" customWidth="1"/>
    <col min="16" max="16" width="9.85546875" style="172" customWidth="1"/>
    <col min="17" max="19" width="10.28515625" style="172"/>
    <col min="20" max="20" width="12.42578125" style="172" bestFit="1" customWidth="1"/>
    <col min="21" max="16384" width="10.28515625" style="172"/>
  </cols>
  <sheetData>
    <row r="1" spans="1:24" customFormat="1" ht="21" thickBot="1" x14ac:dyDescent="0.35">
      <c r="A1" s="1" t="s">
        <v>221</v>
      </c>
      <c r="B1" s="28"/>
      <c r="C1" s="27"/>
      <c r="G1" s="14"/>
      <c r="W1" s="68" t="s">
        <v>13</v>
      </c>
      <c r="X1" s="63" t="s">
        <v>27</v>
      </c>
    </row>
    <row r="2" spans="1:24" s="175" customFormat="1" ht="12.95" customHeight="1" x14ac:dyDescent="0.2">
      <c r="A2" s="175" t="s">
        <v>25</v>
      </c>
      <c r="B2" s="176" t="s">
        <v>65</v>
      </c>
      <c r="D2" s="177" t="s">
        <v>40</v>
      </c>
      <c r="G2" s="178"/>
      <c r="W2" s="179">
        <v>-3000</v>
      </c>
      <c r="X2" s="180">
        <f t="shared" ref="X2:X20" si="0">+D$11+D$12*W2+D$13*W2^2</f>
        <v>3.3318300421462514E-3</v>
      </c>
    </row>
    <row r="3" spans="1:24" s="175" customFormat="1" ht="12.95" customHeight="1" thickBot="1" x14ac:dyDescent="0.25">
      <c r="B3" s="176"/>
      <c r="C3" s="175">
        <f>COUNT(C21:C973)</f>
        <v>246</v>
      </c>
      <c r="D3" s="177" t="s">
        <v>222</v>
      </c>
      <c r="G3" s="178"/>
      <c r="W3" s="181">
        <v>-2000</v>
      </c>
      <c r="X3" s="182">
        <f t="shared" si="0"/>
        <v>2.1518981288730496E-3</v>
      </c>
    </row>
    <row r="4" spans="1:24" s="175" customFormat="1" ht="12.95" customHeight="1" thickTop="1" thickBot="1" x14ac:dyDescent="0.25">
      <c r="A4" s="183" t="s">
        <v>3</v>
      </c>
      <c r="B4" s="176"/>
      <c r="C4" s="184">
        <v>41571.273000000001</v>
      </c>
      <c r="D4" s="185">
        <v>0.44625870000000001</v>
      </c>
      <c r="G4" s="178"/>
      <c r="W4" s="181">
        <v>-1000</v>
      </c>
      <c r="X4" s="182">
        <f t="shared" si="0"/>
        <v>1.4587915291579883E-3</v>
      </c>
    </row>
    <row r="5" spans="1:24" s="175" customFormat="1" ht="12.95" customHeight="1" thickTop="1" thickBot="1" x14ac:dyDescent="0.25">
      <c r="A5" s="186" t="s">
        <v>202</v>
      </c>
      <c r="B5" s="176"/>
      <c r="C5" s="187">
        <v>-9.5</v>
      </c>
      <c r="D5" s="175" t="s">
        <v>203</v>
      </c>
      <c r="G5" s="188">
        <v>1986</v>
      </c>
      <c r="H5" s="189">
        <v>2003</v>
      </c>
      <c r="I5" s="189">
        <v>2015</v>
      </c>
      <c r="W5" s="181">
        <v>0</v>
      </c>
      <c r="X5" s="182">
        <f t="shared" si="0"/>
        <v>1.2525102430010688E-3</v>
      </c>
    </row>
    <row r="6" spans="1:24" s="175" customFormat="1" ht="12.95" customHeight="1" thickBot="1" x14ac:dyDescent="0.25">
      <c r="A6" s="183" t="s">
        <v>4</v>
      </c>
      <c r="B6" s="176"/>
      <c r="E6" s="190" t="s">
        <v>112</v>
      </c>
      <c r="F6" s="191">
        <v>0</v>
      </c>
      <c r="G6" s="178">
        <v>-713</v>
      </c>
      <c r="H6" s="175">
        <v>12300</v>
      </c>
      <c r="I6" s="175">
        <v>21600</v>
      </c>
      <c r="W6" s="181">
        <v>1000</v>
      </c>
      <c r="X6" s="182">
        <f t="shared" si="0"/>
        <v>1.5330542704022907E-3</v>
      </c>
    </row>
    <row r="7" spans="1:24" s="175" customFormat="1" ht="12.95" customHeight="1" x14ac:dyDescent="0.2">
      <c r="A7" s="175" t="s">
        <v>5</v>
      </c>
      <c r="B7" s="176"/>
      <c r="C7" s="175">
        <v>46949.836000000003</v>
      </c>
      <c r="E7" s="192" t="s">
        <v>219</v>
      </c>
      <c r="F7" s="193">
        <f>C7+D11+D12*F6+D13*F6^2</f>
        <v>46949.837252510246</v>
      </c>
      <c r="G7" s="178">
        <v>46949.835813531208</v>
      </c>
      <c r="H7" s="175">
        <v>46949.874888427825</v>
      </c>
      <c r="I7" s="175">
        <v>57130.678413520785</v>
      </c>
      <c r="W7" s="181">
        <v>2000</v>
      </c>
      <c r="X7" s="182">
        <f t="shared" si="0"/>
        <v>2.3004236113616534E-3</v>
      </c>
    </row>
    <row r="8" spans="1:24" s="175" customFormat="1" ht="12.95" customHeight="1" thickBot="1" x14ac:dyDescent="0.25">
      <c r="A8" s="175" t="s">
        <v>6</v>
      </c>
      <c r="B8" s="176"/>
      <c r="C8" s="175">
        <v>0.47128629999999999</v>
      </c>
      <c r="E8" s="194" t="s">
        <v>220</v>
      </c>
      <c r="F8" s="195">
        <f>C8+D12+2*D13*F6</f>
        <v>0.47128633713137064</v>
      </c>
      <c r="G8" s="178">
        <v>0.47128624376227352</v>
      </c>
      <c r="H8" s="175">
        <v>0.47129236175476513</v>
      </c>
      <c r="I8" s="175">
        <v>0.47128996620811614</v>
      </c>
      <c r="W8" s="181">
        <v>3000</v>
      </c>
      <c r="X8" s="182">
        <f t="shared" si="0"/>
        <v>3.5546182658791579E-3</v>
      </c>
    </row>
    <row r="9" spans="1:24" s="175" customFormat="1" ht="12.95" customHeight="1" x14ac:dyDescent="0.2">
      <c r="A9" s="186" t="s">
        <v>84</v>
      </c>
      <c r="B9" s="186">
        <v>220</v>
      </c>
      <c r="C9" s="186" t="str">
        <f>"F"&amp;B9</f>
        <v>F220</v>
      </c>
      <c r="D9" s="186" t="str">
        <f>"G"&amp;B9</f>
        <v>G220</v>
      </c>
      <c r="G9" s="178"/>
      <c r="W9" s="181">
        <v>4000</v>
      </c>
      <c r="X9" s="182">
        <f t="shared" si="0"/>
        <v>5.2956382339548035E-3</v>
      </c>
    </row>
    <row r="10" spans="1:24" s="175" customFormat="1" ht="12.95" customHeight="1" thickBot="1" x14ac:dyDescent="0.25">
      <c r="B10" s="176"/>
      <c r="C10" s="189" t="s">
        <v>22</v>
      </c>
      <c r="D10" s="189" t="s">
        <v>23</v>
      </c>
      <c r="G10" s="178"/>
      <c r="W10" s="181">
        <v>5000</v>
      </c>
      <c r="X10" s="182">
        <f t="shared" si="0"/>
        <v>7.523483515588591E-3</v>
      </c>
    </row>
    <row r="11" spans="1:24" s="175" customFormat="1" ht="12.95" customHeight="1" x14ac:dyDescent="0.2">
      <c r="A11" s="175" t="s">
        <v>18</v>
      </c>
      <c r="B11" s="176"/>
      <c r="C11" s="196">
        <f ca="1">INTERCEPT(INDIRECT(D9):G998,INDIRECT(C9):$F998)</f>
        <v>-0.15603524024356083</v>
      </c>
      <c r="D11" s="197">
        <f>+E11*F11</f>
        <v>1.2525102430010688E-3</v>
      </c>
      <c r="E11" s="198">
        <v>1.2525102430010688E-3</v>
      </c>
      <c r="F11" s="199">
        <v>1</v>
      </c>
      <c r="G11" s="178"/>
      <c r="W11" s="181">
        <v>6000</v>
      </c>
      <c r="X11" s="182">
        <f t="shared" si="0"/>
        <v>1.0238154110780519E-2</v>
      </c>
    </row>
    <row r="12" spans="1:24" s="175" customFormat="1" ht="12.95" customHeight="1" x14ac:dyDescent="0.2">
      <c r="A12" s="175" t="s">
        <v>19</v>
      </c>
      <c r="B12" s="176"/>
      <c r="C12" s="196">
        <f ca="1">SLOPE(INDIRECT(D9):G998,INDIRECT(C9):$F998)</f>
        <v>1.2604504023361965E-5</v>
      </c>
      <c r="D12" s="197">
        <f>+E12*F12</f>
        <v>3.7131370622151069E-8</v>
      </c>
      <c r="E12" s="200">
        <v>3.713137062215107E-4</v>
      </c>
      <c r="F12" s="199">
        <v>1E-4</v>
      </c>
      <c r="G12" s="178"/>
      <c r="W12" s="181">
        <v>7000</v>
      </c>
      <c r="X12" s="182">
        <f t="shared" si="0"/>
        <v>1.343965001953059E-2</v>
      </c>
    </row>
    <row r="13" spans="1:24" s="175" customFormat="1" ht="12.95" customHeight="1" thickBot="1" x14ac:dyDescent="0.25">
      <c r="A13" s="175" t="s">
        <v>21</v>
      </c>
      <c r="B13" s="176"/>
      <c r="C13" s="176" t="s">
        <v>17</v>
      </c>
      <c r="D13" s="201">
        <f>+E13*F13</f>
        <v>2.4341265677907067E-10</v>
      </c>
      <c r="E13" s="202">
        <v>2.4341265677907065E-2</v>
      </c>
      <c r="F13" s="199">
        <v>1E-8</v>
      </c>
      <c r="G13" s="178"/>
      <c r="W13" s="181">
        <v>8000</v>
      </c>
      <c r="X13" s="182">
        <f t="shared" si="0"/>
        <v>1.7127971241838801E-2</v>
      </c>
    </row>
    <row r="14" spans="1:24" s="175" customFormat="1" ht="12.95" customHeight="1" x14ac:dyDescent="0.2">
      <c r="A14" s="175" t="s">
        <v>24</v>
      </c>
      <c r="B14" s="176"/>
      <c r="E14" s="175">
        <f>SUM(T21:T992)</f>
        <v>5.1873606572827432E-3</v>
      </c>
      <c r="G14" s="178"/>
      <c r="W14" s="181">
        <v>9000</v>
      </c>
      <c r="X14" s="182">
        <f t="shared" si="0"/>
        <v>2.1303117777705154E-2</v>
      </c>
    </row>
    <row r="15" spans="1:24" s="175" customFormat="1" ht="12.95" customHeight="1" x14ac:dyDescent="0.2">
      <c r="A15" s="183" t="s">
        <v>20</v>
      </c>
      <c r="B15" s="176"/>
      <c r="C15" s="203">
        <f ca="1">(C7+C11)+(C8+C12)*INT(MAX(F21:F3526))</f>
        <v>60148.405785394934</v>
      </c>
      <c r="D15" s="204">
        <f>+C7+INT(MAX(F21:F1581))*C8+D11+D12*INT(MAX(F21:F4016))+D13*INT(MAX(F21:F4043)^2)</f>
        <v>60148.402027558826</v>
      </c>
      <c r="E15" s="196" t="s">
        <v>167</v>
      </c>
      <c r="F15" s="187">
        <v>1</v>
      </c>
      <c r="G15" s="178"/>
      <c r="W15" s="181">
        <v>10000</v>
      </c>
      <c r="X15" s="182">
        <f t="shared" si="0"/>
        <v>2.5965089627129647E-2</v>
      </c>
    </row>
    <row r="16" spans="1:24" s="175" customFormat="1" ht="12.95" customHeight="1" x14ac:dyDescent="0.2">
      <c r="A16" s="183" t="s">
        <v>7</v>
      </c>
      <c r="B16" s="176"/>
      <c r="C16" s="203">
        <f ca="1">+C8+C12</f>
        <v>0.47129890450402334</v>
      </c>
      <c r="D16" s="205">
        <f>+C8+D12+2*D13*MAX(F21:F120)</f>
        <v>0.47128984908918264</v>
      </c>
      <c r="E16" s="196" t="s">
        <v>168</v>
      </c>
      <c r="F16" s="204">
        <f ca="1">NOW()+15018.5+$B$9/24</f>
        <v>60364.24939513889</v>
      </c>
      <c r="G16" s="178"/>
      <c r="W16" s="181">
        <v>11000</v>
      </c>
      <c r="X16" s="182">
        <f t="shared" si="0"/>
        <v>3.1113886790112281E-2</v>
      </c>
    </row>
    <row r="17" spans="1:62" s="175" customFormat="1" ht="12.95" customHeight="1" thickBot="1" x14ac:dyDescent="0.25">
      <c r="A17" s="196" t="s">
        <v>72</v>
      </c>
      <c r="B17" s="176"/>
      <c r="C17" s="175">
        <f>COUNT(C21:C2184)</f>
        <v>246</v>
      </c>
      <c r="E17" s="196" t="s">
        <v>169</v>
      </c>
      <c r="F17" s="204">
        <f ca="1">ROUND(2*(F16-$C$7)/$C$8,0)/2+F15</f>
        <v>28464.5</v>
      </c>
      <c r="G17" s="178"/>
      <c r="W17" s="181">
        <v>12000</v>
      </c>
      <c r="X17" s="182">
        <f t="shared" si="0"/>
        <v>3.6749509266653053E-2</v>
      </c>
    </row>
    <row r="18" spans="1:62" s="175" customFormat="1" ht="12.95" customHeight="1" thickTop="1" thickBot="1" x14ac:dyDescent="0.25">
      <c r="A18" s="183" t="s">
        <v>172</v>
      </c>
      <c r="B18" s="176"/>
      <c r="C18" s="206">
        <f ca="1">+C15</f>
        <v>60148.405785394934</v>
      </c>
      <c r="D18" s="207">
        <f ca="1">C16</f>
        <v>0.47129890450402334</v>
      </c>
      <c r="E18" s="196" t="s">
        <v>170</v>
      </c>
      <c r="F18" s="204">
        <f ca="1">ROUND(2*(F16-$C$15)/$C$16,0)/2+F15</f>
        <v>459</v>
      </c>
      <c r="G18" s="178"/>
      <c r="W18" s="181">
        <v>13000</v>
      </c>
      <c r="X18" s="182">
        <f t="shared" si="0"/>
        <v>4.287195705675198E-2</v>
      </c>
    </row>
    <row r="19" spans="1:62" s="175" customFormat="1" ht="12.95" customHeight="1" thickBot="1" x14ac:dyDescent="0.25">
      <c r="A19" s="183" t="s">
        <v>173</v>
      </c>
      <c r="B19" s="176"/>
      <c r="C19" s="208">
        <f>+D15</f>
        <v>60148.402027558826</v>
      </c>
      <c r="D19" s="209">
        <f>+D16</f>
        <v>0.47128984908918264</v>
      </c>
      <c r="E19" s="196" t="s">
        <v>171</v>
      </c>
      <c r="F19" s="210">
        <f ca="1">+$C$15+$C$16*F18-15018.5-$B$9/24</f>
        <v>45337.065315895619</v>
      </c>
      <c r="G19" s="178"/>
      <c r="W19" s="181">
        <v>14000</v>
      </c>
      <c r="X19" s="182">
        <f t="shared" si="0"/>
        <v>4.9481230160409034E-2</v>
      </c>
    </row>
    <row r="20" spans="1:62" s="175" customFormat="1" ht="12.95" customHeight="1" thickBot="1" x14ac:dyDescent="0.25">
      <c r="A20" s="189" t="s">
        <v>9</v>
      </c>
      <c r="B20" s="189" t="s">
        <v>10</v>
      </c>
      <c r="C20" s="189" t="s">
        <v>11</v>
      </c>
      <c r="D20" s="189" t="s">
        <v>16</v>
      </c>
      <c r="E20" s="189" t="s">
        <v>12</v>
      </c>
      <c r="F20" s="189" t="s">
        <v>13</v>
      </c>
      <c r="G20" s="188" t="s">
        <v>14</v>
      </c>
      <c r="H20" s="211" t="s">
        <v>235</v>
      </c>
      <c r="I20" s="212" t="s">
        <v>236</v>
      </c>
      <c r="J20" s="212" t="s">
        <v>233</v>
      </c>
      <c r="K20" s="212" t="s">
        <v>232</v>
      </c>
      <c r="L20" s="213" t="s">
        <v>936</v>
      </c>
      <c r="M20" s="213" t="s">
        <v>937</v>
      </c>
      <c r="N20" s="189" t="s">
        <v>938</v>
      </c>
      <c r="O20" s="189" t="s">
        <v>39</v>
      </c>
      <c r="P20" s="214" t="s">
        <v>27</v>
      </c>
      <c r="Q20" s="189"/>
      <c r="R20" s="213" t="s">
        <v>28</v>
      </c>
      <c r="S20" s="213" t="s">
        <v>29</v>
      </c>
      <c r="T20" s="213" t="s">
        <v>30</v>
      </c>
      <c r="U20" s="215" t="s">
        <v>82</v>
      </c>
      <c r="V20" s="216" t="s">
        <v>227</v>
      </c>
      <c r="W20" s="181">
        <v>15000</v>
      </c>
      <c r="X20" s="182">
        <f t="shared" si="0"/>
        <v>5.6577328577624236E-2</v>
      </c>
    </row>
    <row r="21" spans="1:62" s="175" customFormat="1" ht="12.95" customHeight="1" x14ac:dyDescent="0.2">
      <c r="A21" s="204" t="s">
        <v>245</v>
      </c>
      <c r="B21" s="203" t="s">
        <v>60</v>
      </c>
      <c r="C21" s="205">
        <v>17439.335999999999</v>
      </c>
      <c r="D21" s="205" t="s">
        <v>236</v>
      </c>
      <c r="E21" s="217">
        <f t="shared" ref="E21:E84" si="1">(C21-C$7)/C$8</f>
        <v>-62616.927332706262</v>
      </c>
      <c r="F21" s="218">
        <f t="shared" ref="F21:F84" si="2">ROUND(2*E21,0)/2</f>
        <v>-62617</v>
      </c>
      <c r="G21" s="219">
        <f t="shared" ref="G21:G42" si="3">C21-(C$7+F21*C$8)</f>
        <v>3.4247099996719044E-2</v>
      </c>
      <c r="I21" s="175">
        <f>G21</f>
        <v>3.4247099996719044E-2</v>
      </c>
      <c r="J21" s="220"/>
      <c r="K21" s="220"/>
      <c r="L21" s="220"/>
      <c r="M21" s="220"/>
      <c r="P21" s="221">
        <f t="shared" ref="P21:P84" si="4">+D$11+D$12*F21+D$13*F21^2</f>
        <v>0.95332138793325116</v>
      </c>
      <c r="Q21" s="222">
        <f t="shared" ref="Q21:Q84" si="5">C21-15018.5</f>
        <v>2420.8359999999993</v>
      </c>
      <c r="R21" s="220">
        <f t="shared" ref="R21:R35" si="6">(G21-P21)^2</f>
        <v>0.84469754674604358</v>
      </c>
      <c r="S21" s="220"/>
      <c r="T21" s="220">
        <f t="shared" ref="T21:T84" si="7">R21*S21</f>
        <v>0</v>
      </c>
      <c r="W21" s="181">
        <v>16000</v>
      </c>
      <c r="X21" s="182">
        <f t="shared" ref="X21:X27" si="8">+D$11+D$12*W21+D$13*W21^2</f>
        <v>6.4160252308397572E-2</v>
      </c>
    </row>
    <row r="22" spans="1:62" s="175" customFormat="1" ht="12.95" customHeight="1" x14ac:dyDescent="0.2">
      <c r="A22" s="223" t="s">
        <v>245</v>
      </c>
      <c r="B22" s="203" t="s">
        <v>60</v>
      </c>
      <c r="C22" s="205">
        <v>17796.394</v>
      </c>
      <c r="D22" s="205" t="s">
        <v>236</v>
      </c>
      <c r="E22" s="217">
        <f t="shared" si="1"/>
        <v>-61859.302933270083</v>
      </c>
      <c r="F22" s="218">
        <f t="shared" si="2"/>
        <v>-61859.5</v>
      </c>
      <c r="G22" s="219">
        <f t="shared" si="3"/>
        <v>9.2874849997315323E-2</v>
      </c>
      <c r="I22" s="224">
        <f>G22</f>
        <v>9.2874849997315323E-2</v>
      </c>
      <c r="J22" s="224"/>
      <c r="K22" s="224"/>
      <c r="L22" s="224"/>
      <c r="M22" s="224"/>
      <c r="P22" s="225">
        <f t="shared" si="4"/>
        <v>0.93039790460104077</v>
      </c>
      <c r="Q22" s="226">
        <f t="shared" si="5"/>
        <v>2777.8940000000002</v>
      </c>
      <c r="R22" s="224">
        <f t="shared" si="6"/>
        <v>0.70144486699275488</v>
      </c>
      <c r="S22" s="220"/>
      <c r="T22" s="220">
        <f t="shared" si="7"/>
        <v>0</v>
      </c>
      <c r="W22" s="175">
        <v>17000</v>
      </c>
      <c r="X22" s="182">
        <f t="shared" si="8"/>
        <v>7.2230001352729056E-2</v>
      </c>
      <c r="BB22" s="175">
        <v>-2265</v>
      </c>
      <c r="BC22" s="175">
        <v>1.1011500027962029E-3</v>
      </c>
      <c r="BD22" s="175">
        <v>0.5</v>
      </c>
      <c r="BH22" s="175">
        <v>-2265</v>
      </c>
      <c r="BI22" s="175">
        <v>1.1011500027962029E-3</v>
      </c>
      <c r="BJ22" s="175">
        <v>0.5</v>
      </c>
    </row>
    <row r="23" spans="1:62" s="175" customFormat="1" ht="12.95" customHeight="1" x14ac:dyDescent="0.2">
      <c r="A23" s="227" t="s">
        <v>245</v>
      </c>
      <c r="B23" s="203" t="s">
        <v>60</v>
      </c>
      <c r="C23" s="205">
        <v>17826.304</v>
      </c>
      <c r="D23" s="205" t="s">
        <v>236</v>
      </c>
      <c r="E23" s="217">
        <f t="shared" si="1"/>
        <v>-61795.838325875382</v>
      </c>
      <c r="F23" s="218">
        <f t="shared" si="2"/>
        <v>-61796</v>
      </c>
      <c r="G23" s="228">
        <f t="shared" si="3"/>
        <v>7.6194799996301299E-2</v>
      </c>
      <c r="I23" s="229">
        <f>G23</f>
        <v>7.6194799996301299E-2</v>
      </c>
      <c r="J23" s="229"/>
      <c r="K23" s="229"/>
      <c r="L23" s="229"/>
      <c r="M23" s="229"/>
      <c r="P23" s="225">
        <f t="shared" si="4"/>
        <v>0.92848895601802339</v>
      </c>
      <c r="Q23" s="230">
        <f t="shared" si="5"/>
        <v>2807.8040000000001</v>
      </c>
      <c r="R23" s="224">
        <f t="shared" si="6"/>
        <v>0.72640532838877958</v>
      </c>
      <c r="S23" s="220"/>
      <c r="T23" s="220">
        <f t="shared" si="7"/>
        <v>0</v>
      </c>
      <c r="W23" s="175">
        <v>18000</v>
      </c>
      <c r="X23" s="182">
        <f t="shared" si="8"/>
        <v>8.0786575710618688E-2</v>
      </c>
      <c r="BB23" s="175">
        <v>-1468.5</v>
      </c>
      <c r="BC23" s="175">
        <v>-1.5173249994404614E-3</v>
      </c>
      <c r="BD23" s="175">
        <v>0.5</v>
      </c>
      <c r="BH23" s="175">
        <v>-1468.5</v>
      </c>
      <c r="BI23" s="175">
        <v>-1.5173249994404614E-3</v>
      </c>
      <c r="BJ23" s="175">
        <v>0.5</v>
      </c>
    </row>
    <row r="24" spans="1:62" s="175" customFormat="1" ht="12.95" customHeight="1" x14ac:dyDescent="0.2">
      <c r="A24" s="231" t="s">
        <v>245</v>
      </c>
      <c r="B24" s="203" t="s">
        <v>60</v>
      </c>
      <c r="C24" s="232">
        <v>17888.366999999998</v>
      </c>
      <c r="D24" s="205" t="s">
        <v>236</v>
      </c>
      <c r="E24" s="217">
        <f t="shared" si="1"/>
        <v>-61664.149795994505</v>
      </c>
      <c r="F24" s="218">
        <f t="shared" si="2"/>
        <v>-61664</v>
      </c>
      <c r="G24" s="228">
        <f t="shared" si="3"/>
        <v>-7.0596800003841054E-2</v>
      </c>
      <c r="I24" s="229">
        <f>G24</f>
        <v>-7.0596800003841054E-2</v>
      </c>
      <c r="J24" s="229"/>
      <c r="K24" s="229"/>
      <c r="L24" s="229"/>
      <c r="M24" s="229"/>
      <c r="P24" s="225">
        <f t="shared" si="4"/>
        <v>0.92452702944696097</v>
      </c>
      <c r="Q24" s="230">
        <f t="shared" si="5"/>
        <v>2869.8669999999984</v>
      </c>
      <c r="R24" s="224">
        <f t="shared" si="6"/>
        <v>0.99027143594082889</v>
      </c>
      <c r="S24" s="220"/>
      <c r="T24" s="220">
        <f t="shared" si="7"/>
        <v>0</v>
      </c>
      <c r="W24" s="175">
        <v>19000</v>
      </c>
      <c r="X24" s="182">
        <f t="shared" si="8"/>
        <v>8.9829975382066454E-2</v>
      </c>
      <c r="BB24" s="175">
        <v>-715</v>
      </c>
      <c r="BC24" s="175">
        <v>1.7044999985955656E-3</v>
      </c>
      <c r="BD24" s="175">
        <v>0.5</v>
      </c>
      <c r="BH24" s="175">
        <v>-715</v>
      </c>
      <c r="BI24" s="175">
        <v>1.7044999985955656E-3</v>
      </c>
      <c r="BJ24" s="175">
        <v>0.5</v>
      </c>
    </row>
    <row r="25" spans="1:62" s="175" customFormat="1" ht="12.95" customHeight="1" x14ac:dyDescent="0.2">
      <c r="A25" s="231" t="s">
        <v>258</v>
      </c>
      <c r="B25" s="203" t="s">
        <v>64</v>
      </c>
      <c r="C25" s="233">
        <v>40361.508999999998</v>
      </c>
      <c r="D25" s="205" t="s">
        <v>236</v>
      </c>
      <c r="E25" s="217">
        <f t="shared" si="1"/>
        <v>-13979.457921861944</v>
      </c>
      <c r="F25" s="218">
        <f t="shared" si="2"/>
        <v>-13979.5</v>
      </c>
      <c r="G25" s="228">
        <f t="shared" si="3"/>
        <v>1.9830849996651523E-2</v>
      </c>
      <c r="I25" s="229">
        <f>G25</f>
        <v>1.9830849996651523E-2</v>
      </c>
      <c r="J25" s="229"/>
      <c r="K25" s="229"/>
      <c r="L25" s="229"/>
      <c r="M25" s="229"/>
      <c r="P25" s="225">
        <f t="shared" si="4"/>
        <v>4.8302696405264384E-2</v>
      </c>
      <c r="Q25" s="230">
        <f t="shared" si="5"/>
        <v>25343.008999999998</v>
      </c>
      <c r="R25" s="224">
        <f t="shared" si="6"/>
        <v>8.1064603791564105E-4</v>
      </c>
      <c r="S25" s="220"/>
      <c r="T25" s="220">
        <f t="shared" si="7"/>
        <v>0</v>
      </c>
      <c r="W25" s="175">
        <v>20000</v>
      </c>
      <c r="X25" s="182">
        <f t="shared" si="8"/>
        <v>9.9360200367072368E-2</v>
      </c>
      <c r="BB25" s="175">
        <v>-713</v>
      </c>
      <c r="BC25" s="175">
        <v>1.3190000026952475E-4</v>
      </c>
      <c r="BD25" s="175">
        <v>0.5</v>
      </c>
      <c r="BH25" s="175">
        <v>-713</v>
      </c>
      <c r="BI25" s="175">
        <v>1.3190000026952475E-4</v>
      </c>
      <c r="BJ25" s="175">
        <v>0.5</v>
      </c>
    </row>
    <row r="26" spans="1:62" s="175" customFormat="1" ht="12.95" customHeight="1" x14ac:dyDescent="0.2">
      <c r="A26" s="234" t="s">
        <v>825</v>
      </c>
      <c r="B26" s="235" t="s">
        <v>64</v>
      </c>
      <c r="C26" s="236">
        <v>40809.46</v>
      </c>
      <c r="D26" s="237" t="s">
        <v>235</v>
      </c>
      <c r="E26" s="217">
        <f t="shared" si="1"/>
        <v>-13028.971985818394</v>
      </c>
      <c r="F26" s="218">
        <f t="shared" si="2"/>
        <v>-13029</v>
      </c>
      <c r="G26" s="228">
        <f t="shared" si="3"/>
        <v>1.3202699999965262E-2</v>
      </c>
      <c r="H26" s="229">
        <f t="shared" ref="H21:H35" si="9">G26</f>
        <v>1.3202699999965262E-2</v>
      </c>
      <c r="I26" s="229"/>
      <c r="J26" s="229"/>
      <c r="K26" s="229"/>
      <c r="L26" s="229"/>
      <c r="M26" s="229"/>
      <c r="P26" s="225">
        <f t="shared" si="4"/>
        <v>4.2089202464083778E-2</v>
      </c>
      <c r="Q26" s="230">
        <f t="shared" si="5"/>
        <v>25790.959999999999</v>
      </c>
      <c r="R26" s="224">
        <f t="shared" si="6"/>
        <v>8.3443002460952508E-4</v>
      </c>
      <c r="S26" s="220"/>
      <c r="T26" s="220">
        <f t="shared" si="7"/>
        <v>0</v>
      </c>
      <c r="W26" s="175">
        <v>21000</v>
      </c>
      <c r="X26" s="182">
        <f t="shared" si="8"/>
        <v>0.1093772506656364</v>
      </c>
      <c r="BB26" s="175">
        <v>0</v>
      </c>
      <c r="BC26" s="175">
        <v>-1.0000000038417056E-3</v>
      </c>
      <c r="BD26" s="175">
        <v>1</v>
      </c>
      <c r="BH26" s="175">
        <v>0</v>
      </c>
      <c r="BI26" s="175">
        <v>-1.0000000038417056E-3</v>
      </c>
      <c r="BJ26" s="175">
        <v>1</v>
      </c>
    </row>
    <row r="27" spans="1:62" s="175" customFormat="1" ht="12.95" customHeight="1" x14ac:dyDescent="0.2">
      <c r="A27" s="231" t="s">
        <v>258</v>
      </c>
      <c r="B27" s="203" t="s">
        <v>64</v>
      </c>
      <c r="C27" s="233">
        <v>40810.404999999999</v>
      </c>
      <c r="D27" s="205" t="s">
        <v>236</v>
      </c>
      <c r="E27" s="217">
        <f t="shared" si="1"/>
        <v>-13026.966835233708</v>
      </c>
      <c r="F27" s="218">
        <f t="shared" si="2"/>
        <v>-13027</v>
      </c>
      <c r="G27" s="228">
        <f t="shared" si="3"/>
        <v>1.5630099995178171E-2</v>
      </c>
      <c r="I27" s="229">
        <f>G27</f>
        <v>1.5630099995178171E-2</v>
      </c>
      <c r="J27" s="229"/>
      <c r="K27" s="229"/>
      <c r="L27" s="229"/>
      <c r="M27" s="229"/>
      <c r="P27" s="225">
        <f t="shared" si="4"/>
        <v>4.2076592006454951E-2</v>
      </c>
      <c r="Q27" s="230">
        <f t="shared" si="5"/>
        <v>25791.904999999999</v>
      </c>
      <c r="R27" s="224">
        <f t="shared" si="6"/>
        <v>6.9941693970252653E-4</v>
      </c>
      <c r="S27" s="220"/>
      <c r="T27" s="220">
        <f t="shared" si="7"/>
        <v>0</v>
      </c>
      <c r="W27" s="175">
        <v>22000</v>
      </c>
      <c r="X27" s="182">
        <f t="shared" si="8"/>
        <v>0.1198811262777586</v>
      </c>
      <c r="BB27" s="175">
        <v>87</v>
      </c>
      <c r="BC27" s="175">
        <v>-1.2365000293357298E-4</v>
      </c>
      <c r="BD27" s="175">
        <v>0.5</v>
      </c>
      <c r="BH27" s="175">
        <v>87</v>
      </c>
      <c r="BI27" s="175">
        <v>-1.2365000293357298E-4</v>
      </c>
      <c r="BJ27" s="175">
        <v>0.5</v>
      </c>
    </row>
    <row r="28" spans="1:62" s="175" customFormat="1" ht="12.95" customHeight="1" x14ac:dyDescent="0.2">
      <c r="A28" s="231" t="s">
        <v>258</v>
      </c>
      <c r="B28" s="203" t="s">
        <v>64</v>
      </c>
      <c r="C28" s="233">
        <v>40827.372000000003</v>
      </c>
      <c r="D28" s="205" t="s">
        <v>236</v>
      </c>
      <c r="E28" s="217">
        <f t="shared" si="1"/>
        <v>-12990.965364365567</v>
      </c>
      <c r="F28" s="218">
        <f t="shared" si="2"/>
        <v>-12991</v>
      </c>
      <c r="G28" s="228">
        <f t="shared" si="3"/>
        <v>1.6323299998475704E-2</v>
      </c>
      <c r="I28" s="229">
        <f>G28</f>
        <v>1.6323299998475704E-2</v>
      </c>
      <c r="J28" s="229"/>
      <c r="K28" s="229"/>
      <c r="L28" s="229"/>
      <c r="M28" s="229"/>
      <c r="P28" s="225">
        <f t="shared" si="4"/>
        <v>4.1849936757650551E-2</v>
      </c>
      <c r="Q28" s="230">
        <f t="shared" si="5"/>
        <v>25808.872000000003</v>
      </c>
      <c r="R28" s="224">
        <f t="shared" si="6"/>
        <v>6.5160918423485647E-4</v>
      </c>
      <c r="S28" s="220"/>
      <c r="T28" s="220">
        <f t="shared" si="7"/>
        <v>0</v>
      </c>
      <c r="W28" s="175">
        <v>23000</v>
      </c>
      <c r="X28" s="182">
        <f t="shared" ref="X28:X33" si="10">+D$11+D$12*W28+D$13*W28^2</f>
        <v>0.13087182720343893</v>
      </c>
      <c r="BB28" s="175">
        <v>116.5</v>
      </c>
      <c r="BC28" s="175">
        <v>1.2349250027909875E-3</v>
      </c>
      <c r="BD28" s="175">
        <v>0.5</v>
      </c>
      <c r="BH28" s="175">
        <v>116.5</v>
      </c>
      <c r="BI28" s="175">
        <v>1.2349250027909875E-3</v>
      </c>
      <c r="BJ28" s="175">
        <v>0.5</v>
      </c>
    </row>
    <row r="29" spans="1:62" s="175" customFormat="1" ht="12.95" customHeight="1" x14ac:dyDescent="0.2">
      <c r="A29" s="234" t="s">
        <v>825</v>
      </c>
      <c r="B29" s="235" t="s">
        <v>64</v>
      </c>
      <c r="C29" s="236">
        <v>41062.572999999997</v>
      </c>
      <c r="D29" s="237" t="s">
        <v>235</v>
      </c>
      <c r="E29" s="217">
        <f t="shared" si="1"/>
        <v>-12491.903541435442</v>
      </c>
      <c r="F29" s="218">
        <f t="shared" si="2"/>
        <v>-12492</v>
      </c>
      <c r="G29" s="228">
        <f t="shared" si="3"/>
        <v>4.5459599990863353E-2</v>
      </c>
      <c r="H29" s="229">
        <f t="shared" si="9"/>
        <v>4.5459599990863353E-2</v>
      </c>
      <c r="I29" s="229"/>
      <c r="J29" s="229"/>
      <c r="K29" s="229"/>
      <c r="L29" s="229"/>
      <c r="M29" s="229"/>
      <c r="P29" s="225">
        <f t="shared" si="4"/>
        <v>3.8773225829973175E-2</v>
      </c>
      <c r="Q29" s="230">
        <f t="shared" si="5"/>
        <v>26044.072999999997</v>
      </c>
      <c r="R29" s="224">
        <f t="shared" si="6"/>
        <v>4.4707599419419832E-5</v>
      </c>
      <c r="S29" s="220"/>
      <c r="T29" s="220">
        <f t="shared" si="7"/>
        <v>0</v>
      </c>
      <c r="W29" s="175">
        <v>24000</v>
      </c>
      <c r="X29" s="182">
        <f t="shared" si="10"/>
        <v>0.14234935344267738</v>
      </c>
      <c r="BB29" s="175">
        <v>764</v>
      </c>
      <c r="BC29" s="175">
        <v>-6.472000022768043E-4</v>
      </c>
      <c r="BD29" s="175">
        <v>0.5</v>
      </c>
      <c r="BH29" s="175">
        <v>764</v>
      </c>
      <c r="BI29" s="175">
        <v>-6.472000022768043E-4</v>
      </c>
      <c r="BJ29" s="175">
        <v>0.5</v>
      </c>
    </row>
    <row r="30" spans="1:62" s="175" customFormat="1" ht="12.95" customHeight="1" x14ac:dyDescent="0.2">
      <c r="A30" s="231" t="s">
        <v>258</v>
      </c>
      <c r="B30" s="203" t="s">
        <v>64</v>
      </c>
      <c r="C30" s="233">
        <v>41533.337</v>
      </c>
      <c r="D30" s="205" t="s">
        <v>236</v>
      </c>
      <c r="E30" s="217">
        <f t="shared" si="1"/>
        <v>-11493.011784980814</v>
      </c>
      <c r="F30" s="218">
        <f t="shared" si="2"/>
        <v>-11493</v>
      </c>
      <c r="G30" s="228">
        <f t="shared" si="3"/>
        <v>-5.554100003791973E-3</v>
      </c>
      <c r="I30" s="229">
        <f>G30</f>
        <v>-5.554100003791973E-3</v>
      </c>
      <c r="J30" s="229"/>
      <c r="K30" s="229"/>
      <c r="L30" s="229"/>
      <c r="M30" s="229"/>
      <c r="P30" s="225">
        <f t="shared" si="4"/>
        <v>3.2977905748951541E-2</v>
      </c>
      <c r="Q30" s="230">
        <f t="shared" si="5"/>
        <v>26514.837</v>
      </c>
      <c r="R30" s="224">
        <f t="shared" si="6"/>
        <v>1.4847154673294594E-3</v>
      </c>
      <c r="S30" s="220"/>
      <c r="T30" s="220">
        <f t="shared" si="7"/>
        <v>0</v>
      </c>
      <c r="W30" s="175">
        <v>25000</v>
      </c>
      <c r="X30" s="182">
        <f t="shared" si="10"/>
        <v>0.15431370499547403</v>
      </c>
      <c r="BB30" s="175">
        <v>793.5</v>
      </c>
      <c r="BC30" s="175">
        <v>4.1137500375043601E-4</v>
      </c>
      <c r="BD30" s="175">
        <v>0.5</v>
      </c>
      <c r="BH30" s="175">
        <v>793.5</v>
      </c>
      <c r="BI30" s="175">
        <v>4.1137500375043601E-4</v>
      </c>
      <c r="BJ30" s="175">
        <v>0.5</v>
      </c>
    </row>
    <row r="31" spans="1:62" s="175" customFormat="1" ht="12.95" customHeight="1" x14ac:dyDescent="0.2">
      <c r="A31" s="231" t="s">
        <v>271</v>
      </c>
      <c r="B31" s="203" t="s">
        <v>64</v>
      </c>
      <c r="C31" s="233">
        <v>41567.286999999997</v>
      </c>
      <c r="D31" s="205" t="s">
        <v>236</v>
      </c>
      <c r="E31" s="217">
        <f t="shared" si="1"/>
        <v>-11420.974893605025</v>
      </c>
      <c r="F31" s="218">
        <f t="shared" si="2"/>
        <v>-11421</v>
      </c>
      <c r="G31" s="228">
        <f t="shared" si="3"/>
        <v>1.1832299991510808E-2</v>
      </c>
      <c r="I31" s="229">
        <f>G31</f>
        <v>1.1832299991510808E-2</v>
      </c>
      <c r="J31" s="229"/>
      <c r="K31" s="229"/>
      <c r="L31" s="229"/>
      <c r="M31" s="229"/>
      <c r="P31" s="225">
        <f t="shared" si="4"/>
        <v>3.2578995059180965E-2</v>
      </c>
      <c r="Q31" s="230">
        <f t="shared" si="5"/>
        <v>26548.786999999997</v>
      </c>
      <c r="R31" s="224">
        <f t="shared" si="6"/>
        <v>4.304253562308892E-4</v>
      </c>
      <c r="S31" s="220"/>
      <c r="T31" s="220">
        <f t="shared" si="7"/>
        <v>0</v>
      </c>
      <c r="W31" s="175">
        <v>26000</v>
      </c>
      <c r="X31" s="182">
        <f t="shared" si="10"/>
        <v>0.16676488186182878</v>
      </c>
      <c r="BB31" s="175">
        <v>793.5</v>
      </c>
      <c r="BC31" s="175">
        <v>5.1137500122422352E-4</v>
      </c>
      <c r="BD31" s="175">
        <v>0.5</v>
      </c>
      <c r="BH31" s="175">
        <v>793.5</v>
      </c>
      <c r="BI31" s="175">
        <v>5.1137500122422352E-4</v>
      </c>
      <c r="BJ31" s="175">
        <v>0.5</v>
      </c>
    </row>
    <row r="32" spans="1:62" s="175" customFormat="1" ht="12.95" customHeight="1" x14ac:dyDescent="0.2">
      <c r="A32" s="228" t="s">
        <v>15</v>
      </c>
      <c r="B32" s="238"/>
      <c r="C32" s="228">
        <v>41571.273000000001</v>
      </c>
      <c r="D32" s="239"/>
      <c r="E32" s="175">
        <f t="shared" si="1"/>
        <v>-11412.517189657332</v>
      </c>
      <c r="F32" s="224">
        <f t="shared" si="2"/>
        <v>-11412.5</v>
      </c>
      <c r="G32" s="228">
        <f t="shared" si="3"/>
        <v>-8.1012500013457611E-3</v>
      </c>
      <c r="I32" s="240">
        <f>G32</f>
        <v>-8.1012500013457611E-3</v>
      </c>
      <c r="J32" s="229"/>
      <c r="L32" s="229"/>
      <c r="M32" s="229"/>
      <c r="P32" s="225">
        <f t="shared" si="4"/>
        <v>3.2532067991193452E-2</v>
      </c>
      <c r="Q32" s="230">
        <f t="shared" si="5"/>
        <v>26552.773000000001</v>
      </c>
      <c r="R32" s="224">
        <f t="shared" si="6"/>
        <v>1.6510665310828108E-3</v>
      </c>
      <c r="S32" s="220"/>
      <c r="T32" s="220">
        <f t="shared" si="7"/>
        <v>0</v>
      </c>
      <c r="W32" s="175">
        <v>27000</v>
      </c>
      <c r="X32" s="182">
        <f t="shared" si="10"/>
        <v>0.17970288404174167</v>
      </c>
      <c r="BB32" s="175">
        <v>800</v>
      </c>
      <c r="BC32" s="175">
        <v>-3.4859999868785962E-4</v>
      </c>
      <c r="BD32" s="175">
        <v>0.5</v>
      </c>
      <c r="BH32" s="175">
        <v>800</v>
      </c>
      <c r="BI32" s="175">
        <v>-3.4859999868785962E-4</v>
      </c>
      <c r="BJ32" s="175">
        <v>0.5</v>
      </c>
    </row>
    <row r="33" spans="1:62" s="175" customFormat="1" ht="12.95" customHeight="1" x14ac:dyDescent="0.2">
      <c r="A33" s="231" t="s">
        <v>271</v>
      </c>
      <c r="B33" s="203" t="s">
        <v>64</v>
      </c>
      <c r="C33" s="233">
        <v>41571.292000000001</v>
      </c>
      <c r="D33" s="205" t="s">
        <v>236</v>
      </c>
      <c r="E33" s="217">
        <f t="shared" si="1"/>
        <v>-11412.47687446039</v>
      </c>
      <c r="F33" s="218">
        <f t="shared" si="2"/>
        <v>-11412.5</v>
      </c>
      <c r="G33" s="228">
        <f t="shared" si="3"/>
        <v>1.089874999888707E-2</v>
      </c>
      <c r="I33" s="229">
        <f>G33</f>
        <v>1.089874999888707E-2</v>
      </c>
      <c r="J33" s="229"/>
      <c r="K33" s="229"/>
      <c r="L33" s="229"/>
      <c r="M33" s="229"/>
      <c r="P33" s="225">
        <f t="shared" si="4"/>
        <v>3.2532067991193452E-2</v>
      </c>
      <c r="Q33" s="230">
        <f t="shared" si="5"/>
        <v>26552.792000000001</v>
      </c>
      <c r="R33" s="224">
        <f t="shared" si="6"/>
        <v>4.6800044735624704E-4</v>
      </c>
      <c r="S33" s="220"/>
      <c r="T33" s="220">
        <f t="shared" si="7"/>
        <v>0</v>
      </c>
      <c r="W33" s="175">
        <v>28000</v>
      </c>
      <c r="X33" s="182">
        <f t="shared" si="10"/>
        <v>0.19312771153521271</v>
      </c>
      <c r="BB33" s="175">
        <v>802</v>
      </c>
      <c r="BC33" s="175">
        <v>1.7910000315168872E-4</v>
      </c>
      <c r="BD33" s="175">
        <v>0.5</v>
      </c>
      <c r="BH33" s="175">
        <v>802</v>
      </c>
      <c r="BI33" s="175">
        <v>1.7910000315168872E-4</v>
      </c>
      <c r="BJ33" s="175">
        <v>0.5</v>
      </c>
    </row>
    <row r="34" spans="1:62" s="175" customFormat="1" ht="12.95" customHeight="1" x14ac:dyDescent="0.2">
      <c r="A34" s="231" t="s">
        <v>271</v>
      </c>
      <c r="B34" s="203" t="s">
        <v>64</v>
      </c>
      <c r="C34" s="233">
        <v>41957.241000000002</v>
      </c>
      <c r="D34" s="205" t="s">
        <v>236</v>
      </c>
      <c r="E34" s="217">
        <f t="shared" si="1"/>
        <v>-10593.550035297019</v>
      </c>
      <c r="F34" s="218">
        <f t="shared" si="2"/>
        <v>-10593.5</v>
      </c>
      <c r="G34" s="228">
        <f t="shared" si="3"/>
        <v>-2.3580950000905432E-2</v>
      </c>
      <c r="I34" s="229">
        <f>G34</f>
        <v>-2.3580950000905432E-2</v>
      </c>
      <c r="J34" s="229"/>
      <c r="K34" s="229"/>
      <c r="L34" s="229"/>
      <c r="M34" s="229"/>
      <c r="P34" s="225">
        <f t="shared" si="4"/>
        <v>2.8175473204092284E-2</v>
      </c>
      <c r="Q34" s="230">
        <f t="shared" si="5"/>
        <v>26938.741000000002</v>
      </c>
      <c r="R34" s="224">
        <f t="shared" si="6"/>
        <v>2.6787273429748262E-3</v>
      </c>
      <c r="S34" s="220"/>
      <c r="T34" s="220">
        <f t="shared" si="7"/>
        <v>0</v>
      </c>
      <c r="X34" s="199"/>
      <c r="BB34" s="175">
        <v>804</v>
      </c>
      <c r="BC34" s="175">
        <v>-3.9320000360021368E-4</v>
      </c>
      <c r="BD34" s="175">
        <v>0.5</v>
      </c>
      <c r="BH34" s="175">
        <v>804</v>
      </c>
      <c r="BI34" s="175">
        <v>-3.9320000360021368E-4</v>
      </c>
      <c r="BJ34" s="175">
        <v>0.5</v>
      </c>
    </row>
    <row r="35" spans="1:62" s="175" customFormat="1" ht="12.95" customHeight="1" x14ac:dyDescent="0.2">
      <c r="A35" s="231" t="s">
        <v>271</v>
      </c>
      <c r="B35" s="203" t="s">
        <v>64</v>
      </c>
      <c r="C35" s="233">
        <v>41957.292000000001</v>
      </c>
      <c r="D35" s="205" t="s">
        <v>236</v>
      </c>
      <c r="E35" s="217">
        <f t="shared" si="1"/>
        <v>-10593.441820821021</v>
      </c>
      <c r="F35" s="218">
        <f t="shared" si="2"/>
        <v>-10593.5</v>
      </c>
      <c r="G35" s="228">
        <f t="shared" si="3"/>
        <v>2.7419049998570699E-2</v>
      </c>
      <c r="I35" s="229">
        <f>G35</f>
        <v>2.7419049998570699E-2</v>
      </c>
      <c r="J35" s="229"/>
      <c r="K35" s="229"/>
      <c r="L35" s="229"/>
      <c r="M35" s="229"/>
      <c r="P35" s="225">
        <f t="shared" si="4"/>
        <v>2.8175473204092284E-2</v>
      </c>
      <c r="Q35" s="230">
        <f t="shared" si="5"/>
        <v>26938.792000000001</v>
      </c>
      <c r="R35" s="229">
        <f t="shared" si="6"/>
        <v>5.7217606585154996E-7</v>
      </c>
      <c r="S35" s="220"/>
      <c r="T35" s="220">
        <f t="shared" si="7"/>
        <v>0</v>
      </c>
      <c r="X35" s="199"/>
      <c r="BB35" s="175">
        <v>856.5</v>
      </c>
      <c r="BC35" s="175">
        <v>8.3924998762086034E-5</v>
      </c>
      <c r="BD35" s="175">
        <v>0.5</v>
      </c>
      <c r="BH35" s="175">
        <v>856.5</v>
      </c>
      <c r="BI35" s="175">
        <v>8.3924998762086034E-5</v>
      </c>
      <c r="BJ35" s="175">
        <v>0.5</v>
      </c>
    </row>
    <row r="36" spans="1:62" s="175" customFormat="1" ht="12.95" customHeight="1" x14ac:dyDescent="0.2">
      <c r="A36" s="241" t="s">
        <v>31</v>
      </c>
      <c r="B36" s="238"/>
      <c r="C36" s="228">
        <v>45882.375</v>
      </c>
      <c r="D36" s="239"/>
      <c r="E36" s="175">
        <f t="shared" si="1"/>
        <v>-2264.9947600853302</v>
      </c>
      <c r="F36" s="224">
        <f t="shared" si="2"/>
        <v>-2265</v>
      </c>
      <c r="G36" s="228">
        <f t="shared" si="3"/>
        <v>2.4694999956409447E-3</v>
      </c>
      <c r="H36" s="229"/>
      <c r="I36" s="229"/>
      <c r="J36" s="229">
        <f t="shared" ref="J36:J42" si="11">G36</f>
        <v>2.4694999956409447E-3</v>
      </c>
      <c r="K36" s="229"/>
      <c r="L36" s="229"/>
      <c r="M36" s="229"/>
      <c r="P36" s="225">
        <f t="shared" si="4"/>
        <v>2.4171693856663047E-3</v>
      </c>
      <c r="Q36" s="230">
        <f t="shared" si="5"/>
        <v>30863.875</v>
      </c>
      <c r="R36" s="229">
        <f>(G36-X17)^2</f>
        <v>1.1751190356206762E-3</v>
      </c>
      <c r="S36" s="220"/>
      <c r="T36" s="220">
        <f t="shared" si="7"/>
        <v>0</v>
      </c>
      <c r="V36" s="199">
        <f t="shared" ref="V36:V42" si="12">+G36-P36</f>
        <v>5.233060997463998E-5</v>
      </c>
      <c r="X36" s="199"/>
      <c r="BB36" s="175">
        <v>882</v>
      </c>
      <c r="BC36" s="175">
        <v>9.8710000020219013E-4</v>
      </c>
      <c r="BD36" s="175">
        <v>0.5</v>
      </c>
      <c r="BH36" s="175">
        <v>882</v>
      </c>
      <c r="BI36" s="175">
        <v>9.8710000020219013E-4</v>
      </c>
      <c r="BJ36" s="175">
        <v>0.5</v>
      </c>
    </row>
    <row r="37" spans="1:62" s="175" customFormat="1" ht="12.95" customHeight="1" x14ac:dyDescent="0.2">
      <c r="A37" s="241" t="s">
        <v>32</v>
      </c>
      <c r="B37" s="238"/>
      <c r="C37" s="228">
        <v>46257.751799999998</v>
      </c>
      <c r="D37" s="239"/>
      <c r="E37" s="175">
        <f t="shared" si="1"/>
        <v>-1468.500569611306</v>
      </c>
      <c r="F37" s="224">
        <f t="shared" si="2"/>
        <v>-1468.5</v>
      </c>
      <c r="G37" s="228">
        <f t="shared" si="3"/>
        <v>-2.6845000684261322E-4</v>
      </c>
      <c r="H37" s="229"/>
      <c r="I37" s="229"/>
      <c r="J37" s="229">
        <f t="shared" si="11"/>
        <v>-2.6845000684261322E-4</v>
      </c>
      <c r="K37" s="229"/>
      <c r="L37" s="229"/>
      <c r="M37" s="229"/>
      <c r="P37" s="225">
        <f t="shared" si="4"/>
        <v>1.7229003331384158E-3</v>
      </c>
      <c r="Q37" s="230">
        <f t="shared" si="5"/>
        <v>31239.251799999998</v>
      </c>
      <c r="R37" s="229">
        <f t="shared" ref="R37:R42" si="13">(G37-P37)^2</f>
        <v>3.9654761765425589E-6</v>
      </c>
      <c r="S37" s="220">
        <v>1</v>
      </c>
      <c r="T37" s="220">
        <f t="shared" si="7"/>
        <v>3.9654761765425589E-6</v>
      </c>
      <c r="V37" s="199">
        <f t="shared" si="12"/>
        <v>-1.9913503399810288E-3</v>
      </c>
      <c r="X37" s="199"/>
      <c r="BB37" s="175">
        <v>884</v>
      </c>
      <c r="BC37" s="175">
        <v>1.1147999975946732E-3</v>
      </c>
      <c r="BD37" s="175">
        <v>0.5</v>
      </c>
      <c r="BH37" s="175">
        <v>884</v>
      </c>
      <c r="BI37" s="175">
        <v>1.1147999975946732E-3</v>
      </c>
      <c r="BJ37" s="175">
        <v>0.5</v>
      </c>
    </row>
    <row r="38" spans="1:62" s="175" customFormat="1" ht="12.95" customHeight="1" x14ac:dyDescent="0.2">
      <c r="A38" s="228" t="s">
        <v>194</v>
      </c>
      <c r="B38" s="238" t="s">
        <v>17</v>
      </c>
      <c r="C38" s="228">
        <v>46612.868000000002</v>
      </c>
      <c r="D38" s="239">
        <v>1.2999999999999999E-3</v>
      </c>
      <c r="E38" s="217">
        <f t="shared" si="1"/>
        <v>-714.99638330246557</v>
      </c>
      <c r="F38" s="218">
        <f t="shared" si="2"/>
        <v>-715</v>
      </c>
      <c r="G38" s="228">
        <f t="shared" si="3"/>
        <v>1.7044999985955656E-3</v>
      </c>
      <c r="H38" s="241"/>
      <c r="I38" s="229"/>
      <c r="J38" s="229">
        <f t="shared" si="11"/>
        <v>1.7044999985955656E-3</v>
      </c>
      <c r="K38" s="229"/>
      <c r="L38" s="229"/>
      <c r="M38" s="229"/>
      <c r="P38" s="225">
        <f t="shared" si="4"/>
        <v>1.3503999484681111E-3</v>
      </c>
      <c r="Q38" s="230">
        <f t="shared" si="5"/>
        <v>31594.368000000002</v>
      </c>
      <c r="R38" s="229">
        <f t="shared" si="13"/>
        <v>1.2538684550026576E-7</v>
      </c>
      <c r="S38" s="220">
        <v>1</v>
      </c>
      <c r="T38" s="220">
        <f t="shared" si="7"/>
        <v>1.2538684550026576E-7</v>
      </c>
      <c r="V38" s="199">
        <f t="shared" si="12"/>
        <v>3.5410005012745448E-4</v>
      </c>
      <c r="X38" s="199"/>
      <c r="BB38" s="175">
        <v>909.5</v>
      </c>
      <c r="BC38" s="175">
        <v>1.2179749974166043E-3</v>
      </c>
      <c r="BD38" s="175">
        <v>0.5</v>
      </c>
      <c r="BH38" s="175">
        <v>909.5</v>
      </c>
      <c r="BI38" s="175">
        <v>1.2179749974166043E-3</v>
      </c>
      <c r="BJ38" s="175">
        <v>0.5</v>
      </c>
    </row>
    <row r="39" spans="1:62" s="175" customFormat="1" ht="12.95" customHeight="1" x14ac:dyDescent="0.2">
      <c r="A39" s="228" t="s">
        <v>194</v>
      </c>
      <c r="B39" s="238" t="s">
        <v>17</v>
      </c>
      <c r="C39" s="228">
        <v>46613.809000000001</v>
      </c>
      <c r="D39" s="239">
        <v>1.8E-3</v>
      </c>
      <c r="E39" s="217">
        <f t="shared" si="1"/>
        <v>-712.99972012766307</v>
      </c>
      <c r="F39" s="218">
        <f t="shared" si="2"/>
        <v>-713</v>
      </c>
      <c r="G39" s="228">
        <f t="shared" si="3"/>
        <v>1.3190000026952475E-4</v>
      </c>
      <c r="H39" s="241"/>
      <c r="I39" s="229"/>
      <c r="J39" s="229">
        <f t="shared" si="11"/>
        <v>1.3190000026952475E-4</v>
      </c>
      <c r="K39" s="229"/>
      <c r="L39" s="229"/>
      <c r="M39" s="229"/>
      <c r="P39" s="225">
        <f t="shared" si="4"/>
        <v>1.3497790246615943E-3</v>
      </c>
      <c r="Q39" s="230">
        <f t="shared" si="5"/>
        <v>31595.309000000001</v>
      </c>
      <c r="R39" s="229">
        <f t="shared" si="13"/>
        <v>1.4832293180541793E-6</v>
      </c>
      <c r="S39" s="220">
        <v>1</v>
      </c>
      <c r="T39" s="220">
        <f t="shared" si="7"/>
        <v>1.4832293180541793E-6</v>
      </c>
      <c r="V39" s="199">
        <f t="shared" si="12"/>
        <v>-1.2178790243920696E-3</v>
      </c>
      <c r="X39" s="199"/>
      <c r="BB39" s="175">
        <v>1498</v>
      </c>
      <c r="BC39" s="175">
        <v>-3.8130000029923394E-4</v>
      </c>
      <c r="BD39" s="175">
        <v>0.5</v>
      </c>
      <c r="BH39" s="175">
        <v>1498</v>
      </c>
      <c r="BI39" s="175">
        <v>-3.8130000029923394E-4</v>
      </c>
      <c r="BJ39" s="175">
        <v>0.5</v>
      </c>
    </row>
    <row r="40" spans="1:62" s="175" customFormat="1" ht="12.95" customHeight="1" x14ac:dyDescent="0.2">
      <c r="A40" s="228" t="s">
        <v>194</v>
      </c>
      <c r="B40" s="238" t="s">
        <v>17</v>
      </c>
      <c r="C40" s="228">
        <v>46949.834999999999</v>
      </c>
      <c r="D40" s="239">
        <v>8.0000000000000004E-4</v>
      </c>
      <c r="E40" s="217">
        <f t="shared" si="1"/>
        <v>-2.1218524787198476E-3</v>
      </c>
      <c r="F40" s="218">
        <f t="shared" si="2"/>
        <v>0</v>
      </c>
      <c r="G40" s="228">
        <f t="shared" si="3"/>
        <v>-1.0000000038417056E-3</v>
      </c>
      <c r="H40" s="241"/>
      <c r="I40" s="229"/>
      <c r="J40" s="229">
        <f t="shared" si="11"/>
        <v>-1.0000000038417056E-3</v>
      </c>
      <c r="K40" s="229"/>
      <c r="L40" s="229"/>
      <c r="M40" s="229"/>
      <c r="P40" s="225">
        <f t="shared" si="4"/>
        <v>1.2525102430010688E-3</v>
      </c>
      <c r="Q40" s="230">
        <f t="shared" si="5"/>
        <v>31931.334999999999</v>
      </c>
      <c r="R40" s="229">
        <f t="shared" si="13"/>
        <v>5.0738024121316978E-6</v>
      </c>
      <c r="S40" s="220">
        <v>1</v>
      </c>
      <c r="T40" s="220">
        <f t="shared" si="7"/>
        <v>5.0738024121316978E-6</v>
      </c>
      <c r="V40" s="199">
        <f t="shared" si="12"/>
        <v>-2.2525102468427746E-3</v>
      </c>
      <c r="X40" s="199"/>
      <c r="BB40" s="175">
        <v>1506.5</v>
      </c>
      <c r="BC40" s="175">
        <v>-1.2135750002926216E-3</v>
      </c>
      <c r="BD40" s="175">
        <v>0.5</v>
      </c>
      <c r="BH40" s="175">
        <v>1506.5</v>
      </c>
      <c r="BI40" s="175">
        <v>-1.2135750002926216E-3</v>
      </c>
      <c r="BJ40" s="175">
        <v>0.5</v>
      </c>
    </row>
    <row r="41" spans="1:62" s="175" customFormat="1" ht="12.95" customHeight="1" x14ac:dyDescent="0.2">
      <c r="A41" s="241" t="s">
        <v>33</v>
      </c>
      <c r="B41" s="238"/>
      <c r="C41" s="228">
        <v>46990.838799999998</v>
      </c>
      <c r="D41" s="239"/>
      <c r="E41" s="175">
        <f t="shared" si="1"/>
        <v>87.00189248020736</v>
      </c>
      <c r="F41" s="224">
        <f t="shared" si="2"/>
        <v>87</v>
      </c>
      <c r="G41" s="228">
        <f t="shared" si="3"/>
        <v>8.9189999562222511E-4</v>
      </c>
      <c r="H41" s="229"/>
      <c r="I41" s="229"/>
      <c r="J41" s="229">
        <f t="shared" si="11"/>
        <v>8.9189999562222511E-4</v>
      </c>
      <c r="K41" s="229"/>
      <c r="L41" s="229"/>
      <c r="M41" s="229"/>
      <c r="P41" s="225">
        <f t="shared" si="4"/>
        <v>1.2575830626443568E-3</v>
      </c>
      <c r="Q41" s="230">
        <f t="shared" si="5"/>
        <v>31972.338799999998</v>
      </c>
      <c r="R41" s="229">
        <f t="shared" si="13"/>
        <v>1.3372410550671284E-7</v>
      </c>
      <c r="S41" s="220">
        <v>1</v>
      </c>
      <c r="T41" s="220">
        <f t="shared" si="7"/>
        <v>1.3372410550671284E-7</v>
      </c>
      <c r="V41" s="199">
        <f t="shared" si="12"/>
        <v>-3.6568306702213166E-4</v>
      </c>
      <c r="X41" s="199"/>
      <c r="BB41" s="175">
        <v>1583</v>
      </c>
      <c r="BC41" s="175">
        <v>3.559500037226826E-4</v>
      </c>
      <c r="BD41" s="175">
        <v>0.5</v>
      </c>
      <c r="BH41" s="175">
        <v>1583</v>
      </c>
      <c r="BI41" s="175">
        <v>3.559500037226826E-4</v>
      </c>
      <c r="BJ41" s="175">
        <v>0.5</v>
      </c>
    </row>
    <row r="42" spans="1:62" s="175" customFormat="1" ht="12.95" customHeight="1" x14ac:dyDescent="0.2">
      <c r="A42" s="241" t="s">
        <v>33</v>
      </c>
      <c r="B42" s="238"/>
      <c r="C42" s="228">
        <v>47004.7431</v>
      </c>
      <c r="D42" s="239"/>
      <c r="E42" s="175">
        <f t="shared" si="1"/>
        <v>116.50476578673455</v>
      </c>
      <c r="F42" s="224">
        <f t="shared" si="2"/>
        <v>116.5</v>
      </c>
      <c r="G42" s="228">
        <f t="shared" si="3"/>
        <v>2.2460499967564829E-3</v>
      </c>
      <c r="H42" s="229"/>
      <c r="I42" s="229"/>
      <c r="J42" s="229">
        <f t="shared" si="11"/>
        <v>2.2460499967564829E-3</v>
      </c>
      <c r="K42" s="229"/>
      <c r="L42" s="229"/>
      <c r="M42" s="229"/>
      <c r="P42" s="225">
        <f t="shared" si="4"/>
        <v>1.2601397051095191E-3</v>
      </c>
      <c r="Q42" s="230">
        <f t="shared" si="5"/>
        <v>31986.2431</v>
      </c>
      <c r="R42" s="229">
        <f t="shared" si="13"/>
        <v>9.7201910317540117E-7</v>
      </c>
      <c r="S42" s="220">
        <v>1</v>
      </c>
      <c r="T42" s="220">
        <f t="shared" si="7"/>
        <v>9.7201910317540117E-7</v>
      </c>
      <c r="V42" s="199">
        <f t="shared" si="12"/>
        <v>9.8591029164696374E-4</v>
      </c>
      <c r="X42" s="199"/>
      <c r="BB42" s="175">
        <v>5624</v>
      </c>
      <c r="BC42" s="175">
        <v>7.6638000027742237E-3</v>
      </c>
      <c r="BD42" s="175">
        <v>1</v>
      </c>
      <c r="BH42" s="175">
        <v>5624</v>
      </c>
      <c r="BI42" s="175">
        <v>7.6638000027742237E-3</v>
      </c>
      <c r="BJ42" s="175">
        <v>1</v>
      </c>
    </row>
    <row r="43" spans="1:62" s="175" customFormat="1" ht="12.95" customHeight="1" x14ac:dyDescent="0.2">
      <c r="A43" s="241" t="s">
        <v>34</v>
      </c>
      <c r="B43" s="238"/>
      <c r="C43" s="228">
        <v>47304.468999999997</v>
      </c>
      <c r="D43" s="239"/>
      <c r="E43" s="175">
        <f t="shared" si="1"/>
        <v>752.47890719504119</v>
      </c>
      <c r="F43" s="224">
        <f t="shared" si="2"/>
        <v>752.5</v>
      </c>
      <c r="G43" s="178"/>
      <c r="H43" s="229"/>
      <c r="I43" s="229"/>
      <c r="J43" s="229"/>
      <c r="K43" s="229"/>
      <c r="L43" s="229"/>
      <c r="M43" s="229"/>
      <c r="P43" s="225">
        <f t="shared" si="4"/>
        <v>1.4182855376244912E-3</v>
      </c>
      <c r="Q43" s="230">
        <f t="shared" si="5"/>
        <v>32285.968999999997</v>
      </c>
      <c r="R43" s="229"/>
      <c r="S43" s="220"/>
      <c r="T43" s="220">
        <f t="shared" si="7"/>
        <v>0</v>
      </c>
      <c r="U43" s="241">
        <f>C43-(C$7+F43*C$8)</f>
        <v>-9.9407500092638656E-3</v>
      </c>
      <c r="V43" s="204"/>
      <c r="X43" s="199"/>
      <c r="BB43" s="175">
        <v>5624</v>
      </c>
      <c r="BC43" s="175">
        <v>1.1663800003589131E-2</v>
      </c>
      <c r="BD43" s="175">
        <v>1</v>
      </c>
      <c r="BH43" s="175">
        <v>5624</v>
      </c>
      <c r="BI43" s="175">
        <v>1.1663800003589131E-2</v>
      </c>
      <c r="BJ43" s="175">
        <v>1</v>
      </c>
    </row>
    <row r="44" spans="1:62" s="175" customFormat="1" ht="12.95" customHeight="1" x14ac:dyDescent="0.2">
      <c r="A44" s="241" t="s">
        <v>33</v>
      </c>
      <c r="B44" s="238"/>
      <c r="C44" s="228">
        <v>47309.898999999998</v>
      </c>
      <c r="D44" s="239"/>
      <c r="E44" s="175">
        <f t="shared" si="1"/>
        <v>764.00056611022785</v>
      </c>
      <c r="F44" s="224">
        <f t="shared" si="2"/>
        <v>764</v>
      </c>
      <c r="G44" s="228">
        <f t="shared" ref="G44:G52" si="14">C44-(C$7+F44*C$8)</f>
        <v>2.6679999427869916E-4</v>
      </c>
      <c r="H44" s="229"/>
      <c r="I44" s="229"/>
      <c r="J44" s="229">
        <f t="shared" ref="J44:J64" si="15">G44</f>
        <v>2.6679999427869916E-4</v>
      </c>
      <c r="K44" s="229"/>
      <c r="L44" s="229"/>
      <c r="M44" s="229"/>
      <c r="P44" s="225">
        <f t="shared" si="4"/>
        <v>1.4229576042677087E-3</v>
      </c>
      <c r="Q44" s="230">
        <f t="shared" si="5"/>
        <v>32291.398999999998</v>
      </c>
      <c r="R44" s="229">
        <f t="shared" ref="R44:R64" si="16">(G44-P44)^2</f>
        <v>1.3367004191354986E-6</v>
      </c>
      <c r="S44" s="220">
        <v>1</v>
      </c>
      <c r="T44" s="220">
        <f t="shared" si="7"/>
        <v>1.3367004191354986E-6</v>
      </c>
      <c r="U44" s="204"/>
      <c r="V44" s="199">
        <f>+G44-P44</f>
        <v>-1.1561576099890095E-3</v>
      </c>
      <c r="X44" s="199"/>
      <c r="BB44" s="175">
        <v>7214</v>
      </c>
      <c r="BC44" s="175">
        <v>1.4065299998037517E-2</v>
      </c>
      <c r="BD44" s="175">
        <v>0.5</v>
      </c>
      <c r="BH44" s="175">
        <v>7214</v>
      </c>
      <c r="BI44" s="175">
        <v>1.4065299998037517E-2</v>
      </c>
      <c r="BJ44" s="175">
        <v>0.5</v>
      </c>
    </row>
    <row r="45" spans="1:62" s="175" customFormat="1" ht="12.95" customHeight="1" x14ac:dyDescent="0.2">
      <c r="A45" s="241" t="s">
        <v>83</v>
      </c>
      <c r="B45" s="238"/>
      <c r="C45" s="228">
        <v>47322.3914</v>
      </c>
      <c r="D45" s="239"/>
      <c r="E45" s="175">
        <f t="shared" si="1"/>
        <v>790.50759591356143</v>
      </c>
      <c r="F45" s="224">
        <f t="shared" si="2"/>
        <v>790.5</v>
      </c>
      <c r="G45" s="228">
        <f t="shared" si="14"/>
        <v>3.5798499957309105E-3</v>
      </c>
      <c r="H45" s="229"/>
      <c r="I45" s="229"/>
      <c r="J45" s="229">
        <f t="shared" si="15"/>
        <v>3.5798499957309105E-3</v>
      </c>
      <c r="K45" s="229"/>
      <c r="L45" s="229"/>
      <c r="M45" s="229"/>
      <c r="P45" s="225">
        <f t="shared" si="4"/>
        <v>1.433968787425717E-3</v>
      </c>
      <c r="Q45" s="230">
        <f t="shared" si="5"/>
        <v>32303.8914</v>
      </c>
      <c r="R45" s="229">
        <f t="shared" si="16"/>
        <v>4.6048061601573574E-6</v>
      </c>
      <c r="S45" s="220">
        <v>1</v>
      </c>
      <c r="T45" s="220">
        <f t="shared" si="7"/>
        <v>4.6048061601573574E-6</v>
      </c>
      <c r="U45" s="204"/>
      <c r="V45" s="204"/>
      <c r="X45" s="199"/>
      <c r="BB45" s="175">
        <v>8484.5</v>
      </c>
      <c r="BC45" s="175">
        <v>1.9731724998564459E-2</v>
      </c>
      <c r="BD45" s="175">
        <v>1</v>
      </c>
      <c r="BH45" s="175">
        <v>8484.5</v>
      </c>
      <c r="BI45" s="175">
        <v>1.9731724998564459E-2</v>
      </c>
      <c r="BJ45" s="175">
        <v>1</v>
      </c>
    </row>
    <row r="46" spans="1:62" s="175" customFormat="1" ht="12.95" customHeight="1" x14ac:dyDescent="0.2">
      <c r="A46" s="231" t="s">
        <v>324</v>
      </c>
      <c r="B46" s="203" t="s">
        <v>60</v>
      </c>
      <c r="C46" s="233">
        <v>47322.392099999997</v>
      </c>
      <c r="D46" s="205" t="s">
        <v>236</v>
      </c>
      <c r="E46" s="217">
        <f t="shared" si="1"/>
        <v>790.50908121028419</v>
      </c>
      <c r="F46" s="218">
        <f t="shared" si="2"/>
        <v>790.5</v>
      </c>
      <c r="G46" s="228">
        <f t="shared" si="14"/>
        <v>4.2798499925993383E-3</v>
      </c>
      <c r="H46" s="229"/>
      <c r="I46" s="229">
        <f>G46</f>
        <v>4.2798499925993383E-3</v>
      </c>
      <c r="K46" s="229"/>
      <c r="L46" s="229"/>
      <c r="M46" s="229"/>
      <c r="P46" s="225">
        <f t="shared" si="4"/>
        <v>1.433968787425717E-3</v>
      </c>
      <c r="Q46" s="230">
        <f t="shared" si="5"/>
        <v>32303.892099999997</v>
      </c>
      <c r="R46" s="229">
        <f t="shared" si="16"/>
        <v>8.0990398339604641E-6</v>
      </c>
      <c r="S46" s="220">
        <v>1</v>
      </c>
      <c r="T46" s="220">
        <f t="shared" si="7"/>
        <v>8.0990398339604641E-6</v>
      </c>
      <c r="X46" s="199"/>
      <c r="BB46" s="175">
        <v>8638</v>
      </c>
      <c r="BC46" s="175">
        <v>1.8947700002172496E-2</v>
      </c>
      <c r="BD46" s="175">
        <v>0.5</v>
      </c>
      <c r="BH46" s="175">
        <v>8638</v>
      </c>
      <c r="BI46" s="175">
        <v>1.8947700002172496E-2</v>
      </c>
      <c r="BJ46" s="175">
        <v>0.5</v>
      </c>
    </row>
    <row r="47" spans="1:62" s="175" customFormat="1" ht="12.95" customHeight="1" x14ac:dyDescent="0.2">
      <c r="A47" s="241" t="s">
        <v>83</v>
      </c>
      <c r="B47" s="238"/>
      <c r="C47" s="228">
        <v>47322.392800000001</v>
      </c>
      <c r="D47" s="239"/>
      <c r="E47" s="175">
        <f t="shared" si="1"/>
        <v>790.5105665070223</v>
      </c>
      <c r="F47" s="224">
        <f t="shared" si="2"/>
        <v>790.5</v>
      </c>
      <c r="G47" s="228">
        <f t="shared" si="14"/>
        <v>4.9798499967437238E-3</v>
      </c>
      <c r="H47" s="229"/>
      <c r="I47" s="229"/>
      <c r="J47" s="229">
        <f t="shared" si="15"/>
        <v>4.9798499967437238E-3</v>
      </c>
      <c r="K47" s="229"/>
      <c r="L47" s="229"/>
      <c r="M47" s="229"/>
      <c r="P47" s="225">
        <f t="shared" si="4"/>
        <v>1.433968787425717E-3</v>
      </c>
      <c r="Q47" s="230">
        <f t="shared" si="5"/>
        <v>32303.892800000001</v>
      </c>
      <c r="R47" s="229">
        <f t="shared" si="16"/>
        <v>1.2573273550594531E-5</v>
      </c>
      <c r="S47" s="220"/>
      <c r="T47" s="220">
        <f t="shared" si="7"/>
        <v>0</v>
      </c>
      <c r="U47" s="204">
        <v>4.069825001352001E-3</v>
      </c>
      <c r="V47" s="204"/>
      <c r="X47" s="199"/>
      <c r="BB47" s="175">
        <v>9175</v>
      </c>
      <c r="BC47" s="175">
        <v>2.3045149995596148E-2</v>
      </c>
      <c r="BD47" s="175">
        <v>1</v>
      </c>
      <c r="BH47" s="175">
        <v>9175</v>
      </c>
      <c r="BI47" s="175">
        <v>2.3045149995596148E-2</v>
      </c>
      <c r="BJ47" s="175">
        <v>1</v>
      </c>
    </row>
    <row r="48" spans="1:62" s="175" customFormat="1" ht="12.95" customHeight="1" x14ac:dyDescent="0.2">
      <c r="A48" s="241" t="s">
        <v>44</v>
      </c>
      <c r="B48" s="238"/>
      <c r="C48" s="228">
        <v>47323.803</v>
      </c>
      <c r="D48" s="239"/>
      <c r="E48" s="175">
        <f t="shared" si="1"/>
        <v>793.50280286101452</v>
      </c>
      <c r="F48" s="224">
        <f t="shared" si="2"/>
        <v>793.5</v>
      </c>
      <c r="G48" s="228">
        <f t="shared" si="14"/>
        <v>1.3209499957156368E-3</v>
      </c>
      <c r="H48" s="229"/>
      <c r="I48" s="229"/>
      <c r="J48" s="175">
        <f t="shared" si="15"/>
        <v>1.3209499957156368E-3</v>
      </c>
      <c r="K48" s="229"/>
      <c r="L48" s="229"/>
      <c r="M48" s="229"/>
      <c r="P48" s="225">
        <f t="shared" si="4"/>
        <v>1.4352368784825975E-3</v>
      </c>
      <c r="Q48" s="230">
        <f t="shared" si="5"/>
        <v>32305.303</v>
      </c>
      <c r="R48" s="229">
        <f t="shared" si="16"/>
        <v>1.3061491572589036E-8</v>
      </c>
      <c r="S48" s="220">
        <v>1</v>
      </c>
      <c r="T48" s="220">
        <f t="shared" si="7"/>
        <v>1.3061491572589036E-8</v>
      </c>
      <c r="U48" s="204"/>
      <c r="V48" s="199">
        <f t="shared" ref="V48:V53" si="17">+G48-P48</f>
        <v>-1.1428688276696078E-4</v>
      </c>
      <c r="BB48" s="175">
        <v>9194</v>
      </c>
      <c r="BC48" s="175">
        <v>2.2308300001895986E-2</v>
      </c>
      <c r="BD48" s="175">
        <v>1</v>
      </c>
      <c r="BH48" s="175">
        <v>9194</v>
      </c>
      <c r="BI48" s="175">
        <v>2.2308300001895986E-2</v>
      </c>
      <c r="BJ48" s="175">
        <v>1</v>
      </c>
    </row>
    <row r="49" spans="1:62" s="175" customFormat="1" ht="12.95" customHeight="1" x14ac:dyDescent="0.2">
      <c r="A49" s="241" t="s">
        <v>33</v>
      </c>
      <c r="B49" s="238"/>
      <c r="C49" s="228">
        <v>47323.803099999997</v>
      </c>
      <c r="D49" s="239"/>
      <c r="E49" s="175">
        <f t="shared" si="1"/>
        <v>793.50301504625611</v>
      </c>
      <c r="F49" s="224">
        <f t="shared" si="2"/>
        <v>793.5</v>
      </c>
      <c r="G49" s="228">
        <f t="shared" si="14"/>
        <v>1.4209499931894243E-3</v>
      </c>
      <c r="H49" s="229"/>
      <c r="I49" s="229"/>
      <c r="J49" s="229">
        <f t="shared" si="15"/>
        <v>1.4209499931894243E-3</v>
      </c>
      <c r="K49" s="229"/>
      <c r="L49" s="229"/>
      <c r="M49" s="229"/>
      <c r="P49" s="225">
        <f t="shared" si="4"/>
        <v>1.4352368784825975E-3</v>
      </c>
      <c r="Q49" s="230">
        <f t="shared" si="5"/>
        <v>32305.303099999997</v>
      </c>
      <c r="R49" s="229">
        <f t="shared" si="16"/>
        <v>2.0411509138029042E-10</v>
      </c>
      <c r="S49" s="220">
        <v>1</v>
      </c>
      <c r="T49" s="220">
        <f t="shared" si="7"/>
        <v>2.0411509138029042E-10</v>
      </c>
      <c r="U49" s="204"/>
      <c r="V49" s="199">
        <f t="shared" si="17"/>
        <v>-1.4286885293173261E-5</v>
      </c>
      <c r="BB49" s="175">
        <v>9200</v>
      </c>
      <c r="BC49" s="175">
        <v>2.2391400001652073E-2</v>
      </c>
      <c r="BD49" s="175">
        <v>1</v>
      </c>
      <c r="BH49" s="175">
        <v>9200</v>
      </c>
      <c r="BI49" s="175">
        <v>2.2391400001652073E-2</v>
      </c>
      <c r="BJ49" s="175">
        <v>1</v>
      </c>
    </row>
    <row r="50" spans="1:62" s="175" customFormat="1" ht="12.95" customHeight="1" x14ac:dyDescent="0.2">
      <c r="A50" s="241" t="s">
        <v>44</v>
      </c>
      <c r="B50" s="238"/>
      <c r="C50" s="228">
        <v>47326.865599999997</v>
      </c>
      <c r="D50" s="239"/>
      <c r="E50" s="175">
        <f t="shared" si="1"/>
        <v>800.00118823737159</v>
      </c>
      <c r="F50" s="224">
        <f t="shared" si="2"/>
        <v>800</v>
      </c>
      <c r="G50" s="228">
        <f t="shared" si="14"/>
        <v>5.5999999312916771E-4</v>
      </c>
      <c r="H50" s="229"/>
      <c r="I50" s="229"/>
      <c r="J50" s="229">
        <f t="shared" si="15"/>
        <v>5.5999999312916771E-4</v>
      </c>
      <c r="K50" s="229"/>
      <c r="L50" s="229"/>
      <c r="M50" s="229"/>
      <c r="P50" s="225">
        <f t="shared" si="4"/>
        <v>1.4379994398373949E-3</v>
      </c>
      <c r="Q50" s="230">
        <f t="shared" si="5"/>
        <v>32308.365599999997</v>
      </c>
      <c r="R50" s="229">
        <f t="shared" si="16"/>
        <v>7.7088302841995317E-7</v>
      </c>
      <c r="S50" s="220">
        <v>1</v>
      </c>
      <c r="T50" s="220">
        <f t="shared" si="7"/>
        <v>7.7088302841995317E-7</v>
      </c>
      <c r="U50" s="204"/>
      <c r="V50" s="199">
        <f t="shared" si="17"/>
        <v>-8.7799944670822723E-4</v>
      </c>
      <c r="BB50" s="175">
        <v>9242.5</v>
      </c>
      <c r="BC50" s="175">
        <v>2.2730025004420895E-2</v>
      </c>
      <c r="BD50" s="175">
        <v>1</v>
      </c>
      <c r="BH50" s="175">
        <v>9242.5</v>
      </c>
      <c r="BI50" s="175">
        <v>2.2730025004420895E-2</v>
      </c>
      <c r="BJ50" s="175">
        <v>1</v>
      </c>
    </row>
    <row r="51" spans="1:62" s="175" customFormat="1" ht="12.95" customHeight="1" x14ac:dyDescent="0.2">
      <c r="A51" s="241" t="s">
        <v>33</v>
      </c>
      <c r="B51" s="238"/>
      <c r="C51" s="228">
        <v>47327.808700000001</v>
      </c>
      <c r="D51" s="239"/>
      <c r="E51" s="175">
        <f t="shared" si="1"/>
        <v>802.0023073023732</v>
      </c>
      <c r="F51" s="224">
        <f t="shared" si="2"/>
        <v>802</v>
      </c>
      <c r="G51" s="228">
        <f t="shared" si="14"/>
        <v>1.0873999999603257E-3</v>
      </c>
      <c r="H51" s="229"/>
      <c r="I51" s="229"/>
      <c r="J51" s="229">
        <f t="shared" si="15"/>
        <v>1.0873999999603257E-3</v>
      </c>
      <c r="K51" s="229"/>
      <c r="L51" s="229"/>
      <c r="M51" s="229"/>
      <c r="P51" s="225">
        <f t="shared" si="4"/>
        <v>1.4388535967309593E-3</v>
      </c>
      <c r="Q51" s="230">
        <f t="shared" si="5"/>
        <v>32309.308700000001</v>
      </c>
      <c r="R51" s="229">
        <f t="shared" si="16"/>
        <v>1.2351963068301512E-7</v>
      </c>
      <c r="S51" s="220">
        <v>1</v>
      </c>
      <c r="T51" s="220">
        <f t="shared" si="7"/>
        <v>1.2351963068301512E-7</v>
      </c>
      <c r="U51" s="204"/>
      <c r="V51" s="199">
        <f t="shared" si="17"/>
        <v>-3.5145359677063361E-4</v>
      </c>
      <c r="BB51" s="175">
        <v>9249</v>
      </c>
      <c r="BC51" s="175">
        <v>2.2070049999456387E-2</v>
      </c>
      <c r="BD51" s="175">
        <v>1</v>
      </c>
      <c r="BH51" s="175">
        <v>9249</v>
      </c>
      <c r="BI51" s="175">
        <v>2.2070049999456387E-2</v>
      </c>
      <c r="BJ51" s="175">
        <v>1</v>
      </c>
    </row>
    <row r="52" spans="1:62" s="175" customFormat="1" ht="12.95" customHeight="1" x14ac:dyDescent="0.2">
      <c r="A52" s="241" t="s">
        <v>44</v>
      </c>
      <c r="B52" s="238"/>
      <c r="C52" s="228">
        <v>47328.750699999997</v>
      </c>
      <c r="D52" s="239"/>
      <c r="E52" s="175">
        <f t="shared" si="1"/>
        <v>804.00109232963894</v>
      </c>
      <c r="F52" s="224">
        <f t="shared" si="2"/>
        <v>804</v>
      </c>
      <c r="G52" s="228">
        <f t="shared" si="14"/>
        <v>5.1479999092407525E-4</v>
      </c>
      <c r="H52" s="229"/>
      <c r="I52" s="229"/>
      <c r="J52" s="229">
        <f t="shared" si="15"/>
        <v>5.1479999092407525E-4</v>
      </c>
      <c r="K52" s="229"/>
      <c r="L52" s="229"/>
      <c r="M52" s="229"/>
      <c r="P52" s="225">
        <f t="shared" si="4"/>
        <v>1.4397097009257781E-3</v>
      </c>
      <c r="Q52" s="230">
        <f t="shared" si="5"/>
        <v>32310.250699999997</v>
      </c>
      <c r="R52" s="229">
        <f t="shared" si="16"/>
        <v>8.554579716554341E-7</v>
      </c>
      <c r="S52" s="220">
        <v>1</v>
      </c>
      <c r="T52" s="220">
        <f t="shared" si="7"/>
        <v>8.554579716554341E-7</v>
      </c>
      <c r="U52" s="204"/>
      <c r="V52" s="199">
        <f t="shared" si="17"/>
        <v>-9.2490971000170285E-4</v>
      </c>
      <c r="BB52" s="175">
        <v>10001.5</v>
      </c>
      <c r="BC52" s="175">
        <v>1.9770549995882902E-2</v>
      </c>
      <c r="BD52" s="175">
        <v>0.5</v>
      </c>
      <c r="BH52" s="175">
        <v>10001.5</v>
      </c>
      <c r="BI52" s="175">
        <v>1.9770549995882902E-2</v>
      </c>
      <c r="BJ52" s="175">
        <v>0.5</v>
      </c>
    </row>
    <row r="53" spans="1:62" s="175" customFormat="1" ht="12.95" customHeight="1" x14ac:dyDescent="0.2">
      <c r="A53" s="242" t="s">
        <v>45</v>
      </c>
      <c r="B53" s="238"/>
      <c r="C53" s="228">
        <v>47353.493699999999</v>
      </c>
      <c r="D53" s="239"/>
      <c r="E53" s="175">
        <f t="shared" si="1"/>
        <v>856.50208800891539</v>
      </c>
      <c r="F53" s="224">
        <f t="shared" si="2"/>
        <v>856.5</v>
      </c>
      <c r="G53" s="243">
        <v>8.3924998762086034E-5</v>
      </c>
      <c r="H53" s="229"/>
      <c r="I53" s="229"/>
      <c r="J53" s="229">
        <f t="shared" si="15"/>
        <v>8.3924998762086034E-5</v>
      </c>
      <c r="K53" s="229"/>
      <c r="L53" s="229"/>
      <c r="P53" s="225">
        <f t="shared" si="4"/>
        <v>1.4628789005039775E-3</v>
      </c>
      <c r="Q53" s="230">
        <f t="shared" si="5"/>
        <v>32334.993699999999</v>
      </c>
      <c r="R53" s="229">
        <f t="shared" si="16"/>
        <v>1.9015138631291862E-6</v>
      </c>
      <c r="S53" s="220">
        <v>1</v>
      </c>
      <c r="T53" s="220">
        <f t="shared" si="7"/>
        <v>1.9015138631291862E-6</v>
      </c>
      <c r="U53" s="204"/>
      <c r="V53" s="199">
        <f t="shared" si="17"/>
        <v>-1.3789539017418915E-3</v>
      </c>
      <c r="BB53" s="175">
        <v>10030</v>
      </c>
      <c r="BC53" s="175">
        <v>2.5735961840837263E-2</v>
      </c>
      <c r="BD53" s="175">
        <v>1</v>
      </c>
      <c r="BH53" s="175">
        <v>10030</v>
      </c>
      <c r="BI53" s="175">
        <v>2.5735961840837263E-2</v>
      </c>
      <c r="BJ53" s="175">
        <v>1</v>
      </c>
    </row>
    <row r="54" spans="1:62" s="175" customFormat="1" ht="12.95" customHeight="1" x14ac:dyDescent="0.2">
      <c r="A54" s="234" t="s">
        <v>841</v>
      </c>
      <c r="B54" s="235" t="s">
        <v>64</v>
      </c>
      <c r="C54" s="236">
        <v>47365.5121</v>
      </c>
      <c r="D54" s="237" t="s">
        <v>92</v>
      </c>
      <c r="E54" s="217">
        <f t="shared" si="1"/>
        <v>882.00335974119548</v>
      </c>
      <c r="F54" s="218">
        <f t="shared" si="2"/>
        <v>882</v>
      </c>
      <c r="G54" s="228">
        <f>C54-(C$7+F54*C$8)</f>
        <v>1.5834000005270354E-3</v>
      </c>
      <c r="H54" s="229"/>
      <c r="I54" s="229"/>
      <c r="J54" s="229">
        <f t="shared" si="15"/>
        <v>1.5834000005270354E-3</v>
      </c>
      <c r="K54" s="229"/>
      <c r="M54" s="229"/>
      <c r="P54" s="225">
        <f t="shared" si="4"/>
        <v>1.4746166595020079E-3</v>
      </c>
      <c r="Q54" s="230">
        <f t="shared" si="5"/>
        <v>32347.0121</v>
      </c>
      <c r="R54" s="229">
        <f t="shared" si="16"/>
        <v>1.1833815284567441E-8</v>
      </c>
      <c r="S54" s="220">
        <v>1</v>
      </c>
      <c r="T54" s="220">
        <f t="shared" si="7"/>
        <v>1.1833815284567441E-8</v>
      </c>
      <c r="BB54" s="175">
        <v>10681.5</v>
      </c>
      <c r="BC54" s="175">
        <v>3.2860175000678282E-2</v>
      </c>
      <c r="BD54" s="175">
        <v>1</v>
      </c>
      <c r="BH54" s="175">
        <v>10089</v>
      </c>
      <c r="BI54" s="175">
        <v>2.8219299994816538E-2</v>
      </c>
      <c r="BJ54" s="175">
        <v>1</v>
      </c>
    </row>
    <row r="55" spans="1:62" s="175" customFormat="1" ht="12.95" customHeight="1" x14ac:dyDescent="0.2">
      <c r="A55" s="231" t="s">
        <v>339</v>
      </c>
      <c r="B55" s="203" t="s">
        <v>64</v>
      </c>
      <c r="C55" s="233">
        <v>47365.512300000002</v>
      </c>
      <c r="D55" s="205" t="s">
        <v>236</v>
      </c>
      <c r="E55" s="217">
        <f t="shared" si="1"/>
        <v>882.00378411169424</v>
      </c>
      <c r="F55" s="218">
        <f t="shared" si="2"/>
        <v>882</v>
      </c>
      <c r="G55" s="228">
        <f>C55-(C$7+F55*C$8)</f>
        <v>1.7834000027505681E-3</v>
      </c>
      <c r="H55" s="229"/>
      <c r="I55" s="229"/>
      <c r="J55" s="229">
        <f t="shared" si="15"/>
        <v>1.7834000027505681E-3</v>
      </c>
      <c r="K55" s="229"/>
      <c r="L55" s="229"/>
      <c r="P55" s="225">
        <f t="shared" si="4"/>
        <v>1.4746166595020079E-3</v>
      </c>
      <c r="Q55" s="230">
        <f t="shared" si="5"/>
        <v>32347.012300000002</v>
      </c>
      <c r="R55" s="229">
        <f t="shared" si="16"/>
        <v>9.5347153067758148E-8</v>
      </c>
      <c r="S55" s="220">
        <v>1</v>
      </c>
      <c r="T55" s="220">
        <f t="shared" si="7"/>
        <v>9.5347153067758148E-8</v>
      </c>
      <c r="BB55" s="175">
        <v>10784.5</v>
      </c>
      <c r="BC55" s="175">
        <v>3.0897649994585663E-2</v>
      </c>
      <c r="BD55" s="175">
        <v>1</v>
      </c>
      <c r="BH55" s="175">
        <v>10681.5</v>
      </c>
      <c r="BI55" s="175">
        <v>3.2860175000678282E-2</v>
      </c>
      <c r="BJ55" s="175">
        <v>1</v>
      </c>
    </row>
    <row r="56" spans="1:62" s="175" customFormat="1" ht="12.95" customHeight="1" x14ac:dyDescent="0.2">
      <c r="A56" s="242" t="s">
        <v>45</v>
      </c>
      <c r="B56" s="238"/>
      <c r="C56" s="228">
        <v>47365.5124</v>
      </c>
      <c r="D56" s="239"/>
      <c r="E56" s="175">
        <f t="shared" si="1"/>
        <v>882.00399629693595</v>
      </c>
      <c r="F56" s="224">
        <f t="shared" si="2"/>
        <v>882</v>
      </c>
      <c r="G56" s="243">
        <v>9.8710000020219013E-4</v>
      </c>
      <c r="H56" s="229"/>
      <c r="I56" s="229"/>
      <c r="J56" s="229">
        <f t="shared" si="15"/>
        <v>9.8710000020219013E-4</v>
      </c>
      <c r="K56" s="229"/>
      <c r="L56" s="229"/>
      <c r="P56" s="225">
        <f t="shared" si="4"/>
        <v>1.4746166595020079E-3</v>
      </c>
      <c r="Q56" s="230">
        <f t="shared" si="5"/>
        <v>32347.0124</v>
      </c>
      <c r="R56" s="229">
        <f t="shared" si="16"/>
        <v>2.3767249309485459E-7</v>
      </c>
      <c r="S56" s="220">
        <v>1</v>
      </c>
      <c r="T56" s="220">
        <f t="shared" si="7"/>
        <v>2.3767249309485459E-7</v>
      </c>
      <c r="U56" s="204"/>
      <c r="V56" s="199">
        <f>+G56-P56</f>
        <v>-4.8751665929981777E-4</v>
      </c>
      <c r="BB56" s="175">
        <v>10929</v>
      </c>
      <c r="BC56" s="175">
        <v>3.3827300001576077E-2</v>
      </c>
      <c r="BD56" s="175">
        <v>0.5</v>
      </c>
      <c r="BH56" s="175">
        <v>10784.5</v>
      </c>
      <c r="BI56" s="175">
        <v>3.0897649994585663E-2</v>
      </c>
      <c r="BJ56" s="175">
        <v>1</v>
      </c>
    </row>
    <row r="57" spans="1:62" s="175" customFormat="1" ht="12.95" customHeight="1" x14ac:dyDescent="0.2">
      <c r="A57" s="234" t="s">
        <v>841</v>
      </c>
      <c r="B57" s="235" t="s">
        <v>64</v>
      </c>
      <c r="C57" s="236">
        <v>47365.512799999997</v>
      </c>
      <c r="D57" s="237" t="s">
        <v>160</v>
      </c>
      <c r="E57" s="217">
        <f t="shared" si="1"/>
        <v>882.00484503791824</v>
      </c>
      <c r="F57" s="218">
        <f t="shared" si="2"/>
        <v>882</v>
      </c>
      <c r="G57" s="228">
        <f>C57-(C$7+F57*C$8)</f>
        <v>2.2833999973954633E-3</v>
      </c>
      <c r="H57" s="229"/>
      <c r="I57" s="229"/>
      <c r="J57" s="229">
        <f t="shared" si="15"/>
        <v>2.2833999973954633E-3</v>
      </c>
      <c r="K57" s="229"/>
      <c r="L57" s="229"/>
      <c r="P57" s="225">
        <f t="shared" si="4"/>
        <v>1.4746166595020079E-3</v>
      </c>
      <c r="Q57" s="230">
        <f t="shared" si="5"/>
        <v>32347.012799999997</v>
      </c>
      <c r="R57" s="229">
        <f t="shared" si="16"/>
        <v>6.5413048765407923E-7</v>
      </c>
      <c r="S57" s="220">
        <v>1</v>
      </c>
      <c r="T57" s="220">
        <f t="shared" si="7"/>
        <v>6.5413048765407923E-7</v>
      </c>
      <c r="BB57" s="175">
        <v>11493.5</v>
      </c>
      <c r="BC57" s="175">
        <v>3.4110949993191753E-2</v>
      </c>
      <c r="BD57" s="175">
        <v>1</v>
      </c>
      <c r="BH57" s="175">
        <v>10929</v>
      </c>
      <c r="BI57" s="175">
        <v>3.3827300001576077E-2</v>
      </c>
      <c r="BJ57" s="175">
        <v>0.5</v>
      </c>
    </row>
    <row r="58" spans="1:62" s="175" customFormat="1" ht="12.95" customHeight="1" x14ac:dyDescent="0.2">
      <c r="A58" s="234" t="s">
        <v>841</v>
      </c>
      <c r="B58" s="235" t="s">
        <v>64</v>
      </c>
      <c r="C58" s="236">
        <v>47366.453699999998</v>
      </c>
      <c r="D58" s="237" t="s">
        <v>92</v>
      </c>
      <c r="E58" s="217">
        <f t="shared" si="1"/>
        <v>884.00129602747893</v>
      </c>
      <c r="F58" s="218">
        <f t="shared" si="2"/>
        <v>884</v>
      </c>
      <c r="G58" s="228">
        <f>C58-(C$7+F58*C$8)</f>
        <v>6.1079999431967735E-4</v>
      </c>
      <c r="H58" s="229"/>
      <c r="I58" s="229"/>
      <c r="J58" s="229">
        <f t="shared" si="15"/>
        <v>6.1079999431967735E-4</v>
      </c>
      <c r="K58" s="229"/>
      <c r="L58" s="229"/>
      <c r="M58" s="229"/>
      <c r="P58" s="225">
        <f t="shared" si="4"/>
        <v>1.4755506557469957E-3</v>
      </c>
      <c r="Q58" s="230">
        <f t="shared" si="5"/>
        <v>32347.953699999998</v>
      </c>
      <c r="R58" s="229">
        <f t="shared" si="16"/>
        <v>7.4779370643898456E-7</v>
      </c>
      <c r="S58" s="220">
        <v>1</v>
      </c>
      <c r="T58" s="220">
        <f t="shared" si="7"/>
        <v>7.4779370643898456E-7</v>
      </c>
      <c r="BB58" s="175">
        <v>12205</v>
      </c>
      <c r="BC58" s="175">
        <v>3.7376154534285888E-2</v>
      </c>
      <c r="BD58" s="175">
        <v>1</v>
      </c>
      <c r="BH58" s="175">
        <v>11493.5</v>
      </c>
      <c r="BI58" s="175">
        <v>3.4110949993191753E-2</v>
      </c>
      <c r="BJ58" s="175">
        <v>1</v>
      </c>
    </row>
    <row r="59" spans="1:62" s="175" customFormat="1" ht="12.95" customHeight="1" x14ac:dyDescent="0.2">
      <c r="A59" s="242" t="s">
        <v>45</v>
      </c>
      <c r="B59" s="238"/>
      <c r="C59" s="228">
        <v>47366.455099999999</v>
      </c>
      <c r="D59" s="239"/>
      <c r="E59" s="175">
        <f t="shared" si="1"/>
        <v>884.00426662093992</v>
      </c>
      <c r="F59" s="224">
        <f t="shared" si="2"/>
        <v>884</v>
      </c>
      <c r="G59" s="243">
        <v>1.1147999975946732E-3</v>
      </c>
      <c r="H59" s="229"/>
      <c r="I59" s="229"/>
      <c r="J59" s="229">
        <f t="shared" si="15"/>
        <v>1.1147999975946732E-3</v>
      </c>
      <c r="K59" s="229"/>
      <c r="L59" s="229"/>
      <c r="M59" s="229"/>
      <c r="P59" s="225">
        <f t="shared" si="4"/>
        <v>1.4755506557469957E-3</v>
      </c>
      <c r="Q59" s="230">
        <f t="shared" si="5"/>
        <v>32347.955099999999</v>
      </c>
      <c r="R59" s="229">
        <f t="shared" si="16"/>
        <v>1.3014103735733387E-7</v>
      </c>
      <c r="S59" s="220">
        <v>1</v>
      </c>
      <c r="T59" s="220">
        <f t="shared" si="7"/>
        <v>1.3014103735733387E-7</v>
      </c>
      <c r="U59" s="204"/>
      <c r="V59" s="199">
        <f>+G59-P59</f>
        <v>-3.6075065815232253E-4</v>
      </c>
      <c r="BB59" s="175">
        <v>12289</v>
      </c>
      <c r="BC59" s="175">
        <v>3.7659299996448681E-2</v>
      </c>
      <c r="BD59" s="175">
        <v>0.5</v>
      </c>
      <c r="BH59" s="175">
        <v>12205</v>
      </c>
      <c r="BI59" s="175">
        <v>3.7376154534285888E-2</v>
      </c>
      <c r="BJ59" s="175">
        <v>1</v>
      </c>
    </row>
    <row r="60" spans="1:62" s="175" customFormat="1" ht="12.95" customHeight="1" x14ac:dyDescent="0.2">
      <c r="A60" s="234" t="s">
        <v>841</v>
      </c>
      <c r="B60" s="235" t="s">
        <v>64</v>
      </c>
      <c r="C60" s="236">
        <v>47366.4565</v>
      </c>
      <c r="D60" s="237" t="s">
        <v>160</v>
      </c>
      <c r="E60" s="217">
        <f t="shared" si="1"/>
        <v>884.00723721440079</v>
      </c>
      <c r="F60" s="218">
        <f t="shared" si="2"/>
        <v>884</v>
      </c>
      <c r="G60" s="228">
        <f>C60-(C$7+F60*C$8)</f>
        <v>3.410799996345304E-3</v>
      </c>
      <c r="H60" s="229"/>
      <c r="I60" s="229"/>
      <c r="J60" s="229">
        <f t="shared" si="15"/>
        <v>3.410799996345304E-3</v>
      </c>
      <c r="K60" s="229"/>
      <c r="L60" s="229"/>
      <c r="P60" s="225">
        <f t="shared" si="4"/>
        <v>1.4755506557469957E-3</v>
      </c>
      <c r="Q60" s="230">
        <f t="shared" si="5"/>
        <v>32347.9565</v>
      </c>
      <c r="R60" s="229">
        <f t="shared" si="16"/>
        <v>3.7451900102861867E-6</v>
      </c>
      <c r="S60" s="220">
        <v>1</v>
      </c>
      <c r="T60" s="220">
        <f t="shared" si="7"/>
        <v>3.7451900102861867E-6</v>
      </c>
      <c r="BB60" s="175">
        <v>12330</v>
      </c>
      <c r="BC60" s="175">
        <v>3.8620999999693595E-2</v>
      </c>
      <c r="BD60" s="175">
        <v>1</v>
      </c>
      <c r="BH60" s="175">
        <v>12289</v>
      </c>
      <c r="BI60" s="175">
        <v>3.7659299996448681E-2</v>
      </c>
      <c r="BJ60" s="175">
        <v>0.5</v>
      </c>
    </row>
    <row r="61" spans="1:62" s="175" customFormat="1" ht="12.95" customHeight="1" x14ac:dyDescent="0.2">
      <c r="A61" s="234" t="s">
        <v>841</v>
      </c>
      <c r="B61" s="235" t="s">
        <v>60</v>
      </c>
      <c r="C61" s="236">
        <v>47378.472600000001</v>
      </c>
      <c r="D61" s="237" t="s">
        <v>92</v>
      </c>
      <c r="E61" s="217">
        <f t="shared" si="1"/>
        <v>909.50362868599836</v>
      </c>
      <c r="F61" s="218">
        <f t="shared" si="2"/>
        <v>909.5</v>
      </c>
      <c r="G61" s="228">
        <f>C61-(C$7+F61*C$8)</f>
        <v>1.7101499979617074E-3</v>
      </c>
      <c r="H61" s="229"/>
      <c r="I61" s="229"/>
      <c r="J61" s="229">
        <f t="shared" si="15"/>
        <v>1.7101499979617074E-3</v>
      </c>
      <c r="K61" s="229"/>
      <c r="L61" s="229"/>
      <c r="P61" s="225">
        <f t="shared" si="4"/>
        <v>1.4876298009961588E-3</v>
      </c>
      <c r="Q61" s="230">
        <f t="shared" si="5"/>
        <v>32359.972600000001</v>
      </c>
      <c r="R61" s="229">
        <f t="shared" si="16"/>
        <v>4.9515238057586547E-8</v>
      </c>
      <c r="S61" s="220">
        <v>1</v>
      </c>
      <c r="T61" s="220">
        <f t="shared" si="7"/>
        <v>4.9515238057586547E-8</v>
      </c>
      <c r="BB61" s="175">
        <v>12330</v>
      </c>
      <c r="BC61" s="175">
        <v>3.8720999997167382E-2</v>
      </c>
      <c r="BD61" s="175">
        <v>1</v>
      </c>
      <c r="BH61" s="175">
        <v>12313</v>
      </c>
      <c r="BI61" s="175">
        <v>4.018809999251971E-2</v>
      </c>
      <c r="BJ61" s="175">
        <v>1</v>
      </c>
    </row>
    <row r="62" spans="1:62" s="175" customFormat="1" ht="12.95" customHeight="1" x14ac:dyDescent="0.2">
      <c r="A62" s="242" t="s">
        <v>45</v>
      </c>
      <c r="B62" s="238"/>
      <c r="C62" s="228">
        <v>47378.472999999998</v>
      </c>
      <c r="D62" s="239"/>
      <c r="E62" s="175">
        <f t="shared" si="1"/>
        <v>909.50447742698054</v>
      </c>
      <c r="F62" s="224">
        <f t="shared" si="2"/>
        <v>909.5</v>
      </c>
      <c r="G62" s="243">
        <v>1.2179749974166043E-3</v>
      </c>
      <c r="H62" s="229"/>
      <c r="I62" s="229"/>
      <c r="J62" s="229">
        <f t="shared" si="15"/>
        <v>1.2179749974166043E-3</v>
      </c>
      <c r="K62" s="229"/>
      <c r="L62" s="229"/>
      <c r="P62" s="225">
        <f t="shared" si="4"/>
        <v>1.4876298009961588E-3</v>
      </c>
      <c r="Q62" s="230">
        <f t="shared" si="5"/>
        <v>32359.972999999998</v>
      </c>
      <c r="R62" s="229">
        <f t="shared" si="16"/>
        <v>7.271371309352811E-8</v>
      </c>
      <c r="S62" s="220">
        <v>1</v>
      </c>
      <c r="T62" s="220">
        <f t="shared" si="7"/>
        <v>7.271371309352811E-8</v>
      </c>
      <c r="U62" s="204"/>
      <c r="V62" s="199">
        <f>+G62-P62</f>
        <v>-2.6965480357955449E-4</v>
      </c>
      <c r="BB62" s="175">
        <v>13086.5</v>
      </c>
      <c r="BC62" s="175">
        <v>4.1135049992590211E-2</v>
      </c>
      <c r="BD62" s="175">
        <v>0.5</v>
      </c>
      <c r="BH62" s="175">
        <v>12330</v>
      </c>
      <c r="BI62" s="175">
        <v>3.8620999999693595E-2</v>
      </c>
      <c r="BJ62" s="175">
        <v>1</v>
      </c>
    </row>
    <row r="63" spans="1:62" s="175" customFormat="1" ht="12.95" customHeight="1" x14ac:dyDescent="0.2">
      <c r="A63" s="231" t="s">
        <v>339</v>
      </c>
      <c r="B63" s="203" t="s">
        <v>64</v>
      </c>
      <c r="C63" s="233">
        <v>47378.473100000003</v>
      </c>
      <c r="D63" s="205" t="s">
        <v>236</v>
      </c>
      <c r="E63" s="217">
        <f t="shared" si="1"/>
        <v>909.50468961223771</v>
      </c>
      <c r="F63" s="218">
        <f t="shared" si="2"/>
        <v>909.5</v>
      </c>
      <c r="G63" s="228">
        <f>C63-(C$7+F63*C$8)</f>
        <v>2.2101499998825602E-3</v>
      </c>
      <c r="H63" s="229"/>
      <c r="I63" s="229"/>
      <c r="J63" s="229">
        <f t="shared" si="15"/>
        <v>2.2101499998825602E-3</v>
      </c>
      <c r="K63" s="229"/>
      <c r="L63" s="229"/>
      <c r="M63" s="229"/>
      <c r="P63" s="225">
        <f t="shared" si="4"/>
        <v>1.4876298009961588E-3</v>
      </c>
      <c r="Q63" s="230">
        <f t="shared" si="5"/>
        <v>32359.973100000003</v>
      </c>
      <c r="R63" s="229">
        <f t="shared" si="16"/>
        <v>5.2203543779884508E-7</v>
      </c>
      <c r="S63" s="220">
        <v>1</v>
      </c>
      <c r="T63" s="220">
        <f t="shared" si="7"/>
        <v>5.2203543779884508E-7</v>
      </c>
      <c r="BB63" s="175">
        <v>13146</v>
      </c>
      <c r="BC63" s="175">
        <v>4.5000199999776669E-2</v>
      </c>
      <c r="BD63" s="175">
        <v>1</v>
      </c>
      <c r="BH63" s="175">
        <v>12330</v>
      </c>
      <c r="BI63" s="175">
        <v>3.8720999997167382E-2</v>
      </c>
      <c r="BJ63" s="175">
        <v>1</v>
      </c>
    </row>
    <row r="64" spans="1:62" s="175" customFormat="1" ht="12.95" customHeight="1" x14ac:dyDescent="0.2">
      <c r="A64" s="234" t="s">
        <v>841</v>
      </c>
      <c r="B64" s="235" t="s">
        <v>60</v>
      </c>
      <c r="C64" s="236">
        <v>47378.473299999998</v>
      </c>
      <c r="D64" s="237" t="s">
        <v>160</v>
      </c>
      <c r="E64" s="241">
        <f t="shared" si="1"/>
        <v>909.50511398272101</v>
      </c>
      <c r="F64" s="241">
        <f t="shared" si="2"/>
        <v>909.5</v>
      </c>
      <c r="G64" s="228">
        <f>C64-(C$7+F64*C$8)</f>
        <v>2.4101499948301353E-3</v>
      </c>
      <c r="H64" s="229"/>
      <c r="I64" s="229"/>
      <c r="J64" s="229">
        <f t="shared" si="15"/>
        <v>2.4101499948301353E-3</v>
      </c>
      <c r="K64" s="229"/>
      <c r="L64" s="229"/>
      <c r="M64" s="229"/>
      <c r="P64" s="225">
        <f t="shared" si="4"/>
        <v>1.4876298009961588E-3</v>
      </c>
      <c r="Q64" s="230">
        <f t="shared" si="5"/>
        <v>32359.973299999998</v>
      </c>
      <c r="R64" s="229">
        <f t="shared" si="16"/>
        <v>8.5104350803147749E-7</v>
      </c>
      <c r="S64" s="220">
        <v>1</v>
      </c>
      <c r="T64" s="220">
        <f t="shared" si="7"/>
        <v>8.5104350803147749E-7</v>
      </c>
      <c r="BB64" s="175">
        <v>13159</v>
      </c>
      <c r="BC64" s="175">
        <v>4.3778300001577009E-2</v>
      </c>
      <c r="BD64" s="175">
        <v>0.5</v>
      </c>
      <c r="BH64" s="175">
        <v>13086.5</v>
      </c>
      <c r="BI64" s="175">
        <v>4.1135049992590211E-2</v>
      </c>
      <c r="BJ64" s="175">
        <v>0.5</v>
      </c>
    </row>
    <row r="65" spans="1:62" s="175" customFormat="1" ht="12.95" customHeight="1" x14ac:dyDescent="0.2">
      <c r="A65" s="241" t="s">
        <v>46</v>
      </c>
      <c r="B65" s="238"/>
      <c r="C65" s="228">
        <v>47391.449000000001</v>
      </c>
      <c r="D65" s="239"/>
      <c r="E65" s="229">
        <f t="shared" si="1"/>
        <v>937.03763508508007</v>
      </c>
      <c r="F65" s="229">
        <f t="shared" si="2"/>
        <v>937</v>
      </c>
      <c r="G65" s="178"/>
      <c r="H65" s="229"/>
      <c r="I65" s="229"/>
      <c r="J65" s="229"/>
      <c r="K65" s="229"/>
      <c r="L65" s="229"/>
      <c r="M65" s="229"/>
      <c r="P65" s="225">
        <f t="shared" si="4"/>
        <v>1.5010111041336882E-3</v>
      </c>
      <c r="Q65" s="230">
        <f t="shared" si="5"/>
        <v>32372.949000000001</v>
      </c>
      <c r="R65" s="229"/>
      <c r="S65" s="220"/>
      <c r="T65" s="220">
        <f t="shared" si="7"/>
        <v>0</v>
      </c>
      <c r="U65" s="241">
        <f>C65-(C$7+F65*C$8)</f>
        <v>1.7736899993906263E-2</v>
      </c>
      <c r="V65" s="204"/>
      <c r="BB65" s="175">
        <v>13771</v>
      </c>
      <c r="BC65" s="175">
        <v>4.8062699999718461E-2</v>
      </c>
      <c r="BD65" s="175">
        <v>1</v>
      </c>
      <c r="BH65" s="175">
        <v>13146</v>
      </c>
      <c r="BI65" s="175">
        <v>4.5000199999776669E-2</v>
      </c>
      <c r="BJ65" s="175">
        <v>1</v>
      </c>
    </row>
    <row r="66" spans="1:62" s="175" customFormat="1" ht="12.95" customHeight="1" x14ac:dyDescent="0.2">
      <c r="A66" s="241" t="s">
        <v>46</v>
      </c>
      <c r="B66" s="238"/>
      <c r="C66" s="228">
        <v>47415.544999999998</v>
      </c>
      <c r="D66" s="239"/>
      <c r="E66" s="229">
        <f t="shared" si="1"/>
        <v>988.16579221588938</v>
      </c>
      <c r="F66" s="229">
        <f t="shared" si="2"/>
        <v>988</v>
      </c>
      <c r="G66" s="178"/>
      <c r="H66" s="229"/>
      <c r="I66" s="229"/>
      <c r="J66" s="229"/>
      <c r="K66" s="229"/>
      <c r="L66" s="229"/>
      <c r="P66" s="225">
        <f t="shared" si="4"/>
        <v>1.5268018416147032E-3</v>
      </c>
      <c r="Q66" s="230">
        <f t="shared" si="5"/>
        <v>32397.044999999998</v>
      </c>
      <c r="R66" s="229"/>
      <c r="S66" s="220"/>
      <c r="T66" s="220">
        <f t="shared" si="7"/>
        <v>0</v>
      </c>
      <c r="U66" s="241">
        <f>C66-(C$7+F66*C$8)</f>
        <v>7.8135599993402138E-2</v>
      </c>
      <c r="V66" s="204"/>
      <c r="BB66" s="175">
        <v>13997</v>
      </c>
      <c r="BC66" s="175">
        <v>5.1138900002115406E-2</v>
      </c>
      <c r="BD66" s="175">
        <v>1</v>
      </c>
      <c r="BH66" s="175">
        <v>13159</v>
      </c>
      <c r="BI66" s="175">
        <v>4.3778300001577009E-2</v>
      </c>
      <c r="BJ66" s="175">
        <v>0.5</v>
      </c>
    </row>
    <row r="67" spans="1:62" s="175" customFormat="1" ht="12.95" customHeight="1" x14ac:dyDescent="0.2">
      <c r="A67" s="241" t="s">
        <v>47</v>
      </c>
      <c r="B67" s="238"/>
      <c r="C67" s="228">
        <v>47439.315000000002</v>
      </c>
      <c r="D67" s="239"/>
      <c r="E67" s="229">
        <f t="shared" si="1"/>
        <v>1038.6022254413069</v>
      </c>
      <c r="F67" s="229">
        <f t="shared" si="2"/>
        <v>1038.5</v>
      </c>
      <c r="G67" s="178"/>
      <c r="H67" s="229"/>
      <c r="I67" s="229"/>
      <c r="J67" s="229"/>
      <c r="K67" s="229"/>
      <c r="L67" s="229"/>
      <c r="P67" s="225">
        <f t="shared" si="4"/>
        <v>1.5535874011537425E-3</v>
      </c>
      <c r="Q67" s="230">
        <f t="shared" si="5"/>
        <v>32420.815000000002</v>
      </c>
      <c r="R67" s="229"/>
      <c r="S67" s="220"/>
      <c r="T67" s="220">
        <f t="shared" si="7"/>
        <v>0</v>
      </c>
      <c r="U67" s="241">
        <f>C67-(C$7+F67*C$8)</f>
        <v>4.8177450000366662E-2</v>
      </c>
      <c r="V67" s="204"/>
      <c r="BB67" s="175">
        <v>14501</v>
      </c>
      <c r="BC67" s="175">
        <v>5.2903699994203635E-2</v>
      </c>
      <c r="BD67" s="175">
        <v>1</v>
      </c>
      <c r="BH67" s="175">
        <v>13771</v>
      </c>
      <c r="BI67" s="175">
        <v>4.8062699999718461E-2</v>
      </c>
      <c r="BJ67" s="175">
        <v>1</v>
      </c>
    </row>
    <row r="68" spans="1:62" s="175" customFormat="1" ht="12.95" customHeight="1" x14ac:dyDescent="0.2">
      <c r="A68" s="241" t="s">
        <v>33</v>
      </c>
      <c r="B68" s="238"/>
      <c r="C68" s="228">
        <v>47655.823299999996</v>
      </c>
      <c r="D68" s="239"/>
      <c r="E68" s="229">
        <f t="shared" si="1"/>
        <v>1498.0008966948401</v>
      </c>
      <c r="F68" s="229">
        <f t="shared" si="2"/>
        <v>1498</v>
      </c>
      <c r="G68" s="228">
        <f>C68-(C$7+F68*C$8)</f>
        <v>4.225999946356751E-4</v>
      </c>
      <c r="H68" s="229"/>
      <c r="I68" s="229"/>
      <c r="J68" s="229">
        <f>G68</f>
        <v>4.225999946356751E-4</v>
      </c>
      <c r="K68" s="229"/>
      <c r="L68" s="229"/>
      <c r="P68" s="225">
        <f t="shared" si="4"/>
        <v>1.8543520116559129E-3</v>
      </c>
      <c r="Q68" s="230">
        <f t="shared" si="5"/>
        <v>32637.323299999996</v>
      </c>
      <c r="R68" s="229">
        <f>(G68-P68)^2</f>
        <v>2.0499138382415192E-6</v>
      </c>
      <c r="S68" s="220">
        <v>1</v>
      </c>
      <c r="T68" s="220">
        <f t="shared" si="7"/>
        <v>2.0499138382415192E-6</v>
      </c>
      <c r="U68" s="204"/>
      <c r="V68" s="199">
        <f>+G68-P68</f>
        <v>-1.4317520170202378E-3</v>
      </c>
      <c r="BB68" s="175">
        <v>14572</v>
      </c>
      <c r="BC68" s="175">
        <v>5.3336399992986117E-2</v>
      </c>
      <c r="BD68" s="175">
        <v>1</v>
      </c>
      <c r="BH68" s="175">
        <v>13997</v>
      </c>
      <c r="BI68" s="175">
        <v>5.1138900002115406E-2</v>
      </c>
      <c r="BJ68" s="175">
        <v>1</v>
      </c>
    </row>
    <row r="69" spans="1:62" s="175" customFormat="1" ht="12.95" customHeight="1" x14ac:dyDescent="0.2">
      <c r="A69" s="241" t="s">
        <v>33</v>
      </c>
      <c r="B69" s="238"/>
      <c r="C69" s="228">
        <v>47659.828399999999</v>
      </c>
      <c r="D69" s="239"/>
      <c r="E69" s="175">
        <f t="shared" si="1"/>
        <v>1506.4991280247177</v>
      </c>
      <c r="F69" s="229">
        <f t="shared" si="2"/>
        <v>1506.5</v>
      </c>
      <c r="G69" s="228">
        <f>C69-(C$7+F69*C$8)</f>
        <v>-4.1095000779023394E-4</v>
      </c>
      <c r="H69" s="229"/>
      <c r="I69" s="229"/>
      <c r="J69" s="229">
        <f>G69</f>
        <v>-4.1095000779023394E-4</v>
      </c>
      <c r="K69" s="229"/>
      <c r="L69" s="229"/>
      <c r="P69" s="225">
        <f t="shared" si="4"/>
        <v>1.8608839615881891E-3</v>
      </c>
      <c r="Q69" s="230">
        <f t="shared" si="5"/>
        <v>32641.328399999999</v>
      </c>
      <c r="R69" s="229">
        <f>(G69-P69)^2</f>
        <v>5.1612295844217212E-6</v>
      </c>
      <c r="S69" s="220">
        <v>1</v>
      </c>
      <c r="T69" s="220">
        <f t="shared" si="7"/>
        <v>5.1612295844217212E-6</v>
      </c>
      <c r="U69" s="204"/>
      <c r="V69" s="199">
        <f>+G69-P69</f>
        <v>-2.271833969378423E-3</v>
      </c>
      <c r="BB69" s="175">
        <v>14640</v>
      </c>
      <c r="BC69" s="175">
        <v>5.2367999996931758E-2</v>
      </c>
      <c r="BD69" s="175">
        <v>0.5</v>
      </c>
      <c r="BH69" s="175">
        <v>14501</v>
      </c>
      <c r="BI69" s="175">
        <v>5.2903699994203635E-2</v>
      </c>
      <c r="BJ69" s="175">
        <v>1</v>
      </c>
    </row>
    <row r="70" spans="1:62" s="175" customFormat="1" ht="12.95" customHeight="1" x14ac:dyDescent="0.2">
      <c r="A70" s="241" t="s">
        <v>33</v>
      </c>
      <c r="B70" s="238"/>
      <c r="C70" s="228">
        <v>47695.88336</v>
      </c>
      <c r="D70" s="239"/>
      <c r="E70" s="175">
        <f t="shared" si="1"/>
        <v>1583.0024339769623</v>
      </c>
      <c r="F70" s="229">
        <f t="shared" si="2"/>
        <v>1583</v>
      </c>
      <c r="G70" s="228">
        <f>C70-(C$7+F70*C$8)</f>
        <v>1.1470999961602502E-3</v>
      </c>
      <c r="H70" s="229"/>
      <c r="I70" s="229"/>
      <c r="J70" s="229">
        <f>G70</f>
        <v>1.1470999961602502E-3</v>
      </c>
      <c r="K70" s="229"/>
      <c r="L70" s="229"/>
      <c r="M70" s="229"/>
      <c r="P70" s="225">
        <f t="shared" si="4"/>
        <v>1.9212543017793826E-3</v>
      </c>
      <c r="Q70" s="230">
        <f t="shared" si="5"/>
        <v>32677.38336</v>
      </c>
      <c r="R70" s="229">
        <f>(G70-P70)^2</f>
        <v>5.9931488890864108E-7</v>
      </c>
      <c r="S70" s="220">
        <v>1</v>
      </c>
      <c r="T70" s="220">
        <f t="shared" si="7"/>
        <v>5.9931488890864108E-7</v>
      </c>
      <c r="U70" s="204"/>
      <c r="V70" s="199">
        <f>+G70-P70</f>
        <v>-7.7415430561913242E-4</v>
      </c>
      <c r="BB70" s="175">
        <v>14659</v>
      </c>
      <c r="BC70" s="175">
        <v>5.4728299997805152E-2</v>
      </c>
      <c r="BD70" s="175">
        <v>1</v>
      </c>
      <c r="BH70" s="175">
        <v>14572</v>
      </c>
      <c r="BI70" s="175">
        <v>5.3336399992986117E-2</v>
      </c>
      <c r="BJ70" s="175">
        <v>1</v>
      </c>
    </row>
    <row r="71" spans="1:62" s="175" customFormat="1" ht="12.95" customHeight="1" x14ac:dyDescent="0.2">
      <c r="A71" s="231" t="s">
        <v>307</v>
      </c>
      <c r="B71" s="203" t="s">
        <v>64</v>
      </c>
      <c r="C71" s="233">
        <v>47695.883399999999</v>
      </c>
      <c r="D71" s="205" t="s">
        <v>236</v>
      </c>
      <c r="E71" s="241">
        <f t="shared" si="1"/>
        <v>1583.002518851059</v>
      </c>
      <c r="F71" s="241">
        <f t="shared" si="2"/>
        <v>1583</v>
      </c>
      <c r="G71" s="228">
        <f>C71-(C$7+F71*C$8)</f>
        <v>1.1870999951497652E-3</v>
      </c>
      <c r="H71" s="229"/>
      <c r="I71" s="229"/>
      <c r="J71" s="229">
        <f>G71</f>
        <v>1.1870999951497652E-3</v>
      </c>
      <c r="L71" s="229"/>
      <c r="M71" s="229"/>
      <c r="P71" s="225">
        <f t="shared" si="4"/>
        <v>1.9212543017793826E-3</v>
      </c>
      <c r="Q71" s="230">
        <f t="shared" si="5"/>
        <v>32677.383399999999</v>
      </c>
      <c r="R71" s="229">
        <f>(G71-P71)^2</f>
        <v>5.3898254594281431E-7</v>
      </c>
      <c r="S71" s="220">
        <v>1</v>
      </c>
      <c r="T71" s="220">
        <f t="shared" si="7"/>
        <v>5.3898254594281431E-7</v>
      </c>
      <c r="U71" s="229"/>
      <c r="BB71" s="175">
        <v>14746</v>
      </c>
      <c r="BC71" s="175">
        <v>5.1520199995138682E-2</v>
      </c>
      <c r="BD71" s="175">
        <v>1</v>
      </c>
      <c r="BH71" s="175">
        <v>14640</v>
      </c>
      <c r="BI71" s="175">
        <v>5.2367999996931758E-2</v>
      </c>
      <c r="BJ71" s="175">
        <v>0.5</v>
      </c>
    </row>
    <row r="72" spans="1:62" s="175" customFormat="1" ht="12.95" customHeight="1" x14ac:dyDescent="0.2">
      <c r="A72" s="241" t="s">
        <v>48</v>
      </c>
      <c r="B72" s="238"/>
      <c r="C72" s="228">
        <v>47702.44</v>
      </c>
      <c r="D72" s="239"/>
      <c r="E72" s="241">
        <f t="shared" si="1"/>
        <v>1596.9146567595947</v>
      </c>
      <c r="F72" s="241">
        <f t="shared" si="2"/>
        <v>1597</v>
      </c>
      <c r="G72" s="178"/>
      <c r="H72" s="241"/>
      <c r="I72" s="229"/>
      <c r="J72" s="229"/>
      <c r="K72" s="229"/>
      <c r="L72" s="229"/>
      <c r="M72" s="229"/>
      <c r="P72" s="225">
        <f t="shared" si="4"/>
        <v>1.9326108724478969E-3</v>
      </c>
      <c r="Q72" s="230">
        <f t="shared" si="5"/>
        <v>32683.940000000002</v>
      </c>
      <c r="R72" s="229"/>
      <c r="S72" s="220"/>
      <c r="T72" s="220">
        <f t="shared" si="7"/>
        <v>0</v>
      </c>
      <c r="U72" s="241">
        <f t="shared" ref="U72:U81" si="18">C72-(C$7+F72*C$8)</f>
        <v>-4.022110000369139E-2</v>
      </c>
      <c r="V72" s="204"/>
      <c r="BB72" s="175">
        <v>15455.5</v>
      </c>
      <c r="BC72" s="175">
        <v>5.9890349992201664E-2</v>
      </c>
      <c r="BD72" s="175">
        <v>1</v>
      </c>
      <c r="BH72" s="175">
        <v>14659</v>
      </c>
      <c r="BI72" s="175">
        <v>5.4728299997805152E-2</v>
      </c>
      <c r="BJ72" s="175">
        <v>1</v>
      </c>
    </row>
    <row r="73" spans="1:62" s="175" customFormat="1" ht="12.95" customHeight="1" x14ac:dyDescent="0.2">
      <c r="A73" s="241" t="s">
        <v>48</v>
      </c>
      <c r="B73" s="238" t="s">
        <v>60</v>
      </c>
      <c r="C73" s="228">
        <v>47714.430999999997</v>
      </c>
      <c r="D73" s="239"/>
      <c r="E73" s="241">
        <f t="shared" si="1"/>
        <v>1622.3577897341677</v>
      </c>
      <c r="F73" s="241">
        <f t="shared" si="2"/>
        <v>1622.5</v>
      </c>
      <c r="G73" s="178"/>
      <c r="H73" s="241"/>
      <c r="I73" s="229"/>
      <c r="J73" s="229"/>
      <c r="K73" s="229"/>
      <c r="L73" s="229"/>
      <c r="M73" s="229"/>
      <c r="P73" s="225">
        <f t="shared" si="4"/>
        <v>1.9535412321355175E-3</v>
      </c>
      <c r="Q73" s="230">
        <f t="shared" si="5"/>
        <v>32695.930999999997</v>
      </c>
      <c r="R73" s="229"/>
      <c r="S73" s="220"/>
      <c r="T73" s="220">
        <f t="shared" si="7"/>
        <v>0</v>
      </c>
      <c r="U73" s="241">
        <f t="shared" si="18"/>
        <v>-6.7021750008279923E-2</v>
      </c>
      <c r="V73" s="204"/>
      <c r="BB73" s="175">
        <v>15469.5</v>
      </c>
      <c r="BC73" s="175">
        <v>6.0982150003837887E-2</v>
      </c>
      <c r="BD73" s="175">
        <v>0.5</v>
      </c>
      <c r="BH73" s="175">
        <v>14746</v>
      </c>
      <c r="BI73" s="175">
        <v>5.1520199995138682E-2</v>
      </c>
      <c r="BJ73" s="175">
        <v>1</v>
      </c>
    </row>
    <row r="74" spans="1:62" s="175" customFormat="1" ht="12.95" customHeight="1" x14ac:dyDescent="0.2">
      <c r="A74" s="244" t="s">
        <v>917</v>
      </c>
      <c r="B74" s="235" t="s">
        <v>64</v>
      </c>
      <c r="C74" s="236">
        <v>47735.450799999999</v>
      </c>
      <c r="D74" s="237" t="s">
        <v>236</v>
      </c>
      <c r="E74" s="217">
        <f t="shared" si="1"/>
        <v>1666.9587042950236</v>
      </c>
      <c r="F74" s="241">
        <f t="shared" si="2"/>
        <v>1667</v>
      </c>
      <c r="G74" s="178"/>
      <c r="H74" s="229"/>
      <c r="I74" s="229"/>
      <c r="J74" s="229"/>
      <c r="K74" s="229"/>
      <c r="L74" s="229"/>
      <c r="P74" s="225">
        <f t="shared" si="4"/>
        <v>1.9908249922123296E-3</v>
      </c>
      <c r="Q74" s="230">
        <f t="shared" si="5"/>
        <v>32716.950799999999</v>
      </c>
      <c r="R74" s="229"/>
      <c r="S74" s="220"/>
      <c r="T74" s="220">
        <f t="shared" si="7"/>
        <v>0</v>
      </c>
      <c r="U74" s="217">
        <f t="shared" si="18"/>
        <v>-1.9462100004602689E-2</v>
      </c>
      <c r="BB74" s="175">
        <v>16103</v>
      </c>
      <c r="BC74" s="175">
        <v>6.6711099992971867E-2</v>
      </c>
      <c r="BD74" s="175">
        <v>0.5</v>
      </c>
      <c r="BH74" s="175">
        <v>15455.5</v>
      </c>
      <c r="BI74" s="175">
        <v>5.9890349992201664E-2</v>
      </c>
      <c r="BJ74" s="175">
        <v>1</v>
      </c>
    </row>
    <row r="75" spans="1:62" s="175" customFormat="1" ht="12.95" customHeight="1" x14ac:dyDescent="0.2">
      <c r="A75" s="231" t="s">
        <v>381</v>
      </c>
      <c r="B75" s="203" t="s">
        <v>64</v>
      </c>
      <c r="C75" s="233">
        <v>47735.451000000001</v>
      </c>
      <c r="D75" s="205" t="s">
        <v>236</v>
      </c>
      <c r="E75" s="241">
        <f t="shared" si="1"/>
        <v>1666.9591286655225</v>
      </c>
      <c r="F75" s="241">
        <f t="shared" si="2"/>
        <v>1667</v>
      </c>
      <c r="G75" s="178"/>
      <c r="H75" s="229"/>
      <c r="I75" s="229"/>
      <c r="J75" s="229"/>
      <c r="K75" s="229"/>
      <c r="L75" s="229"/>
      <c r="P75" s="225">
        <f t="shared" si="4"/>
        <v>1.9908249922123296E-3</v>
      </c>
      <c r="Q75" s="230">
        <f t="shared" si="5"/>
        <v>32716.951000000001</v>
      </c>
      <c r="R75" s="229"/>
      <c r="S75" s="229"/>
      <c r="T75" s="220">
        <f t="shared" si="7"/>
        <v>0</v>
      </c>
      <c r="U75" s="217">
        <f t="shared" si="18"/>
        <v>-1.9262100002379157E-2</v>
      </c>
      <c r="BB75" s="175">
        <v>16483.5</v>
      </c>
      <c r="BC75" s="175">
        <v>6.8673950001539197E-2</v>
      </c>
      <c r="BD75" s="175">
        <v>1</v>
      </c>
      <c r="BH75" s="175">
        <v>15469.5</v>
      </c>
      <c r="BI75" s="175">
        <v>6.0982150003837887E-2</v>
      </c>
      <c r="BJ75" s="175">
        <v>0.5</v>
      </c>
    </row>
    <row r="76" spans="1:62" s="175" customFormat="1" ht="12.95" customHeight="1" x14ac:dyDescent="0.2">
      <c r="A76" s="241" t="s">
        <v>48</v>
      </c>
      <c r="B76" s="238"/>
      <c r="C76" s="228">
        <v>47743.466999999997</v>
      </c>
      <c r="D76" s="239"/>
      <c r="E76" s="241">
        <f t="shared" si="1"/>
        <v>1683.9678980695894</v>
      </c>
      <c r="F76" s="241">
        <f t="shared" si="2"/>
        <v>1684</v>
      </c>
      <c r="G76" s="178"/>
      <c r="H76" s="241"/>
      <c r="I76" s="229"/>
      <c r="J76" s="229"/>
      <c r="K76" s="229"/>
      <c r="L76" s="229"/>
      <c r="M76" s="229"/>
      <c r="P76" s="225">
        <f t="shared" si="4"/>
        <v>2.0053227143316393E-3</v>
      </c>
      <c r="Q76" s="230">
        <f t="shared" si="5"/>
        <v>32724.966999999997</v>
      </c>
      <c r="R76" s="229"/>
      <c r="S76" s="229"/>
      <c r="T76" s="220">
        <f t="shared" si="7"/>
        <v>0</v>
      </c>
      <c r="U76" s="241">
        <f t="shared" si="18"/>
        <v>-1.5129200008232147E-2</v>
      </c>
      <c r="V76" s="204"/>
      <c r="BB76" s="175">
        <v>16864.5</v>
      </c>
      <c r="BC76" s="175">
        <v>6.9993650002288632E-2</v>
      </c>
      <c r="BD76" s="175">
        <v>1</v>
      </c>
      <c r="BH76" s="175">
        <v>16103</v>
      </c>
      <c r="BI76" s="175">
        <v>6.6711099992971867E-2</v>
      </c>
      <c r="BJ76" s="175">
        <v>0.5</v>
      </c>
    </row>
    <row r="77" spans="1:62" s="175" customFormat="1" ht="12.95" customHeight="1" x14ac:dyDescent="0.2">
      <c r="A77" s="217" t="s">
        <v>48</v>
      </c>
      <c r="B77" s="238" t="s">
        <v>60</v>
      </c>
      <c r="C77" s="239">
        <v>47748.434999999998</v>
      </c>
      <c r="D77" s="239"/>
      <c r="E77" s="241">
        <f t="shared" si="1"/>
        <v>1694.5092611433745</v>
      </c>
      <c r="F77" s="241">
        <f t="shared" si="2"/>
        <v>1694.5</v>
      </c>
      <c r="G77" s="178"/>
      <c r="H77" s="241"/>
      <c r="I77" s="229"/>
      <c r="J77" s="229"/>
      <c r="K77" s="229"/>
      <c r="L77" s="229"/>
      <c r="M77" s="229"/>
      <c r="P77" s="225">
        <f t="shared" si="4"/>
        <v>2.0143474751629169E-3</v>
      </c>
      <c r="Q77" s="230">
        <f t="shared" si="5"/>
        <v>32729.934999999998</v>
      </c>
      <c r="R77" s="229"/>
      <c r="S77" s="229"/>
      <c r="T77" s="220">
        <f t="shared" si="7"/>
        <v>0</v>
      </c>
      <c r="U77" s="241">
        <f t="shared" si="18"/>
        <v>4.364649998024106E-3</v>
      </c>
      <c r="V77" s="204"/>
      <c r="BB77" s="175">
        <v>16887</v>
      </c>
      <c r="BC77" s="175">
        <v>7.0951899993815459E-2</v>
      </c>
      <c r="BD77" s="175">
        <v>1</v>
      </c>
      <c r="BH77" s="175">
        <v>16483.5</v>
      </c>
      <c r="BI77" s="175">
        <v>6.8673950001539197E-2</v>
      </c>
      <c r="BJ77" s="175">
        <v>1</v>
      </c>
    </row>
    <row r="78" spans="1:62" s="175" customFormat="1" ht="12.95" customHeight="1" x14ac:dyDescent="0.2">
      <c r="A78" s="217" t="s">
        <v>48</v>
      </c>
      <c r="B78" s="238" t="s">
        <v>60</v>
      </c>
      <c r="C78" s="239">
        <v>47757.398999999998</v>
      </c>
      <c r="D78" s="239"/>
      <c r="E78" s="241">
        <f t="shared" si="1"/>
        <v>1713.5295466895486</v>
      </c>
      <c r="F78" s="241">
        <f t="shared" si="2"/>
        <v>1713.5</v>
      </c>
      <c r="G78" s="178"/>
      <c r="H78" s="241"/>
      <c r="I78" s="229"/>
      <c r="K78" s="229"/>
      <c r="L78" s="229"/>
      <c r="M78" s="229"/>
      <c r="P78" s="225">
        <f t="shared" si="4"/>
        <v>2.0308144275564964E-3</v>
      </c>
      <c r="Q78" s="230">
        <f t="shared" si="5"/>
        <v>32738.898999999998</v>
      </c>
      <c r="R78" s="229"/>
      <c r="S78" s="229"/>
      <c r="T78" s="220">
        <f t="shared" si="7"/>
        <v>0</v>
      </c>
      <c r="U78" s="241">
        <f t="shared" si="18"/>
        <v>1.3924949991633184E-2</v>
      </c>
      <c r="V78" s="204"/>
      <c r="BB78" s="175">
        <v>16902.5</v>
      </c>
      <c r="BC78" s="175">
        <v>7.3814249997667503E-2</v>
      </c>
      <c r="BD78" s="175">
        <v>1</v>
      </c>
      <c r="BH78" s="175">
        <v>16864.5</v>
      </c>
      <c r="BI78" s="175">
        <v>6.9993650002288632E-2</v>
      </c>
      <c r="BJ78" s="175">
        <v>1</v>
      </c>
    </row>
    <row r="79" spans="1:62" s="175" customFormat="1" ht="12.95" customHeight="1" x14ac:dyDescent="0.2">
      <c r="A79" s="217" t="s">
        <v>48</v>
      </c>
      <c r="B79" s="238"/>
      <c r="C79" s="239">
        <v>47768.35</v>
      </c>
      <c r="D79" s="239"/>
      <c r="E79" s="241">
        <f t="shared" si="1"/>
        <v>1736.7659530947442</v>
      </c>
      <c r="F79" s="241">
        <f t="shared" si="2"/>
        <v>1737</v>
      </c>
      <c r="G79" s="178"/>
      <c r="H79" s="241"/>
      <c r="I79" s="229"/>
      <c r="J79" s="229"/>
      <c r="K79" s="229"/>
      <c r="L79" s="229"/>
      <c r="M79" s="229"/>
      <c r="P79" s="225">
        <f t="shared" si="4"/>
        <v>2.0514245560131969E-3</v>
      </c>
      <c r="Q79" s="230">
        <f t="shared" si="5"/>
        <v>32749.85</v>
      </c>
      <c r="R79" s="229"/>
      <c r="S79" s="229"/>
      <c r="T79" s="220">
        <f t="shared" si="7"/>
        <v>0</v>
      </c>
      <c r="U79" s="241">
        <f t="shared" si="18"/>
        <v>-0.11030310000205645</v>
      </c>
      <c r="V79" s="204"/>
      <c r="BB79" s="175">
        <v>16946.5</v>
      </c>
      <c r="BC79" s="175">
        <v>7.0517050000489689E-2</v>
      </c>
      <c r="BD79" s="175">
        <v>1</v>
      </c>
      <c r="BH79" s="175">
        <v>16887</v>
      </c>
      <c r="BI79" s="175">
        <v>7.0951899993815459E-2</v>
      </c>
      <c r="BJ79" s="175">
        <v>1</v>
      </c>
    </row>
    <row r="80" spans="1:62" s="175" customFormat="1" ht="12.95" customHeight="1" x14ac:dyDescent="0.2">
      <c r="A80" s="217" t="s">
        <v>48</v>
      </c>
      <c r="B80" s="238" t="s">
        <v>60</v>
      </c>
      <c r="C80" s="239">
        <v>47775.360000000001</v>
      </c>
      <c r="D80" s="239"/>
      <c r="E80" s="241">
        <f t="shared" si="1"/>
        <v>1751.6401389134326</v>
      </c>
      <c r="F80" s="241">
        <f t="shared" si="2"/>
        <v>1751.5</v>
      </c>
      <c r="G80" s="178"/>
      <c r="H80" s="241"/>
      <c r="J80" s="229"/>
      <c r="K80" s="229"/>
      <c r="L80" s="229"/>
      <c r="M80" s="229"/>
      <c r="P80" s="225">
        <f t="shared" si="4"/>
        <v>2.0642755641582383E-3</v>
      </c>
      <c r="Q80" s="230">
        <f t="shared" si="5"/>
        <v>32756.86</v>
      </c>
      <c r="R80" s="229"/>
      <c r="S80" s="229"/>
      <c r="T80" s="220">
        <f t="shared" si="7"/>
        <v>0</v>
      </c>
      <c r="U80" s="241">
        <f t="shared" si="18"/>
        <v>6.6045549996488262E-2</v>
      </c>
      <c r="V80" s="204"/>
      <c r="BB80" s="175">
        <v>16950.5</v>
      </c>
      <c r="BC80" s="175">
        <v>7.0871849995455705E-2</v>
      </c>
      <c r="BD80" s="175">
        <v>1</v>
      </c>
      <c r="BH80" s="175">
        <v>16902.5</v>
      </c>
      <c r="BI80" s="175">
        <v>7.3814249997667503E-2</v>
      </c>
      <c r="BJ80" s="175">
        <v>1</v>
      </c>
    </row>
    <row r="81" spans="1:62" s="175" customFormat="1" ht="12.95" customHeight="1" x14ac:dyDescent="0.2">
      <c r="A81" s="241" t="s">
        <v>48</v>
      </c>
      <c r="B81" s="238" t="s">
        <v>60</v>
      </c>
      <c r="C81" s="228">
        <v>47782.311000000002</v>
      </c>
      <c r="D81" s="239"/>
      <c r="E81" s="241">
        <f t="shared" si="1"/>
        <v>1766.3891354363548</v>
      </c>
      <c r="F81" s="241">
        <f t="shared" si="2"/>
        <v>1766.5</v>
      </c>
      <c r="G81" s="178"/>
      <c r="H81" s="241"/>
      <c r="J81" s="229"/>
      <c r="K81" s="229"/>
      <c r="L81" s="229"/>
      <c r="P81" s="225">
        <f t="shared" si="4"/>
        <v>2.0776774206158017E-3</v>
      </c>
      <c r="Q81" s="230">
        <f t="shared" si="5"/>
        <v>32763.811000000002</v>
      </c>
      <c r="R81" s="229"/>
      <c r="S81" s="229"/>
      <c r="T81" s="220">
        <f t="shared" si="7"/>
        <v>0</v>
      </c>
      <c r="U81" s="241">
        <f t="shared" si="18"/>
        <v>-5.2248949999921024E-2</v>
      </c>
      <c r="V81" s="204"/>
      <c r="BB81" s="175">
        <v>16959</v>
      </c>
      <c r="BC81" s="175">
        <v>7.1538299998792354E-2</v>
      </c>
      <c r="BD81" s="175">
        <v>1</v>
      </c>
      <c r="BH81" s="175">
        <v>16946.5</v>
      </c>
      <c r="BI81" s="175">
        <v>7.0517050000489689E-2</v>
      </c>
      <c r="BJ81" s="175">
        <v>1</v>
      </c>
    </row>
    <row r="82" spans="1:62" s="175" customFormat="1" ht="12.95" customHeight="1" x14ac:dyDescent="0.2">
      <c r="A82" s="244" t="s">
        <v>841</v>
      </c>
      <c r="B82" s="235" t="s">
        <v>64</v>
      </c>
      <c r="C82" s="237">
        <v>47963.574000000001</v>
      </c>
      <c r="D82" s="237" t="s">
        <v>160</v>
      </c>
      <c r="E82" s="241">
        <f t="shared" si="1"/>
        <v>2151.0024798089771</v>
      </c>
      <c r="F82" s="241">
        <f t="shared" si="2"/>
        <v>2151</v>
      </c>
      <c r="G82" s="228">
        <f>C82-(C$7+F82*C$8)</f>
        <v>1.1687000005622394E-3</v>
      </c>
      <c r="H82" s="229"/>
      <c r="I82" s="229"/>
      <c r="J82" s="229">
        <f>G82</f>
        <v>1.1687000005622394E-3</v>
      </c>
      <c r="K82" s="229"/>
      <c r="L82" s="229"/>
      <c r="M82" s="229"/>
      <c r="P82" s="225">
        <f t="shared" si="4"/>
        <v>2.4586017450073765E-3</v>
      </c>
      <c r="Q82" s="230">
        <f t="shared" si="5"/>
        <v>32945.074000000001</v>
      </c>
      <c r="R82" s="229">
        <f>(G82-P82)^2</f>
        <v>1.6638465103226075E-6</v>
      </c>
      <c r="S82" s="229">
        <v>1</v>
      </c>
      <c r="T82" s="220">
        <f t="shared" si="7"/>
        <v>1.6638465103226075E-6</v>
      </c>
      <c r="BB82" s="175">
        <v>16995</v>
      </c>
      <c r="BC82" s="175">
        <v>7.1431500000471715E-2</v>
      </c>
      <c r="BD82" s="175">
        <v>1</v>
      </c>
      <c r="BH82" s="175">
        <v>16950.5</v>
      </c>
      <c r="BI82" s="175">
        <v>7.0871849995455705E-2</v>
      </c>
      <c r="BJ82" s="175">
        <v>1</v>
      </c>
    </row>
    <row r="83" spans="1:62" s="175" customFormat="1" ht="12.95" customHeight="1" x14ac:dyDescent="0.2">
      <c r="A83" s="204" t="s">
        <v>403</v>
      </c>
      <c r="B83" s="203" t="s">
        <v>64</v>
      </c>
      <c r="C83" s="205">
        <v>47963.574999999997</v>
      </c>
      <c r="D83" s="205" t="s">
        <v>236</v>
      </c>
      <c r="E83" s="241">
        <f t="shared" si="1"/>
        <v>2151.0046016614406</v>
      </c>
      <c r="F83" s="241">
        <f t="shared" si="2"/>
        <v>2151</v>
      </c>
      <c r="G83" s="228">
        <f>C83-(C$7+F83*C$8)</f>
        <v>2.1686999971279874E-3</v>
      </c>
      <c r="H83" s="229"/>
      <c r="I83" s="229"/>
      <c r="J83" s="229">
        <f>G83</f>
        <v>2.1686999971279874E-3</v>
      </c>
      <c r="L83" s="229"/>
      <c r="M83" s="229"/>
      <c r="N83" s="229"/>
      <c r="P83" s="225">
        <f t="shared" si="4"/>
        <v>2.4586017450073765E-3</v>
      </c>
      <c r="Q83" s="230">
        <f t="shared" si="5"/>
        <v>32945.074999999997</v>
      </c>
      <c r="R83" s="229">
        <f>(G83-P83)^2</f>
        <v>8.4043023423524836E-8</v>
      </c>
      <c r="S83" s="229">
        <v>1</v>
      </c>
      <c r="T83" s="220">
        <f t="shared" si="7"/>
        <v>8.4043023423524836E-8</v>
      </c>
      <c r="BB83" s="175">
        <v>17042.5</v>
      </c>
      <c r="BC83" s="175">
        <v>7.3532249996787868E-2</v>
      </c>
      <c r="BD83" s="175">
        <v>1</v>
      </c>
      <c r="BH83" s="175">
        <v>16959</v>
      </c>
      <c r="BI83" s="175">
        <v>7.1538299998792354E-2</v>
      </c>
      <c r="BJ83" s="175">
        <v>1</v>
      </c>
    </row>
    <row r="84" spans="1:62" s="175" customFormat="1" ht="12.95" customHeight="1" x14ac:dyDescent="0.2">
      <c r="A84" s="244" t="s">
        <v>841</v>
      </c>
      <c r="B84" s="235" t="s">
        <v>64</v>
      </c>
      <c r="C84" s="237">
        <v>47963.575900000003</v>
      </c>
      <c r="D84" s="237" t="s">
        <v>92</v>
      </c>
      <c r="E84" s="241">
        <f t="shared" si="1"/>
        <v>2151.0065113286773</v>
      </c>
      <c r="F84" s="241">
        <f t="shared" si="2"/>
        <v>2151</v>
      </c>
      <c r="G84" s="228">
        <f>C84-(C$7+F84*C$8)</f>
        <v>3.0687000034959055E-3</v>
      </c>
      <c r="H84" s="229"/>
      <c r="I84" s="229"/>
      <c r="J84" s="229">
        <f>G84</f>
        <v>3.0687000034959055E-3</v>
      </c>
      <c r="L84" s="229"/>
      <c r="M84" s="229"/>
      <c r="N84" s="229"/>
      <c r="P84" s="225">
        <f t="shared" si="4"/>
        <v>2.4586017450073765E-3</v>
      </c>
      <c r="Q84" s="230">
        <f t="shared" si="5"/>
        <v>32945.075900000003</v>
      </c>
      <c r="R84" s="229">
        <f>(G84-P84)^2</f>
        <v>3.7221988501073602E-7</v>
      </c>
      <c r="S84" s="229">
        <v>1</v>
      </c>
      <c r="T84" s="220">
        <f t="shared" si="7"/>
        <v>3.7221988501073602E-7</v>
      </c>
      <c r="BB84" s="175">
        <v>17044.5</v>
      </c>
      <c r="BC84" s="175">
        <v>7.3459649996948428E-2</v>
      </c>
      <c r="BD84" s="175">
        <v>1</v>
      </c>
      <c r="BH84" s="175">
        <v>16995</v>
      </c>
      <c r="BI84" s="175">
        <v>7.1431500000471715E-2</v>
      </c>
      <c r="BJ84" s="175">
        <v>1</v>
      </c>
    </row>
    <row r="85" spans="1:62" s="175" customFormat="1" ht="12.95" customHeight="1" x14ac:dyDescent="0.2">
      <c r="A85" s="241" t="s">
        <v>49</v>
      </c>
      <c r="B85" s="238"/>
      <c r="C85" s="228">
        <v>48014.49</v>
      </c>
      <c r="D85" s="239"/>
      <c r="E85" s="241">
        <f t="shared" ref="E85:E148" si="19">(C85-C$7)/C$8</f>
        <v>2259.0387202004281</v>
      </c>
      <c r="F85" s="241">
        <f t="shared" ref="F85:F148" si="20">ROUND(2*E85,0)/2</f>
        <v>2259</v>
      </c>
      <c r="G85" s="178"/>
      <c r="H85" s="241"/>
      <c r="I85" s="229"/>
      <c r="J85" s="229"/>
      <c r="K85" s="229"/>
      <c r="L85" s="229"/>
      <c r="M85" s="229"/>
      <c r="P85" s="225">
        <f t="shared" ref="P85:P148" si="21">+D$11+D$12*F85+D$13*F85^2</f>
        <v>2.578544513205305E-3</v>
      </c>
      <c r="Q85" s="230">
        <f t="shared" ref="Q85:Q148" si="22">C85-15018.5</f>
        <v>32995.99</v>
      </c>
      <c r="R85" s="229"/>
      <c r="S85" s="229"/>
      <c r="T85" s="220">
        <f t="shared" ref="T85:T148" si="23">R85*S85</f>
        <v>0</v>
      </c>
      <c r="U85" s="241">
        <f>C85-(C$7+F85*C$8)</f>
        <v>1.8248299995320849E-2</v>
      </c>
      <c r="V85" s="204"/>
      <c r="BB85" s="175">
        <v>17078.5</v>
      </c>
      <c r="BC85" s="175">
        <v>7.7425449999282137E-2</v>
      </c>
      <c r="BD85" s="175">
        <v>1</v>
      </c>
      <c r="BH85" s="175">
        <v>17042.5</v>
      </c>
      <c r="BI85" s="175">
        <v>7.3532249996787868E-2</v>
      </c>
      <c r="BJ85" s="175">
        <v>1</v>
      </c>
    </row>
    <row r="86" spans="1:62" s="175" customFormat="1" ht="12.95" customHeight="1" x14ac:dyDescent="0.2">
      <c r="A86" s="241" t="s">
        <v>49</v>
      </c>
      <c r="B86" s="238"/>
      <c r="C86" s="228">
        <v>48015.413</v>
      </c>
      <c r="D86" s="239"/>
      <c r="E86" s="241">
        <f t="shared" si="19"/>
        <v>2260.9971900307678</v>
      </c>
      <c r="F86" s="241">
        <f t="shared" si="20"/>
        <v>2261</v>
      </c>
      <c r="G86" s="178"/>
      <c r="H86" s="241"/>
      <c r="I86" s="229"/>
      <c r="J86" s="229"/>
      <c r="K86" s="229"/>
      <c r="L86" s="229"/>
      <c r="M86" s="229"/>
      <c r="P86" s="225">
        <f t="shared" si="21"/>
        <v>2.580819226363832E-3</v>
      </c>
      <c r="Q86" s="230">
        <f t="shared" si="22"/>
        <v>32996.913</v>
      </c>
      <c r="R86" s="229"/>
      <c r="S86" s="229"/>
      <c r="T86" s="220">
        <f t="shared" si="23"/>
        <v>0</v>
      </c>
      <c r="U86" s="241">
        <f>C86-(C$7+F86*C$8)</f>
        <v>-1.3242999993963167E-3</v>
      </c>
      <c r="V86" s="204"/>
      <c r="BB86" s="175">
        <v>17188</v>
      </c>
      <c r="BC86" s="175">
        <v>7.3755600002186839E-2</v>
      </c>
      <c r="BD86" s="175">
        <v>1</v>
      </c>
      <c r="BH86" s="175">
        <v>17044.5</v>
      </c>
      <c r="BI86" s="175">
        <v>7.3459649996948428E-2</v>
      </c>
      <c r="BJ86" s="175">
        <v>1</v>
      </c>
    </row>
    <row r="87" spans="1:62" s="175" customFormat="1" ht="12.95" customHeight="1" x14ac:dyDescent="0.2">
      <c r="A87" s="241" t="s">
        <v>49</v>
      </c>
      <c r="B87" s="238"/>
      <c r="C87" s="228">
        <v>48039.463000000003</v>
      </c>
      <c r="D87" s="239"/>
      <c r="E87" s="241">
        <f t="shared" si="19"/>
        <v>2312.0277419479421</v>
      </c>
      <c r="F87" s="241">
        <f t="shared" si="20"/>
        <v>2312</v>
      </c>
      <c r="G87" s="178"/>
      <c r="H87" s="241"/>
      <c r="I87" s="229"/>
      <c r="J87" s="229"/>
      <c r="K87" s="229"/>
      <c r="L87" s="229"/>
      <c r="M87" s="229"/>
      <c r="P87" s="225">
        <f t="shared" si="21"/>
        <v>2.6394823563175469E-3</v>
      </c>
      <c r="Q87" s="230">
        <f t="shared" si="22"/>
        <v>33020.963000000003</v>
      </c>
      <c r="R87" s="229"/>
      <c r="S87" s="229"/>
      <c r="T87" s="220">
        <f t="shared" si="23"/>
        <v>0</v>
      </c>
      <c r="U87" s="241">
        <f>C87-(C$7+F87*C$8)</f>
        <v>1.3074399998004083E-2</v>
      </c>
      <c r="V87" s="204"/>
      <c r="BB87" s="175">
        <v>17188</v>
      </c>
      <c r="BC87" s="175">
        <v>7.3855599999660626E-2</v>
      </c>
      <c r="BD87" s="175">
        <v>1</v>
      </c>
      <c r="BH87" s="175">
        <v>17078.5</v>
      </c>
      <c r="BI87" s="175">
        <v>7.7425449999282137E-2</v>
      </c>
      <c r="BJ87" s="175">
        <v>1</v>
      </c>
    </row>
    <row r="88" spans="1:62" s="175" customFormat="1" ht="12.95" customHeight="1" x14ac:dyDescent="0.2">
      <c r="A88" s="241" t="s">
        <v>49</v>
      </c>
      <c r="B88" s="238" t="s">
        <v>60</v>
      </c>
      <c r="C88" s="228">
        <v>48044.400999999998</v>
      </c>
      <c r="D88" s="239"/>
      <c r="E88" s="241">
        <f t="shared" si="19"/>
        <v>2322.5054494475971</v>
      </c>
      <c r="F88" s="241">
        <f t="shared" si="20"/>
        <v>2322.5</v>
      </c>
      <c r="G88" s="178"/>
      <c r="H88" s="241"/>
      <c r="I88" s="229"/>
      <c r="J88" s="229"/>
      <c r="K88" s="229"/>
      <c r="L88" s="229"/>
      <c r="M88" s="229"/>
      <c r="P88" s="225">
        <f t="shared" si="21"/>
        <v>2.6517172432664266E-3</v>
      </c>
      <c r="Q88" s="230">
        <f t="shared" si="22"/>
        <v>33025.900999999998</v>
      </c>
      <c r="R88" s="229"/>
      <c r="S88" s="229"/>
      <c r="T88" s="220">
        <f t="shared" si="23"/>
        <v>0</v>
      </c>
      <c r="U88" s="241">
        <f>C88-(C$7+F88*C$8)</f>
        <v>2.5682499981485307E-3</v>
      </c>
      <c r="V88" s="204"/>
      <c r="BB88" s="175">
        <v>17188</v>
      </c>
      <c r="BC88" s="175">
        <v>7.4255600004107691E-2</v>
      </c>
      <c r="BD88" s="175">
        <v>1</v>
      </c>
      <c r="BH88" s="175">
        <v>17188</v>
      </c>
      <c r="BI88" s="175">
        <v>7.3755600002186839E-2</v>
      </c>
      <c r="BJ88" s="175">
        <v>1</v>
      </c>
    </row>
    <row r="89" spans="1:62" s="175" customFormat="1" ht="12.95" customHeight="1" x14ac:dyDescent="0.2">
      <c r="A89" s="234" t="s">
        <v>841</v>
      </c>
      <c r="B89" s="235" t="s">
        <v>60</v>
      </c>
      <c r="C89" s="236">
        <v>48084.460599999999</v>
      </c>
      <c r="D89" s="237" t="s">
        <v>92</v>
      </c>
      <c r="E89" s="241">
        <f t="shared" si="19"/>
        <v>2407.5060106775768</v>
      </c>
      <c r="F89" s="241">
        <f t="shared" si="20"/>
        <v>2407.5</v>
      </c>
      <c r="G89" s="228">
        <f>C89-(C$7+F89*C$8)</f>
        <v>2.832749996741768E-3</v>
      </c>
      <c r="H89" s="229"/>
      <c r="I89" s="229"/>
      <c r="J89" s="229">
        <f>G89</f>
        <v>2.832749996741768E-3</v>
      </c>
      <c r="K89" s="229"/>
      <c r="L89" s="229"/>
      <c r="M89" s="229"/>
      <c r="P89" s="225">
        <f t="shared" si="21"/>
        <v>2.752737468427335E-3</v>
      </c>
      <c r="Q89" s="230">
        <f t="shared" si="22"/>
        <v>33065.960599999999</v>
      </c>
      <c r="R89" s="229">
        <f>(G89-P89)^2</f>
        <v>6.4020046872679366E-9</v>
      </c>
      <c r="S89" s="229">
        <v>1</v>
      </c>
      <c r="T89" s="220">
        <f t="shared" si="23"/>
        <v>6.4020046872679366E-9</v>
      </c>
      <c r="U89" s="229"/>
      <c r="X89" s="199"/>
      <c r="BH89" s="175">
        <v>17188</v>
      </c>
      <c r="BI89" s="175">
        <v>7.3855599999660626E-2</v>
      </c>
      <c r="BJ89" s="175">
        <v>1</v>
      </c>
    </row>
    <row r="90" spans="1:62" s="175" customFormat="1" ht="12.95" customHeight="1" x14ac:dyDescent="0.2">
      <c r="A90" s="231" t="s">
        <v>420</v>
      </c>
      <c r="B90" s="203" t="s">
        <v>64</v>
      </c>
      <c r="C90" s="233">
        <v>48084.4611</v>
      </c>
      <c r="D90" s="205" t="s">
        <v>236</v>
      </c>
      <c r="E90" s="241">
        <f t="shared" si="19"/>
        <v>2407.5070716038158</v>
      </c>
      <c r="F90" s="241">
        <f t="shared" si="20"/>
        <v>2407.5</v>
      </c>
      <c r="G90" s="228">
        <f>C90-(C$7+F90*C$8)</f>
        <v>3.3327499986626208E-3</v>
      </c>
      <c r="H90" s="229"/>
      <c r="I90" s="229"/>
      <c r="J90" s="229">
        <f>G90</f>
        <v>3.3327499986626208E-3</v>
      </c>
      <c r="K90" s="229"/>
      <c r="L90" s="229"/>
      <c r="M90" s="229"/>
      <c r="P90" s="225">
        <f t="shared" si="21"/>
        <v>2.752737468427335E-3</v>
      </c>
      <c r="Q90" s="230">
        <f t="shared" si="22"/>
        <v>33065.9611</v>
      </c>
      <c r="R90" s="229">
        <f>(G90-P90)^2</f>
        <v>3.3641453522993828E-7</v>
      </c>
      <c r="S90" s="229">
        <v>1</v>
      </c>
      <c r="T90" s="220">
        <f t="shared" si="23"/>
        <v>3.3641453522993828E-7</v>
      </c>
      <c r="U90" s="229"/>
      <c r="BB90" s="175">
        <v>17243</v>
      </c>
      <c r="BC90" s="175">
        <v>7.5029099993116688E-2</v>
      </c>
      <c r="BD90" s="175">
        <v>1</v>
      </c>
      <c r="BH90" s="175">
        <v>17188</v>
      </c>
      <c r="BI90" s="175">
        <v>7.4255600004107691E-2</v>
      </c>
      <c r="BJ90" s="175">
        <v>1</v>
      </c>
    </row>
    <row r="91" spans="1:62" s="175" customFormat="1" ht="12.95" customHeight="1" x14ac:dyDescent="0.2">
      <c r="A91" s="234" t="s">
        <v>841</v>
      </c>
      <c r="B91" s="235" t="s">
        <v>60</v>
      </c>
      <c r="C91" s="236">
        <v>48084.461499999998</v>
      </c>
      <c r="D91" s="237" t="s">
        <v>160</v>
      </c>
      <c r="E91" s="241">
        <f t="shared" si="19"/>
        <v>2407.5079203447981</v>
      </c>
      <c r="F91" s="241">
        <f t="shared" si="20"/>
        <v>2407.5</v>
      </c>
      <c r="G91" s="228">
        <f>C91-(C$7+F91*C$8)</f>
        <v>3.7327499958337285E-3</v>
      </c>
      <c r="H91" s="229"/>
      <c r="I91" s="229"/>
      <c r="J91" s="229">
        <f>G91</f>
        <v>3.7327499958337285E-3</v>
      </c>
      <c r="K91" s="229"/>
      <c r="L91" s="229"/>
      <c r="M91" s="229"/>
      <c r="P91" s="225">
        <f t="shared" si="21"/>
        <v>2.752737468427335E-3</v>
      </c>
      <c r="Q91" s="230">
        <f t="shared" si="22"/>
        <v>33065.961499999998</v>
      </c>
      <c r="R91" s="229">
        <f>(G91-P91)^2</f>
        <v>9.6042455387346712E-7</v>
      </c>
      <c r="S91" s="229">
        <v>1</v>
      </c>
      <c r="T91" s="220">
        <f t="shared" si="23"/>
        <v>9.6042455387346712E-7</v>
      </c>
      <c r="U91" s="229"/>
      <c r="BB91" s="175">
        <v>17258</v>
      </c>
      <c r="BC91" s="175">
        <v>7.4734599998919293E-2</v>
      </c>
      <c r="BD91" s="175">
        <v>1</v>
      </c>
      <c r="BH91" s="175">
        <v>17243</v>
      </c>
      <c r="BI91" s="175">
        <v>7.5029099993116688E-2</v>
      </c>
      <c r="BJ91" s="175">
        <v>1</v>
      </c>
    </row>
    <row r="92" spans="1:62" s="175" customFormat="1" ht="12.95" customHeight="1" x14ac:dyDescent="0.2">
      <c r="A92" s="241" t="s">
        <v>50</v>
      </c>
      <c r="B92" s="238" t="s">
        <v>60</v>
      </c>
      <c r="C92" s="228">
        <v>48085.415000000001</v>
      </c>
      <c r="D92" s="239"/>
      <c r="E92" s="241">
        <f t="shared" si="19"/>
        <v>2409.5311066754921</v>
      </c>
      <c r="F92" s="241">
        <f t="shared" si="20"/>
        <v>2409.5</v>
      </c>
      <c r="G92" s="178"/>
      <c r="H92" s="241"/>
      <c r="I92" s="229"/>
      <c r="J92" s="229"/>
      <c r="K92" s="229"/>
      <c r="L92" s="229"/>
      <c r="M92" s="229"/>
      <c r="P92" s="225">
        <f t="shared" si="21"/>
        <v>2.7551567687039884E-3</v>
      </c>
      <c r="Q92" s="230">
        <f t="shared" si="22"/>
        <v>33066.915000000001</v>
      </c>
      <c r="R92" s="229"/>
      <c r="S92" s="229"/>
      <c r="T92" s="220">
        <f t="shared" si="23"/>
        <v>0</v>
      </c>
      <c r="U92" s="241">
        <f>C92-(C$7+F92*C$8)</f>
        <v>1.4660149994597305E-2</v>
      </c>
      <c r="V92" s="204"/>
      <c r="BB92" s="175">
        <v>17287.5</v>
      </c>
      <c r="BC92" s="175">
        <v>7.4888749993988313E-2</v>
      </c>
      <c r="BD92" s="175">
        <v>1</v>
      </c>
      <c r="BH92" s="175">
        <v>17258</v>
      </c>
      <c r="BI92" s="175">
        <v>7.4734599998919293E-2</v>
      </c>
      <c r="BJ92" s="175">
        <v>1</v>
      </c>
    </row>
    <row r="93" spans="1:62" s="175" customFormat="1" ht="12.95" customHeight="1" x14ac:dyDescent="0.2">
      <c r="A93" s="241" t="s">
        <v>50</v>
      </c>
      <c r="B93" s="238"/>
      <c r="C93" s="228">
        <v>48089.428999999996</v>
      </c>
      <c r="D93" s="239"/>
      <c r="E93" s="241">
        <f t="shared" si="19"/>
        <v>2418.0482224923439</v>
      </c>
      <c r="F93" s="241">
        <f t="shared" si="20"/>
        <v>2418</v>
      </c>
      <c r="G93" s="178"/>
      <c r="H93" s="241"/>
      <c r="I93" s="229"/>
      <c r="J93" s="229"/>
      <c r="K93" s="229"/>
      <c r="L93" s="229"/>
      <c r="M93" s="229"/>
      <c r="P93" s="225">
        <f t="shared" si="21"/>
        <v>2.7654605194593852E-3</v>
      </c>
      <c r="Q93" s="230">
        <f t="shared" si="22"/>
        <v>33070.928999999996</v>
      </c>
      <c r="R93" s="229"/>
      <c r="S93" s="229"/>
      <c r="T93" s="220">
        <f t="shared" si="23"/>
        <v>0</v>
      </c>
      <c r="U93" s="241">
        <f>C93-(C$7+F93*C$8)</f>
        <v>2.2726599992893171E-2</v>
      </c>
      <c r="V93" s="204"/>
      <c r="BB93" s="175">
        <v>17829</v>
      </c>
      <c r="BC93" s="175">
        <v>7.6237300003413111E-2</v>
      </c>
      <c r="BD93" s="175">
        <v>0.5</v>
      </c>
      <c r="BH93" s="175">
        <v>17287.5</v>
      </c>
      <c r="BI93" s="175">
        <v>7.4888749993988313E-2</v>
      </c>
      <c r="BJ93" s="175">
        <v>1</v>
      </c>
    </row>
    <row r="94" spans="1:62" s="175" customFormat="1" ht="12.95" customHeight="1" x14ac:dyDescent="0.2">
      <c r="A94" s="241" t="s">
        <v>50</v>
      </c>
      <c r="B94" s="238"/>
      <c r="C94" s="228">
        <v>48113.425999999999</v>
      </c>
      <c r="D94" s="239"/>
      <c r="E94" s="241">
        <f t="shared" si="19"/>
        <v>2468.9663162285783</v>
      </c>
      <c r="F94" s="241">
        <f t="shared" si="20"/>
        <v>2469</v>
      </c>
      <c r="G94" s="178"/>
      <c r="H94" s="241"/>
      <c r="I94" s="229"/>
      <c r="J94" s="229"/>
      <c r="K94" s="229"/>
      <c r="L94" s="229"/>
      <c r="M94" s="229"/>
      <c r="P94" s="225">
        <f t="shared" si="21"/>
        <v>2.82802165969876E-3</v>
      </c>
      <c r="Q94" s="230">
        <f t="shared" si="22"/>
        <v>33094.925999999999</v>
      </c>
      <c r="R94" s="229"/>
      <c r="S94" s="229"/>
      <c r="T94" s="220">
        <f t="shared" si="23"/>
        <v>0</v>
      </c>
      <c r="U94" s="241">
        <f>C94-(C$7+F94*C$8)</f>
        <v>-1.5874700002314057E-2</v>
      </c>
      <c r="V94" s="204"/>
      <c r="BB94" s="175">
        <v>17829</v>
      </c>
      <c r="BC94" s="175">
        <v>7.7537299999676179E-2</v>
      </c>
      <c r="BD94" s="175">
        <v>0.5</v>
      </c>
      <c r="BH94" s="175">
        <v>17829</v>
      </c>
      <c r="BI94" s="175">
        <v>7.6237300003413111E-2</v>
      </c>
      <c r="BJ94" s="175">
        <v>0.5</v>
      </c>
    </row>
    <row r="95" spans="1:62" s="175" customFormat="1" ht="12.95" customHeight="1" x14ac:dyDescent="0.2">
      <c r="A95" s="241" t="s">
        <v>50</v>
      </c>
      <c r="B95" s="238"/>
      <c r="C95" s="228">
        <v>48114.400000000001</v>
      </c>
      <c r="D95" s="239"/>
      <c r="E95" s="241">
        <f t="shared" si="19"/>
        <v>2471.033000534916</v>
      </c>
      <c r="F95" s="241">
        <f t="shared" si="20"/>
        <v>2471</v>
      </c>
      <c r="G95" s="178"/>
      <c r="H95" s="241"/>
      <c r="I95" s="229"/>
      <c r="J95" s="229"/>
      <c r="K95" s="229"/>
      <c r="L95" s="229"/>
      <c r="M95" s="229"/>
      <c r="P95" s="225">
        <f t="shared" si="21"/>
        <v>2.8305008394889815E-3</v>
      </c>
      <c r="Q95" s="230">
        <f t="shared" si="22"/>
        <v>33095.9</v>
      </c>
      <c r="R95" s="229"/>
      <c r="S95" s="229"/>
      <c r="T95" s="220">
        <f t="shared" si="23"/>
        <v>0</v>
      </c>
      <c r="U95" s="241">
        <f>C95-(C$7+F95*C$8)</f>
        <v>1.555269999516895E-2</v>
      </c>
      <c r="V95" s="204"/>
      <c r="BB95" s="175">
        <v>17829</v>
      </c>
      <c r="BC95" s="175">
        <v>7.8137299999070819E-2</v>
      </c>
      <c r="BD95" s="175">
        <v>1</v>
      </c>
      <c r="BH95" s="175">
        <v>17829</v>
      </c>
      <c r="BI95" s="175">
        <v>7.7537299999676179E-2</v>
      </c>
      <c r="BJ95" s="175">
        <v>0.5</v>
      </c>
    </row>
    <row r="96" spans="1:62" s="175" customFormat="1" ht="12.95" customHeight="1" x14ac:dyDescent="0.2">
      <c r="A96" s="241" t="s">
        <v>50</v>
      </c>
      <c r="B96" s="238"/>
      <c r="C96" s="228">
        <v>48163.402000000002</v>
      </c>
      <c r="D96" s="239"/>
      <c r="E96" s="241">
        <f t="shared" si="19"/>
        <v>2575.0080152977052</v>
      </c>
      <c r="F96" s="241">
        <f t="shared" si="20"/>
        <v>2575</v>
      </c>
      <c r="G96" s="178"/>
      <c r="H96" s="241"/>
      <c r="I96" s="229"/>
      <c r="J96" s="229"/>
      <c r="K96" s="229"/>
      <c r="L96" s="229"/>
      <c r="M96" s="229"/>
      <c r="P96" s="225">
        <f t="shared" si="21"/>
        <v>2.962101569708833E-3</v>
      </c>
      <c r="Q96" s="230">
        <f t="shared" si="22"/>
        <v>33144.902000000002</v>
      </c>
      <c r="R96" s="229"/>
      <c r="S96" s="229"/>
      <c r="T96" s="220">
        <f t="shared" si="23"/>
        <v>0</v>
      </c>
      <c r="U96" s="241">
        <f>C96-(C$7+F96*C$8)</f>
        <v>3.7775000018882565E-3</v>
      </c>
      <c r="V96" s="204"/>
      <c r="X96" s="199"/>
      <c r="BH96" s="175">
        <v>17829</v>
      </c>
      <c r="BI96" s="175">
        <v>7.8137299999070819E-2</v>
      </c>
      <c r="BJ96" s="175">
        <v>1</v>
      </c>
    </row>
    <row r="97" spans="1:62" s="175" customFormat="1" ht="12.95" customHeight="1" x14ac:dyDescent="0.2">
      <c r="A97" s="231" t="s">
        <v>420</v>
      </c>
      <c r="B97" s="203" t="s">
        <v>64</v>
      </c>
      <c r="C97" s="233">
        <v>48358.516000000003</v>
      </c>
      <c r="D97" s="205" t="s">
        <v>236</v>
      </c>
      <c r="E97" s="241">
        <f t="shared" si="19"/>
        <v>2989.0111382401742</v>
      </c>
      <c r="F97" s="241">
        <f t="shared" si="20"/>
        <v>2989</v>
      </c>
      <c r="G97" s="228">
        <f>C97-(C$7+F97*C$8)</f>
        <v>5.2492999966489151E-3</v>
      </c>
      <c r="H97" s="229"/>
      <c r="I97" s="229"/>
      <c r="J97" s="229">
        <f>G97</f>
        <v>5.2492999966489151E-3</v>
      </c>
      <c r="K97" s="229"/>
      <c r="L97" s="229"/>
      <c r="M97" s="229"/>
      <c r="P97" s="225">
        <f t="shared" si="21"/>
        <v>3.538174038386366E-3</v>
      </c>
      <c r="Q97" s="230">
        <f t="shared" si="22"/>
        <v>33340.016000000003</v>
      </c>
      <c r="R97" s="229">
        <f>(G97-P97)^2</f>
        <v>2.9279520450399272E-6</v>
      </c>
      <c r="S97" s="229">
        <v>1</v>
      </c>
      <c r="T97" s="220">
        <f t="shared" si="23"/>
        <v>2.9279520450399272E-6</v>
      </c>
      <c r="U97" s="229"/>
      <c r="BB97" s="175">
        <v>17880</v>
      </c>
      <c r="BC97" s="175">
        <v>8.1055999995442107E-2</v>
      </c>
      <c r="BD97" s="175">
        <v>0.5</v>
      </c>
      <c r="BH97" s="175">
        <v>17880</v>
      </c>
      <c r="BI97" s="175">
        <v>8.1055999995442107E-2</v>
      </c>
      <c r="BJ97" s="175">
        <v>0.5</v>
      </c>
    </row>
    <row r="98" spans="1:62" s="175" customFormat="1" ht="12.95" customHeight="1" x14ac:dyDescent="0.2">
      <c r="A98" s="241" t="s">
        <v>51</v>
      </c>
      <c r="B98" s="238"/>
      <c r="C98" s="228">
        <v>48433.409</v>
      </c>
      <c r="D98" s="239"/>
      <c r="E98" s="241">
        <f t="shared" si="19"/>
        <v>3147.9230353184394</v>
      </c>
      <c r="F98" s="241">
        <f t="shared" si="20"/>
        <v>3148</v>
      </c>
      <c r="G98" s="178"/>
      <c r="H98" s="241"/>
      <c r="I98" s="229"/>
      <c r="J98" s="229"/>
      <c r="K98" s="229"/>
      <c r="L98" s="229"/>
      <c r="M98" s="229"/>
      <c r="P98" s="225">
        <f t="shared" si="21"/>
        <v>3.7815958587851398E-3</v>
      </c>
      <c r="Q98" s="230">
        <f t="shared" si="22"/>
        <v>33414.909</v>
      </c>
      <c r="R98" s="229"/>
      <c r="S98" s="229"/>
      <c r="T98" s="220">
        <f t="shared" si="23"/>
        <v>0</v>
      </c>
      <c r="U98" s="241">
        <f>C98-(C$7+F98*C$8)</f>
        <v>-3.6272400000598282E-2</v>
      </c>
      <c r="V98" s="204"/>
      <c r="BB98" s="175">
        <v>17916</v>
      </c>
      <c r="BC98" s="175">
        <v>8.0549199992674403E-2</v>
      </c>
      <c r="BD98" s="175">
        <v>1</v>
      </c>
      <c r="BH98" s="175">
        <v>17916</v>
      </c>
      <c r="BI98" s="175">
        <v>8.0549199992674403E-2</v>
      </c>
      <c r="BJ98" s="175">
        <v>1</v>
      </c>
    </row>
    <row r="99" spans="1:62" s="175" customFormat="1" ht="12.95" customHeight="1" x14ac:dyDescent="0.2">
      <c r="A99" s="241" t="s">
        <v>51</v>
      </c>
      <c r="B99" s="238"/>
      <c r="C99" s="228">
        <v>48441.45</v>
      </c>
      <c r="D99" s="239"/>
      <c r="E99" s="241">
        <f t="shared" si="19"/>
        <v>3164.984851034274</v>
      </c>
      <c r="F99" s="241">
        <f t="shared" si="20"/>
        <v>3165</v>
      </c>
      <c r="G99" s="178"/>
      <c r="H99" s="241"/>
      <c r="I99" s="229"/>
      <c r="J99" s="229"/>
      <c r="K99" s="229"/>
      <c r="L99" s="229"/>
      <c r="M99" s="229"/>
      <c r="P99" s="225">
        <f t="shared" si="21"/>
        <v>3.8083503818239035E-3</v>
      </c>
      <c r="Q99" s="230">
        <f t="shared" si="22"/>
        <v>33422.949999999997</v>
      </c>
      <c r="R99" s="229"/>
      <c r="S99" s="229"/>
      <c r="T99" s="220">
        <f t="shared" si="23"/>
        <v>0</v>
      </c>
      <c r="U99" s="241">
        <f>C99-(C$7+F99*C$8)</f>
        <v>-7.13950000499608E-3</v>
      </c>
      <c r="V99" s="204"/>
      <c r="BB99" s="175">
        <v>18024</v>
      </c>
      <c r="BC99" s="175">
        <v>8.1428799996501766E-2</v>
      </c>
      <c r="BD99" s="175">
        <v>1</v>
      </c>
      <c r="BH99" s="175">
        <v>18024</v>
      </c>
      <c r="BI99" s="175">
        <v>8.1428799996501766E-2</v>
      </c>
      <c r="BJ99" s="175">
        <v>1</v>
      </c>
    </row>
    <row r="100" spans="1:62" s="175" customFormat="1" ht="12.95" customHeight="1" x14ac:dyDescent="0.2">
      <c r="A100" s="241" t="s">
        <v>51</v>
      </c>
      <c r="B100" s="238"/>
      <c r="C100" s="228">
        <v>48449.425999999999</v>
      </c>
      <c r="D100" s="239"/>
      <c r="E100" s="241">
        <f t="shared" si="19"/>
        <v>3181.9087463395317</v>
      </c>
      <c r="F100" s="241">
        <f t="shared" si="20"/>
        <v>3182</v>
      </c>
      <c r="G100" s="178"/>
      <c r="H100" s="241"/>
      <c r="I100" s="229"/>
      <c r="J100" s="229"/>
      <c r="K100" s="229"/>
      <c r="L100" s="229"/>
      <c r="M100" s="229"/>
      <c r="P100" s="225">
        <f t="shared" si="21"/>
        <v>3.8352455973782846E-3</v>
      </c>
      <c r="Q100" s="230">
        <f t="shared" si="22"/>
        <v>33430.925999999999</v>
      </c>
      <c r="R100" s="229"/>
      <c r="S100" s="229"/>
      <c r="T100" s="220">
        <f t="shared" si="23"/>
        <v>0</v>
      </c>
      <c r="U100" s="241">
        <f>C100-(C$7+F100*C$8)</f>
        <v>-4.3006600004446227E-2</v>
      </c>
      <c r="V100" s="204"/>
      <c r="BB100" s="175">
        <v>18557.5</v>
      </c>
      <c r="BC100" s="175">
        <v>8.5387749997607898E-2</v>
      </c>
      <c r="BD100" s="175">
        <v>1</v>
      </c>
      <c r="BH100" s="175">
        <v>18557.5</v>
      </c>
      <c r="BI100" s="175">
        <v>8.5387749997607898E-2</v>
      </c>
      <c r="BJ100" s="175">
        <v>1</v>
      </c>
    </row>
    <row r="101" spans="1:62" s="175" customFormat="1" ht="12.95" customHeight="1" x14ac:dyDescent="0.2">
      <c r="A101" s="231" t="s">
        <v>453</v>
      </c>
      <c r="B101" s="203" t="s">
        <v>64</v>
      </c>
      <c r="C101" s="233">
        <v>48449.4738</v>
      </c>
      <c r="D101" s="205" t="s">
        <v>236</v>
      </c>
      <c r="E101" s="241">
        <f t="shared" si="19"/>
        <v>3182.0101708876255</v>
      </c>
      <c r="F101" s="241">
        <f t="shared" si="20"/>
        <v>3182</v>
      </c>
      <c r="G101" s="228">
        <f>C101-(C$7+F101*C$8)</f>
        <v>4.7933999958331697E-3</v>
      </c>
      <c r="H101" s="229"/>
      <c r="I101" s="229"/>
      <c r="J101" s="229">
        <f>G101</f>
        <v>4.7933999958331697E-3</v>
      </c>
      <c r="K101" s="229"/>
      <c r="L101" s="229"/>
      <c r="M101" s="229"/>
      <c r="P101" s="225">
        <f t="shared" si="21"/>
        <v>3.8352455973782846E-3</v>
      </c>
      <c r="Q101" s="230">
        <f t="shared" si="22"/>
        <v>33430.9738</v>
      </c>
      <c r="R101" s="229">
        <f>(G101-P101)^2</f>
        <v>9.180598512784427E-7</v>
      </c>
      <c r="S101" s="229">
        <v>1</v>
      </c>
      <c r="T101" s="220">
        <f t="shared" si="23"/>
        <v>9.180598512784427E-7</v>
      </c>
      <c r="U101" s="229"/>
      <c r="BB101" s="175">
        <v>18588.5</v>
      </c>
      <c r="BC101" s="175">
        <v>8.6412449993076734E-2</v>
      </c>
      <c r="BD101" s="175">
        <v>0.5</v>
      </c>
      <c r="BH101" s="175">
        <v>18588.5</v>
      </c>
      <c r="BI101" s="175">
        <v>8.6412449993076734E-2</v>
      </c>
      <c r="BJ101" s="175">
        <v>0.5</v>
      </c>
    </row>
    <row r="102" spans="1:62" s="175" customFormat="1" ht="12.95" customHeight="1" x14ac:dyDescent="0.2">
      <c r="A102" s="231" t="s">
        <v>453</v>
      </c>
      <c r="B102" s="203" t="s">
        <v>64</v>
      </c>
      <c r="C102" s="233">
        <v>48449.474399999999</v>
      </c>
      <c r="D102" s="205" t="s">
        <v>236</v>
      </c>
      <c r="E102" s="241">
        <f t="shared" si="19"/>
        <v>3182.0114439991066</v>
      </c>
      <c r="F102" s="241">
        <f t="shared" si="20"/>
        <v>3182</v>
      </c>
      <c r="G102" s="228">
        <f>C102-(C$7+F102*C$8)</f>
        <v>5.39339999522781E-3</v>
      </c>
      <c r="H102" s="229"/>
      <c r="I102" s="229"/>
      <c r="J102" s="229">
        <f>G102</f>
        <v>5.39339999522781E-3</v>
      </c>
      <c r="K102" s="229"/>
      <c r="L102" s="229"/>
      <c r="M102" s="229"/>
      <c r="P102" s="225">
        <f t="shared" si="21"/>
        <v>3.8352455973782846E-3</v>
      </c>
      <c r="Q102" s="230">
        <f t="shared" si="22"/>
        <v>33430.974399999999</v>
      </c>
      <c r="R102" s="229">
        <f>(G102-P102)^2</f>
        <v>2.427845127537817E-6</v>
      </c>
      <c r="S102" s="229">
        <v>1</v>
      </c>
      <c r="T102" s="220">
        <f t="shared" si="23"/>
        <v>2.427845127537817E-6</v>
      </c>
      <c r="U102" s="229"/>
      <c r="BB102" s="175">
        <v>18646.5</v>
      </c>
      <c r="BC102" s="175">
        <v>8.7807049996627029E-2</v>
      </c>
      <c r="BD102" s="175">
        <v>1</v>
      </c>
      <c r="BH102" s="175">
        <v>18646.5</v>
      </c>
      <c r="BI102" s="175">
        <v>8.7807049996627029E-2</v>
      </c>
      <c r="BJ102" s="175">
        <v>1</v>
      </c>
    </row>
    <row r="103" spans="1:62" s="175" customFormat="1" ht="12.95" customHeight="1" x14ac:dyDescent="0.2">
      <c r="A103" s="241" t="s">
        <v>51</v>
      </c>
      <c r="B103" s="238"/>
      <c r="C103" s="228">
        <v>48466.432999999997</v>
      </c>
      <c r="D103" s="239"/>
      <c r="E103" s="241">
        <f t="shared" si="19"/>
        <v>3217.9950913064827</v>
      </c>
      <c r="F103" s="241">
        <f t="shared" si="20"/>
        <v>3218</v>
      </c>
      <c r="G103" s="228">
        <f>C103-(C$7+F103*C$8)</f>
        <v>-2.313400007551536E-3</v>
      </c>
      <c r="H103" s="241"/>
      <c r="I103" s="229">
        <f>G103</f>
        <v>-2.313400007551536E-3</v>
      </c>
      <c r="J103" s="229"/>
      <c r="K103" s="229"/>
      <c r="L103" s="229"/>
      <c r="M103" s="229"/>
      <c r="P103" s="225">
        <f t="shared" si="21"/>
        <v>3.8926646028425802E-3</v>
      </c>
      <c r="Q103" s="230">
        <f t="shared" si="22"/>
        <v>33447.932999999997</v>
      </c>
      <c r="R103" s="229"/>
      <c r="S103" s="229"/>
      <c r="T103" s="220">
        <f t="shared" si="23"/>
        <v>0</v>
      </c>
      <c r="U103" s="231">
        <v>-2.313400007551536E-3</v>
      </c>
      <c r="V103" s="204"/>
    </row>
    <row r="104" spans="1:62" s="175" customFormat="1" ht="12.95" customHeight="1" x14ac:dyDescent="0.2">
      <c r="A104" s="231" t="s">
        <v>453</v>
      </c>
      <c r="B104" s="203" t="s">
        <v>64</v>
      </c>
      <c r="C104" s="233">
        <v>48474.452899999997</v>
      </c>
      <c r="D104" s="205" t="s">
        <v>236</v>
      </c>
      <c r="E104" s="241">
        <f t="shared" si="19"/>
        <v>3235.012135935192</v>
      </c>
      <c r="F104" s="241">
        <f t="shared" si="20"/>
        <v>3235</v>
      </c>
      <c r="G104" s="228">
        <f>C104-(C$7+F104*C$8)</f>
        <v>5.7194999899365939E-3</v>
      </c>
      <c r="H104" s="229"/>
      <c r="I104" s="229"/>
      <c r="J104" s="229">
        <f>G104</f>
        <v>5.7194999899365939E-3</v>
      </c>
      <c r="K104" s="229"/>
      <c r="L104" s="229"/>
      <c r="M104" s="229"/>
      <c r="P104" s="225">
        <f t="shared" si="21"/>
        <v>3.9199984480044773E-3</v>
      </c>
      <c r="Q104" s="230">
        <f t="shared" si="22"/>
        <v>33455.952899999997</v>
      </c>
      <c r="R104" s="229">
        <f>(G104-P104)^2</f>
        <v>3.2382057994160653E-6</v>
      </c>
      <c r="S104" s="229">
        <v>1</v>
      </c>
      <c r="T104" s="220">
        <f t="shared" si="23"/>
        <v>3.2382057994160653E-6</v>
      </c>
      <c r="U104" s="229"/>
    </row>
    <row r="105" spans="1:62" s="175" customFormat="1" ht="12.95" customHeight="1" x14ac:dyDescent="0.2">
      <c r="A105" s="231" t="s">
        <v>453</v>
      </c>
      <c r="B105" s="203" t="s">
        <v>64</v>
      </c>
      <c r="C105" s="233">
        <v>48474.454700000002</v>
      </c>
      <c r="D105" s="205" t="s">
        <v>236</v>
      </c>
      <c r="E105" s="241">
        <f t="shared" si="19"/>
        <v>3235.0159552696505</v>
      </c>
      <c r="F105" s="241">
        <f t="shared" si="20"/>
        <v>3235</v>
      </c>
      <c r="G105" s="228">
        <f>C105-(C$7+F105*C$8)</f>
        <v>7.5194999953964725E-3</v>
      </c>
      <c r="H105" s="229"/>
      <c r="I105" s="229"/>
      <c r="J105" s="229">
        <f>G105</f>
        <v>7.5194999953964725E-3</v>
      </c>
      <c r="K105" s="229"/>
      <c r="L105" s="229"/>
      <c r="M105" s="229"/>
      <c r="P105" s="225">
        <f t="shared" si="21"/>
        <v>3.9199984480044773E-3</v>
      </c>
      <c r="Q105" s="230">
        <f t="shared" si="22"/>
        <v>33455.954700000002</v>
      </c>
      <c r="R105" s="229">
        <f>(G105-P105)^2</f>
        <v>1.2956411389677367E-5</v>
      </c>
      <c r="S105" s="229">
        <v>1</v>
      </c>
      <c r="T105" s="220">
        <f t="shared" si="23"/>
        <v>1.2956411389677367E-5</v>
      </c>
      <c r="U105" s="229"/>
    </row>
    <row r="106" spans="1:62" s="175" customFormat="1" ht="12.95" customHeight="1" x14ac:dyDescent="0.2">
      <c r="A106" s="241" t="s">
        <v>52</v>
      </c>
      <c r="B106" s="238" t="s">
        <v>60</v>
      </c>
      <c r="C106" s="228">
        <v>48503.44</v>
      </c>
      <c r="D106" s="239"/>
      <c r="E106" s="241">
        <f t="shared" si="19"/>
        <v>3296.518485684815</v>
      </c>
      <c r="F106" s="241">
        <f t="shared" si="20"/>
        <v>3296.5</v>
      </c>
      <c r="G106" s="243"/>
      <c r="H106" s="241"/>
      <c r="I106" s="229"/>
      <c r="J106" s="229"/>
      <c r="K106" s="229"/>
      <c r="L106" s="229"/>
      <c r="M106" s="229"/>
      <c r="P106" s="225">
        <f t="shared" si="21"/>
        <v>4.0200577880145187E-3</v>
      </c>
      <c r="Q106" s="230">
        <f t="shared" si="22"/>
        <v>33484.94</v>
      </c>
      <c r="R106" s="229"/>
      <c r="S106" s="229"/>
      <c r="T106" s="220">
        <f t="shared" si="23"/>
        <v>0</v>
      </c>
      <c r="U106" s="241">
        <f>C106-(C$7+F106*C$8)</f>
        <v>8.7120499956654385E-3</v>
      </c>
      <c r="V106" s="204"/>
    </row>
    <row r="107" spans="1:62" s="175" customFormat="1" ht="12.95" customHeight="1" x14ac:dyDescent="0.2">
      <c r="A107" s="241" t="s">
        <v>53</v>
      </c>
      <c r="B107" s="238"/>
      <c r="C107" s="228">
        <v>48761.447999999997</v>
      </c>
      <c r="D107" s="239"/>
      <c r="E107" s="241">
        <f t="shared" si="19"/>
        <v>3843.9733979111929</v>
      </c>
      <c r="F107" s="241">
        <f t="shared" si="20"/>
        <v>3844</v>
      </c>
      <c r="G107" s="178"/>
      <c r="H107" s="241"/>
      <c r="I107" s="229"/>
      <c r="J107" s="229"/>
      <c r="K107" s="229"/>
      <c r="L107" s="229"/>
      <c r="M107" s="229"/>
      <c r="P107" s="225">
        <f t="shared" si="21"/>
        <v>4.9919904348928439E-3</v>
      </c>
      <c r="Q107" s="230">
        <f t="shared" si="22"/>
        <v>33742.947999999997</v>
      </c>
      <c r="R107" s="229"/>
      <c r="S107" s="229"/>
      <c r="T107" s="220">
        <f t="shared" si="23"/>
        <v>0</v>
      </c>
      <c r="U107" s="241">
        <f>C107-(C$7+F107*C$8)</f>
        <v>-1.2537200003862381E-2</v>
      </c>
      <c r="V107" s="204"/>
    </row>
    <row r="108" spans="1:62" s="175" customFormat="1" ht="12.95" customHeight="1" x14ac:dyDescent="0.2">
      <c r="A108" s="241" t="s">
        <v>53</v>
      </c>
      <c r="B108" s="238"/>
      <c r="C108" s="228">
        <v>48820.400999999998</v>
      </c>
      <c r="D108" s="239"/>
      <c r="E108" s="241">
        <f t="shared" si="19"/>
        <v>3969.0629666086093</v>
      </c>
      <c r="F108" s="241">
        <f t="shared" si="20"/>
        <v>3969</v>
      </c>
      <c r="G108" s="178"/>
      <c r="H108" s="241"/>
      <c r="I108" s="229"/>
      <c r="J108" s="229"/>
      <c r="K108" s="229"/>
      <c r="L108" s="229"/>
      <c r="M108" s="229"/>
      <c r="P108" s="225">
        <f t="shared" si="21"/>
        <v>5.234354742147472E-3</v>
      </c>
      <c r="Q108" s="230">
        <f t="shared" si="22"/>
        <v>33801.900999999998</v>
      </c>
      <c r="R108" s="229"/>
      <c r="S108" s="220"/>
      <c r="T108" s="220">
        <f t="shared" si="23"/>
        <v>0</v>
      </c>
      <c r="U108" s="241">
        <f>C108-(C$7+F108*C$8)</f>
        <v>2.9675299992959481E-2</v>
      </c>
      <c r="V108" s="204"/>
    </row>
    <row r="109" spans="1:62" s="175" customFormat="1" ht="12.95" customHeight="1" x14ac:dyDescent="0.2">
      <c r="A109" s="241" t="s">
        <v>54</v>
      </c>
      <c r="B109" s="238"/>
      <c r="C109" s="228">
        <v>48845.353000000003</v>
      </c>
      <c r="D109" s="239"/>
      <c r="E109" s="241">
        <f t="shared" si="19"/>
        <v>4022.0074294542401</v>
      </c>
      <c r="F109" s="241">
        <f t="shared" si="20"/>
        <v>4022</v>
      </c>
      <c r="G109" s="178"/>
      <c r="H109" s="241"/>
      <c r="I109" s="229"/>
      <c r="J109" s="229"/>
      <c r="K109" s="229"/>
      <c r="L109" s="229"/>
      <c r="M109" s="229"/>
      <c r="P109" s="225">
        <f t="shared" si="21"/>
        <v>5.339413563427489E-3</v>
      </c>
      <c r="Q109" s="230">
        <f t="shared" si="22"/>
        <v>33826.853000000003</v>
      </c>
      <c r="R109" s="229"/>
      <c r="S109" s="220"/>
      <c r="T109" s="220">
        <f t="shared" si="23"/>
        <v>0</v>
      </c>
      <c r="U109" s="241">
        <f>C109-(C$7+F109*C$8)</f>
        <v>3.5014000022783875E-3</v>
      </c>
      <c r="V109" s="204"/>
    </row>
    <row r="110" spans="1:62" s="175" customFormat="1" ht="12.95" customHeight="1" x14ac:dyDescent="0.2">
      <c r="A110" s="231" t="s">
        <v>484</v>
      </c>
      <c r="B110" s="203" t="s">
        <v>64</v>
      </c>
      <c r="C110" s="233">
        <v>49147.451300000001</v>
      </c>
      <c r="D110" s="205" t="s">
        <v>233</v>
      </c>
      <c r="E110" s="241">
        <f t="shared" si="19"/>
        <v>4663.0154536637237</v>
      </c>
      <c r="F110" s="241">
        <f t="shared" si="20"/>
        <v>4663</v>
      </c>
      <c r="G110" s="228">
        <f t="shared" ref="G110:G115" si="24">C110-(C$7+F110*C$8)</f>
        <v>7.2830999997677281E-3</v>
      </c>
      <c r="H110" s="229"/>
      <c r="I110" s="229"/>
      <c r="J110" s="229">
        <f t="shared" ref="J110:J115" si="25">G110</f>
        <v>7.2830999997677281E-3</v>
      </c>
      <c r="K110" s="229"/>
      <c r="L110" s="229"/>
      <c r="M110" s="229"/>
      <c r="P110" s="225">
        <f t="shared" si="21"/>
        <v>6.7183137223612004E-3</v>
      </c>
      <c r="Q110" s="230">
        <f t="shared" si="22"/>
        <v>34128.951300000001</v>
      </c>
      <c r="R110" s="229">
        <f t="shared" ref="R110:R115" si="26">(G110-P110)^2</f>
        <v>3.189835391467233E-7</v>
      </c>
      <c r="S110" s="220">
        <v>1</v>
      </c>
      <c r="T110" s="220">
        <f t="shared" si="23"/>
        <v>3.189835391467233E-7</v>
      </c>
      <c r="U110" s="229"/>
    </row>
    <row r="111" spans="1:62" s="175" customFormat="1" ht="12.95" customHeight="1" x14ac:dyDescent="0.2">
      <c r="A111" s="204" t="s">
        <v>484</v>
      </c>
      <c r="B111" s="203" t="s">
        <v>64</v>
      </c>
      <c r="C111" s="205">
        <v>49147.451300000001</v>
      </c>
      <c r="D111" s="205" t="s">
        <v>233</v>
      </c>
      <c r="E111" s="241">
        <f t="shared" si="19"/>
        <v>4663.0154536637237</v>
      </c>
      <c r="F111" s="241">
        <f t="shared" si="20"/>
        <v>4663</v>
      </c>
      <c r="G111" s="228">
        <f t="shared" si="24"/>
        <v>7.2830999997677281E-3</v>
      </c>
      <c r="H111" s="229"/>
      <c r="I111" s="229"/>
      <c r="J111" s="229">
        <f t="shared" si="25"/>
        <v>7.2830999997677281E-3</v>
      </c>
      <c r="L111" s="229"/>
      <c r="M111" s="229"/>
      <c r="P111" s="225">
        <f t="shared" si="21"/>
        <v>6.7183137223612004E-3</v>
      </c>
      <c r="Q111" s="230">
        <f t="shared" si="22"/>
        <v>34128.951300000001</v>
      </c>
      <c r="R111" s="229">
        <f t="shared" si="26"/>
        <v>3.189835391467233E-7</v>
      </c>
      <c r="S111" s="220">
        <v>1</v>
      </c>
      <c r="T111" s="220">
        <f t="shared" si="23"/>
        <v>3.189835391467233E-7</v>
      </c>
    </row>
    <row r="112" spans="1:62" s="175" customFormat="1" ht="12.95" customHeight="1" x14ac:dyDescent="0.2">
      <c r="A112" s="204" t="s">
        <v>484</v>
      </c>
      <c r="B112" s="203" t="s">
        <v>64</v>
      </c>
      <c r="C112" s="205">
        <v>49474.525600000001</v>
      </c>
      <c r="D112" s="205" t="s">
        <v>233</v>
      </c>
      <c r="E112" s="241">
        <f t="shared" si="19"/>
        <v>5357.0188651781264</v>
      </c>
      <c r="F112" s="241">
        <f t="shared" si="20"/>
        <v>5357</v>
      </c>
      <c r="G112" s="228">
        <f t="shared" si="24"/>
        <v>8.8908999969135039E-3</v>
      </c>
      <c r="H112" s="229"/>
      <c r="I112" s="229"/>
      <c r="J112" s="229">
        <f t="shared" si="25"/>
        <v>8.8908999969135039E-3</v>
      </c>
      <c r="K112" s="229"/>
      <c r="L112" s="229"/>
      <c r="M112" s="229"/>
      <c r="P112" s="225">
        <f t="shared" si="21"/>
        <v>8.4367452992958163E-3</v>
      </c>
      <c r="Q112" s="230">
        <f t="shared" si="22"/>
        <v>34456.025600000001</v>
      </c>
      <c r="R112" s="229">
        <f t="shared" si="26"/>
        <v>2.0625648936821326E-7</v>
      </c>
      <c r="S112" s="220">
        <v>1</v>
      </c>
      <c r="T112" s="220">
        <f t="shared" si="23"/>
        <v>2.0625648936821326E-7</v>
      </c>
    </row>
    <row r="113" spans="1:24" s="175" customFormat="1" ht="12.95" customHeight="1" x14ac:dyDescent="0.2">
      <c r="A113" s="204" t="s">
        <v>484</v>
      </c>
      <c r="B113" s="203" t="s">
        <v>64</v>
      </c>
      <c r="C113" s="205">
        <v>49474.525699999998</v>
      </c>
      <c r="D113" s="205" t="s">
        <v>233</v>
      </c>
      <c r="E113" s="241">
        <f t="shared" si="19"/>
        <v>5357.0190773633676</v>
      </c>
      <c r="F113" s="241">
        <f t="shared" si="20"/>
        <v>5357</v>
      </c>
      <c r="G113" s="228">
        <f t="shared" si="24"/>
        <v>8.9908999943872914E-3</v>
      </c>
      <c r="H113" s="229"/>
      <c r="I113" s="229"/>
      <c r="J113" s="229">
        <f t="shared" si="25"/>
        <v>8.9908999943872914E-3</v>
      </c>
      <c r="K113" s="229"/>
      <c r="L113" s="229"/>
      <c r="M113" s="229"/>
      <c r="P113" s="225">
        <f t="shared" si="21"/>
        <v>8.4367452992958163E-3</v>
      </c>
      <c r="Q113" s="230">
        <f t="shared" si="22"/>
        <v>34456.025699999998</v>
      </c>
      <c r="R113" s="229">
        <f t="shared" si="26"/>
        <v>3.0708742609192575E-7</v>
      </c>
      <c r="S113" s="220">
        <v>1</v>
      </c>
      <c r="T113" s="220">
        <f t="shared" si="23"/>
        <v>3.0708742609192575E-7</v>
      </c>
    </row>
    <row r="114" spans="1:24" s="175" customFormat="1" ht="12.95" customHeight="1" x14ac:dyDescent="0.2">
      <c r="A114" s="217" t="s">
        <v>43</v>
      </c>
      <c r="B114" s="238"/>
      <c r="C114" s="239">
        <v>49600.358</v>
      </c>
      <c r="D114" s="239"/>
      <c r="E114" s="229">
        <f t="shared" si="19"/>
        <v>5624.0166539956654</v>
      </c>
      <c r="F114" s="229">
        <f t="shared" si="20"/>
        <v>5624</v>
      </c>
      <c r="G114" s="228">
        <f t="shared" si="24"/>
        <v>7.84879999991972E-3</v>
      </c>
      <c r="H114" s="229"/>
      <c r="I114" s="229"/>
      <c r="J114" s="229">
        <f t="shared" si="25"/>
        <v>7.84879999991972E-3</v>
      </c>
      <c r="K114" s="229"/>
      <c r="L114" s="229"/>
      <c r="M114" s="229"/>
      <c r="P114" s="225">
        <f t="shared" si="21"/>
        <v>9.1603275158042216E-3</v>
      </c>
      <c r="Q114" s="230">
        <f t="shared" si="22"/>
        <v>34581.858</v>
      </c>
      <c r="R114" s="229">
        <f t="shared" si="26"/>
        <v>1.7201044249221716E-6</v>
      </c>
      <c r="S114" s="220">
        <v>1</v>
      </c>
      <c r="T114" s="220">
        <f t="shared" si="23"/>
        <v>1.7201044249221716E-6</v>
      </c>
      <c r="U114" s="204"/>
      <c r="V114" s="199">
        <f>+G114-P114</f>
        <v>-1.3115275158845016E-3</v>
      </c>
    </row>
    <row r="115" spans="1:24" s="175" customFormat="1" ht="12.95" customHeight="1" x14ac:dyDescent="0.2">
      <c r="A115" s="217" t="s">
        <v>43</v>
      </c>
      <c r="B115" s="238"/>
      <c r="C115" s="239">
        <v>49600.362000000001</v>
      </c>
      <c r="D115" s="239"/>
      <c r="E115" s="229">
        <f t="shared" si="19"/>
        <v>5624.0251414055492</v>
      </c>
      <c r="F115" s="229">
        <f t="shared" si="20"/>
        <v>5624</v>
      </c>
      <c r="G115" s="228">
        <f t="shared" si="24"/>
        <v>1.1848800000734627E-2</v>
      </c>
      <c r="H115" s="229"/>
      <c r="I115" s="229"/>
      <c r="J115" s="229">
        <f t="shared" si="25"/>
        <v>1.1848800000734627E-2</v>
      </c>
      <c r="L115" s="229"/>
      <c r="M115" s="229"/>
      <c r="P115" s="225">
        <f t="shared" si="21"/>
        <v>9.1603275158042216E-3</v>
      </c>
      <c r="Q115" s="230">
        <f t="shared" si="22"/>
        <v>34581.862000000001</v>
      </c>
      <c r="R115" s="229">
        <f t="shared" si="26"/>
        <v>7.2278843022278704E-6</v>
      </c>
      <c r="S115" s="220">
        <v>1</v>
      </c>
      <c r="T115" s="220">
        <f t="shared" si="23"/>
        <v>7.2278843022278704E-6</v>
      </c>
      <c r="U115" s="204"/>
      <c r="V115" s="199">
        <f>+G115-P115</f>
        <v>2.6884724849304056E-3</v>
      </c>
    </row>
    <row r="116" spans="1:24" s="175" customFormat="1" ht="12.95" customHeight="1" x14ac:dyDescent="0.2">
      <c r="A116" s="204" t="s">
        <v>502</v>
      </c>
      <c r="B116" s="203" t="s">
        <v>60</v>
      </c>
      <c r="C116" s="205">
        <v>49926.432099999998</v>
      </c>
      <c r="D116" s="205" t="s">
        <v>236</v>
      </c>
      <c r="E116" s="241">
        <f t="shared" si="19"/>
        <v>6315.8977886690009</v>
      </c>
      <c r="F116" s="241">
        <f t="shared" si="20"/>
        <v>6316</v>
      </c>
      <c r="G116" s="178"/>
      <c r="H116" s="229"/>
      <c r="I116" s="229"/>
      <c r="J116" s="229"/>
      <c r="K116" s="229"/>
      <c r="L116" s="229"/>
      <c r="M116" s="229"/>
      <c r="P116" s="225">
        <f t="shared" si="21"/>
        <v>1.1197214632658686E-2</v>
      </c>
      <c r="Q116" s="230">
        <f t="shared" si="22"/>
        <v>34907.932099999998</v>
      </c>
      <c r="R116" s="229"/>
      <c r="S116" s="220"/>
      <c r="T116" s="220">
        <f t="shared" si="23"/>
        <v>0</v>
      </c>
      <c r="U116" s="241">
        <f>C116-(C$7+F116*C$8)</f>
        <v>-4.8170800007937942E-2</v>
      </c>
    </row>
    <row r="117" spans="1:24" s="175" customFormat="1" ht="12.95" customHeight="1" x14ac:dyDescent="0.2">
      <c r="A117" s="217" t="s">
        <v>35</v>
      </c>
      <c r="B117" s="238"/>
      <c r="C117" s="239">
        <v>50231.888599999998</v>
      </c>
      <c r="D117" s="239"/>
      <c r="E117" s="229">
        <f t="shared" si="19"/>
        <v>6964.0314178451517</v>
      </c>
      <c r="F117" s="229">
        <f t="shared" si="20"/>
        <v>6964</v>
      </c>
      <c r="G117" s="228">
        <f t="shared" ref="G117:G133" si="27">C117-(C$7+F117*C$8)</f>
        <v>1.4806799998041242E-2</v>
      </c>
      <c r="H117" s="229"/>
      <c r="I117" s="229"/>
      <c r="J117" s="229">
        <f>G117</f>
        <v>1.4806799998041242E-2</v>
      </c>
      <c r="K117" s="229"/>
      <c r="L117" s="229"/>
      <c r="M117" s="229"/>
      <c r="P117" s="225">
        <f t="shared" si="21"/>
        <v>1.3315948773974726E-2</v>
      </c>
      <c r="Q117" s="230">
        <f t="shared" si="22"/>
        <v>35213.388599999998</v>
      </c>
      <c r="R117" s="229"/>
      <c r="S117" s="220"/>
      <c r="T117" s="220">
        <f t="shared" si="23"/>
        <v>0</v>
      </c>
      <c r="U117" s="204">
        <v>1.4822799996181857E-2</v>
      </c>
      <c r="V117" s="204"/>
    </row>
    <row r="118" spans="1:24" s="175" customFormat="1" ht="12.95" customHeight="1" x14ac:dyDescent="0.2">
      <c r="A118" s="217" t="s">
        <v>35</v>
      </c>
      <c r="B118" s="238"/>
      <c r="C118" s="239">
        <v>50248.854800000001</v>
      </c>
      <c r="D118" s="239"/>
      <c r="E118" s="229">
        <f t="shared" si="19"/>
        <v>7000.0311912313136</v>
      </c>
      <c r="F118" s="229">
        <f t="shared" si="20"/>
        <v>7000</v>
      </c>
      <c r="G118" s="228">
        <f t="shared" si="27"/>
        <v>1.4699999999720603E-2</v>
      </c>
      <c r="H118" s="229"/>
      <c r="I118" s="229"/>
      <c r="J118" s="229">
        <f>G118</f>
        <v>1.4699999999720603E-2</v>
      </c>
      <c r="K118" s="229"/>
      <c r="L118" s="229"/>
      <c r="M118" s="229"/>
      <c r="P118" s="225">
        <f t="shared" si="21"/>
        <v>1.343965001953059E-2</v>
      </c>
      <c r="Q118" s="230">
        <f t="shared" si="22"/>
        <v>35230.354800000001</v>
      </c>
      <c r="R118" s="229"/>
      <c r="S118" s="220"/>
      <c r="T118" s="220">
        <f t="shared" si="23"/>
        <v>0</v>
      </c>
      <c r="U118" s="204">
        <v>1.4721400002599694E-2</v>
      </c>
      <c r="V118" s="204"/>
    </row>
    <row r="119" spans="1:24" s="175" customFormat="1" ht="12.95" customHeight="1" x14ac:dyDescent="0.2">
      <c r="A119" s="217" t="s">
        <v>35</v>
      </c>
      <c r="B119" s="238"/>
      <c r="C119" s="239">
        <v>50336.756000000001</v>
      </c>
      <c r="D119" s="239"/>
      <c r="E119" s="229">
        <f t="shared" si="19"/>
        <v>7186.5445696172337</v>
      </c>
      <c r="F119" s="229">
        <f t="shared" si="20"/>
        <v>7186.5</v>
      </c>
      <c r="G119" s="228">
        <f t="shared" si="27"/>
        <v>2.100504999543773E-2</v>
      </c>
      <c r="H119" s="229"/>
      <c r="I119" s="229"/>
      <c r="J119" s="229">
        <f>G119</f>
        <v>2.100504999543773E-2</v>
      </c>
      <c r="K119" s="229"/>
      <c r="L119" s="229"/>
      <c r="M119" s="229"/>
      <c r="P119" s="225">
        <f t="shared" si="21"/>
        <v>1.4090591906883027E-2</v>
      </c>
      <c r="Q119" s="230">
        <f t="shared" si="22"/>
        <v>35318.256000000001</v>
      </c>
      <c r="R119" s="229"/>
      <c r="S119" s="220"/>
      <c r="T119" s="220">
        <f t="shared" si="23"/>
        <v>0</v>
      </c>
      <c r="U119" s="204">
        <v>2.1054425000329502E-2</v>
      </c>
      <c r="V119" s="204"/>
    </row>
    <row r="120" spans="1:24" s="175" customFormat="1" ht="12.95" customHeight="1" x14ac:dyDescent="0.2">
      <c r="A120" s="204" t="s">
        <v>507</v>
      </c>
      <c r="B120" s="203" t="s">
        <v>64</v>
      </c>
      <c r="C120" s="205">
        <v>50349.7091</v>
      </c>
      <c r="D120" s="205" t="s">
        <v>236</v>
      </c>
      <c r="E120" s="241">
        <f t="shared" si="19"/>
        <v>7214.0291368537492</v>
      </c>
      <c r="F120" s="241">
        <f t="shared" si="20"/>
        <v>7214</v>
      </c>
      <c r="G120" s="228">
        <f t="shared" si="27"/>
        <v>1.3731799997913186E-2</v>
      </c>
      <c r="H120" s="229"/>
      <c r="I120" s="229"/>
      <c r="J120" s="229"/>
      <c r="K120" s="229"/>
      <c r="L120" s="229"/>
      <c r="M120" s="229"/>
      <c r="P120" s="225">
        <f t="shared" si="21"/>
        <v>1.4188007778583679E-2</v>
      </c>
      <c r="Q120" s="230">
        <f t="shared" si="22"/>
        <v>35331.2091</v>
      </c>
      <c r="R120" s="229">
        <f>(G120-P120)^2</f>
        <v>2.0812553914429727E-7</v>
      </c>
      <c r="S120" s="220">
        <v>1</v>
      </c>
      <c r="T120" s="220">
        <f t="shared" si="23"/>
        <v>2.0812553914429727E-7</v>
      </c>
    </row>
    <row r="121" spans="1:24" s="175" customFormat="1" ht="12.95" customHeight="1" x14ac:dyDescent="0.2">
      <c r="A121" s="245" t="s">
        <v>58</v>
      </c>
      <c r="B121" s="238"/>
      <c r="C121" s="239">
        <v>50349.70938</v>
      </c>
      <c r="D121" s="239">
        <v>1.5E-3</v>
      </c>
      <c r="E121" s="229">
        <f t="shared" si="19"/>
        <v>7214.029730972441</v>
      </c>
      <c r="F121" s="229">
        <f t="shared" si="20"/>
        <v>7214</v>
      </c>
      <c r="G121" s="228">
        <f t="shared" si="27"/>
        <v>1.4011799998115748E-2</v>
      </c>
      <c r="H121" s="229"/>
      <c r="I121" s="229"/>
      <c r="J121" s="229"/>
      <c r="K121" s="229">
        <f>G121</f>
        <v>1.4011799998115748E-2</v>
      </c>
      <c r="L121" s="229"/>
      <c r="M121" s="229"/>
      <c r="P121" s="225">
        <f t="shared" si="21"/>
        <v>1.4188007778583679E-2</v>
      </c>
      <c r="Q121" s="230">
        <f t="shared" si="22"/>
        <v>35331.20938</v>
      </c>
      <c r="R121" s="229">
        <f>(G121-P121)^2</f>
        <v>3.1049181897434568E-8</v>
      </c>
      <c r="S121" s="220">
        <v>1</v>
      </c>
      <c r="T121" s="220">
        <f t="shared" si="23"/>
        <v>3.1049181897434568E-8</v>
      </c>
      <c r="U121" s="204"/>
      <c r="V121" s="199">
        <f>+G121-P121</f>
        <v>-1.7620778046793101E-4</v>
      </c>
    </row>
    <row r="122" spans="1:24" s="175" customFormat="1" ht="12.95" customHeight="1" x14ac:dyDescent="0.2">
      <c r="A122" s="204" t="s">
        <v>507</v>
      </c>
      <c r="B122" s="203" t="s">
        <v>64</v>
      </c>
      <c r="C122" s="205">
        <v>50349.709699999999</v>
      </c>
      <c r="D122" s="205" t="s">
        <v>236</v>
      </c>
      <c r="E122" s="241">
        <f t="shared" si="19"/>
        <v>7214.0304099652303</v>
      </c>
      <c r="F122" s="241">
        <f t="shared" si="20"/>
        <v>7214</v>
      </c>
      <c r="G122" s="228">
        <f t="shared" si="27"/>
        <v>1.4331799997307826E-2</v>
      </c>
      <c r="H122" s="229"/>
      <c r="I122" s="229"/>
      <c r="J122" s="229"/>
      <c r="K122" s="229"/>
      <c r="L122" s="229"/>
      <c r="M122" s="229"/>
      <c r="P122" s="225">
        <f t="shared" si="21"/>
        <v>1.4188007778583679E-2</v>
      </c>
      <c r="Q122" s="230">
        <f t="shared" si="22"/>
        <v>35331.209699999999</v>
      </c>
      <c r="R122" s="229">
        <f>(G122-P122)^2</f>
        <v>2.0676202165612832E-8</v>
      </c>
      <c r="S122" s="220">
        <v>1</v>
      </c>
      <c r="T122" s="220">
        <f t="shared" si="23"/>
        <v>2.0676202165612832E-8</v>
      </c>
    </row>
    <row r="123" spans="1:24" s="175" customFormat="1" ht="12.95" customHeight="1" x14ac:dyDescent="0.2">
      <c r="A123" s="217" t="s">
        <v>55</v>
      </c>
      <c r="B123" s="238" t="s">
        <v>60</v>
      </c>
      <c r="C123" s="239">
        <v>50649.675000000003</v>
      </c>
      <c r="D123" s="239"/>
      <c r="E123" s="241">
        <f t="shared" si="19"/>
        <v>7850.5125228550032</v>
      </c>
      <c r="F123" s="241">
        <f t="shared" si="20"/>
        <v>7850.5</v>
      </c>
      <c r="G123" s="228">
        <f t="shared" si="27"/>
        <v>5.9018500032834709E-3</v>
      </c>
      <c r="H123" s="241"/>
      <c r="I123" s="229">
        <f>G123</f>
        <v>5.9018500032834709E-3</v>
      </c>
      <c r="J123" s="229"/>
      <c r="K123" s="229"/>
      <c r="L123" s="229"/>
      <c r="M123" s="229"/>
      <c r="P123" s="225">
        <f t="shared" si="21"/>
        <v>1.6545617360647427E-2</v>
      </c>
      <c r="Q123" s="230">
        <f t="shared" si="22"/>
        <v>35631.175000000003</v>
      </c>
      <c r="R123" s="229"/>
      <c r="S123" s="229"/>
      <c r="T123" s="220">
        <f t="shared" si="23"/>
        <v>0</v>
      </c>
      <c r="U123" s="204">
        <v>5.9018500032834709E-3</v>
      </c>
      <c r="V123" s="204"/>
      <c r="X123" s="199"/>
    </row>
    <row r="124" spans="1:24" s="175" customFormat="1" ht="12.95" customHeight="1" x14ac:dyDescent="0.2">
      <c r="A124" s="217" t="s">
        <v>36</v>
      </c>
      <c r="B124" s="238"/>
      <c r="C124" s="239">
        <v>50948.484100000001</v>
      </c>
      <c r="D124" s="239"/>
      <c r="E124" s="229">
        <f t="shared" si="19"/>
        <v>8484.541349918296</v>
      </c>
      <c r="F124" s="229">
        <f t="shared" si="20"/>
        <v>8484.5</v>
      </c>
      <c r="G124" s="228">
        <f t="shared" si="27"/>
        <v>1.9487649995426182E-2</v>
      </c>
      <c r="H124" s="229"/>
      <c r="I124" s="229"/>
      <c r="J124" s="229">
        <f>G124</f>
        <v>1.9487649995426182E-2</v>
      </c>
      <c r="K124" s="229"/>
      <c r="L124" s="229"/>
      <c r="M124" s="229"/>
      <c r="P124" s="225">
        <f t="shared" si="21"/>
        <v>1.9090035054162072E-2</v>
      </c>
      <c r="Q124" s="230">
        <f t="shared" si="22"/>
        <v>35929.984100000001</v>
      </c>
      <c r="R124" s="229">
        <f t="shared" ref="R124:R133" si="28">(G124-P124)^2</f>
        <v>1.5809764151646109E-7</v>
      </c>
      <c r="S124" s="229">
        <v>1</v>
      </c>
      <c r="T124" s="220">
        <f t="shared" si="23"/>
        <v>1.5809764151646109E-7</v>
      </c>
      <c r="U124" s="204"/>
      <c r="V124" s="199">
        <f>+G124-P124</f>
        <v>3.9761494126410932E-4</v>
      </c>
    </row>
    <row r="125" spans="1:24" s="175" customFormat="1" ht="12.95" customHeight="1" x14ac:dyDescent="0.2">
      <c r="A125" s="204" t="s">
        <v>507</v>
      </c>
      <c r="B125" s="203" t="s">
        <v>60</v>
      </c>
      <c r="C125" s="205">
        <v>51020.825700000001</v>
      </c>
      <c r="D125" s="205" t="s">
        <v>236</v>
      </c>
      <c r="E125" s="241">
        <f t="shared" si="19"/>
        <v>8638.0395526031589</v>
      </c>
      <c r="F125" s="241">
        <f t="shared" si="20"/>
        <v>8638</v>
      </c>
      <c r="G125" s="228">
        <f t="shared" si="27"/>
        <v>1.8640599999343976E-2</v>
      </c>
      <c r="H125" s="229"/>
      <c r="I125" s="229"/>
      <c r="J125" s="229"/>
      <c r="K125" s="229"/>
      <c r="L125" s="229"/>
      <c r="M125" s="229"/>
      <c r="P125" s="225">
        <f t="shared" si="21"/>
        <v>1.9735497118162467E-2</v>
      </c>
      <c r="Q125" s="230">
        <f t="shared" si="22"/>
        <v>36002.325700000001</v>
      </c>
      <c r="R125" s="229">
        <f t="shared" si="28"/>
        <v>1.1987997007970322E-6</v>
      </c>
      <c r="S125" s="229">
        <v>1</v>
      </c>
      <c r="T125" s="220">
        <f t="shared" si="23"/>
        <v>1.1987997007970322E-6</v>
      </c>
    </row>
    <row r="126" spans="1:24" s="175" customFormat="1" ht="12.95" customHeight="1" x14ac:dyDescent="0.2">
      <c r="A126" s="245" t="s">
        <v>58</v>
      </c>
      <c r="B126" s="238"/>
      <c r="C126" s="239">
        <v>51020.82574</v>
      </c>
      <c r="D126" s="239">
        <v>1E-3</v>
      </c>
      <c r="E126" s="229">
        <f t="shared" si="19"/>
        <v>8638.0396374772554</v>
      </c>
      <c r="F126" s="229">
        <f t="shared" si="20"/>
        <v>8638</v>
      </c>
      <c r="G126" s="228">
        <f t="shared" si="27"/>
        <v>1.8680599998333491E-2</v>
      </c>
      <c r="H126" s="229"/>
      <c r="I126" s="229"/>
      <c r="J126" s="229"/>
      <c r="K126" s="229">
        <f>G126</f>
        <v>1.8680599998333491E-2</v>
      </c>
      <c r="L126" s="229"/>
      <c r="M126" s="229"/>
      <c r="P126" s="225">
        <f t="shared" si="21"/>
        <v>1.9735497118162467E-2</v>
      </c>
      <c r="Q126" s="230">
        <f t="shared" si="22"/>
        <v>36002.32574</v>
      </c>
      <c r="R126" s="229">
        <f t="shared" si="28"/>
        <v>1.1128079334234682E-6</v>
      </c>
      <c r="S126" s="229">
        <v>1</v>
      </c>
      <c r="T126" s="220">
        <f t="shared" si="23"/>
        <v>1.1128079334234682E-6</v>
      </c>
      <c r="U126" s="204"/>
      <c r="V126" s="199">
        <f>+G126-P126</f>
        <v>-1.0548971198289757E-3</v>
      </c>
    </row>
    <row r="127" spans="1:24" s="175" customFormat="1" ht="12.95" customHeight="1" x14ac:dyDescent="0.2">
      <c r="A127" s="217" t="s">
        <v>37</v>
      </c>
      <c r="B127" s="238"/>
      <c r="C127" s="239">
        <v>51273.910499999998</v>
      </c>
      <c r="D127" s="239"/>
      <c r="E127" s="229">
        <f t="shared" si="19"/>
        <v>9175.0481607464408</v>
      </c>
      <c r="F127" s="229">
        <f t="shared" si="20"/>
        <v>9175</v>
      </c>
      <c r="G127" s="228">
        <f t="shared" si="27"/>
        <v>2.26974999968661E-2</v>
      </c>
      <c r="H127" s="229"/>
      <c r="I127" s="229"/>
      <c r="J127" s="229">
        <f>G127</f>
        <v>2.26974999968661E-2</v>
      </c>
      <c r="K127" s="229"/>
      <c r="L127" s="229"/>
      <c r="M127" s="229"/>
      <c r="P127" s="225">
        <f t="shared" si="21"/>
        <v>2.2083820149031961E-2</v>
      </c>
      <c r="Q127" s="230">
        <f t="shared" si="22"/>
        <v>36255.410499999998</v>
      </c>
      <c r="R127" s="229">
        <f t="shared" si="28"/>
        <v>3.7660295563773153E-7</v>
      </c>
      <c r="S127" s="229">
        <v>1</v>
      </c>
      <c r="T127" s="220">
        <f t="shared" si="23"/>
        <v>3.7660295563773153E-7</v>
      </c>
      <c r="U127" s="204"/>
      <c r="V127" s="199">
        <f>+G127-P127</f>
        <v>6.1367984783413862E-4</v>
      </c>
    </row>
    <row r="128" spans="1:24" s="175" customFormat="1" ht="12.95" customHeight="1" x14ac:dyDescent="0.2">
      <c r="A128" s="244" t="s">
        <v>864</v>
      </c>
      <c r="B128" s="235" t="s">
        <v>64</v>
      </c>
      <c r="C128" s="237">
        <v>51275.322999999997</v>
      </c>
      <c r="D128" s="237" t="s">
        <v>860</v>
      </c>
      <c r="E128" s="241">
        <f t="shared" si="19"/>
        <v>9178.045277361116</v>
      </c>
      <c r="F128" s="241">
        <f t="shared" si="20"/>
        <v>9178</v>
      </c>
      <c r="G128" s="228">
        <f t="shared" si="27"/>
        <v>2.1338599995942786E-2</v>
      </c>
      <c r="H128" s="229"/>
      <c r="I128" s="229"/>
      <c r="J128" s="229"/>
      <c r="K128" s="229">
        <f>G128</f>
        <v>2.1338599995942786E-2</v>
      </c>
      <c r="L128" s="229"/>
      <c r="M128" s="229"/>
      <c r="P128" s="225">
        <f t="shared" si="21"/>
        <v>2.2097333600613427E-2</v>
      </c>
      <c r="Q128" s="230">
        <f t="shared" si="22"/>
        <v>36256.822999999997</v>
      </c>
      <c r="R128" s="229">
        <f t="shared" si="28"/>
        <v>5.7567668285650453E-7</v>
      </c>
      <c r="S128" s="229">
        <v>1</v>
      </c>
      <c r="T128" s="220">
        <f t="shared" si="23"/>
        <v>5.7567668285650453E-7</v>
      </c>
    </row>
    <row r="129" spans="1:22" s="175" customFormat="1" ht="12.95" customHeight="1" x14ac:dyDescent="0.2">
      <c r="A129" s="217" t="s">
        <v>37</v>
      </c>
      <c r="B129" s="238"/>
      <c r="C129" s="239">
        <v>51282.864200000004</v>
      </c>
      <c r="D129" s="239"/>
      <c r="E129" s="229">
        <f t="shared" si="19"/>
        <v>9194.0465912121799</v>
      </c>
      <c r="F129" s="229">
        <f t="shared" si="20"/>
        <v>9194</v>
      </c>
      <c r="G129" s="228">
        <f t="shared" si="27"/>
        <v>2.1957800003292505E-2</v>
      </c>
      <c r="H129" s="229"/>
      <c r="I129" s="229"/>
      <c r="J129" s="229">
        <f>G129</f>
        <v>2.1957800003292505E-2</v>
      </c>
      <c r="K129" s="229"/>
      <c r="L129" s="229"/>
      <c r="M129" s="229"/>
      <c r="P129" s="225">
        <f t="shared" si="21"/>
        <v>2.21694793398289E-2</v>
      </c>
      <c r="Q129" s="230">
        <f t="shared" si="22"/>
        <v>36264.364200000004</v>
      </c>
      <c r="R129" s="229">
        <f t="shared" si="28"/>
        <v>4.4808141516488506E-8</v>
      </c>
      <c r="S129" s="229">
        <v>1</v>
      </c>
      <c r="T129" s="220">
        <f t="shared" si="23"/>
        <v>4.4808141516488506E-8</v>
      </c>
      <c r="U129" s="204"/>
      <c r="V129" s="199">
        <f>+G129-P129</f>
        <v>-2.1167933653639531E-4</v>
      </c>
    </row>
    <row r="130" spans="1:22" s="175" customFormat="1" ht="12.95" customHeight="1" x14ac:dyDescent="0.2">
      <c r="A130" s="217" t="s">
        <v>42</v>
      </c>
      <c r="B130" s="238" t="s">
        <v>64</v>
      </c>
      <c r="C130" s="239">
        <v>51285.692000000003</v>
      </c>
      <c r="D130" s="239">
        <v>4.0000000000000002E-4</v>
      </c>
      <c r="E130" s="241">
        <f t="shared" si="19"/>
        <v>9200.0467656284509</v>
      </c>
      <c r="F130" s="241">
        <f t="shared" si="20"/>
        <v>9200</v>
      </c>
      <c r="G130" s="228">
        <f t="shared" si="27"/>
        <v>2.2040000003471505E-2</v>
      </c>
      <c r="H130" s="241"/>
      <c r="I130" s="229"/>
      <c r="J130" s="229"/>
      <c r="K130" s="229">
        <f>G130</f>
        <v>2.2040000003471505E-2</v>
      </c>
      <c r="L130" s="229"/>
      <c r="M130" s="229"/>
      <c r="P130" s="225">
        <f t="shared" si="21"/>
        <v>2.2196566122505399E-2</v>
      </c>
      <c r="Q130" s="230">
        <f t="shared" si="22"/>
        <v>36267.192000000003</v>
      </c>
      <c r="R130" s="229">
        <f t="shared" si="28"/>
        <v>2.4512949629335527E-8</v>
      </c>
      <c r="S130" s="229">
        <v>1</v>
      </c>
      <c r="T130" s="220">
        <f t="shared" si="23"/>
        <v>2.4512949629335527E-8</v>
      </c>
      <c r="U130" s="204"/>
      <c r="V130" s="199">
        <f>+G130-P130</f>
        <v>-1.565661190338942E-4</v>
      </c>
    </row>
    <row r="131" spans="1:22" s="175" customFormat="1" ht="12.95" customHeight="1" x14ac:dyDescent="0.2">
      <c r="A131" s="217" t="s">
        <v>42</v>
      </c>
      <c r="B131" s="238" t="s">
        <v>60</v>
      </c>
      <c r="C131" s="239">
        <v>51305.722000000002</v>
      </c>
      <c r="D131" s="239">
        <v>8.0000000000000004E-4</v>
      </c>
      <c r="E131" s="241">
        <f t="shared" si="19"/>
        <v>9242.5474706139321</v>
      </c>
      <c r="F131" s="241">
        <f t="shared" si="20"/>
        <v>9242.5</v>
      </c>
      <c r="G131" s="228">
        <f t="shared" si="27"/>
        <v>2.2372250001353677E-2</v>
      </c>
      <c r="H131" s="241"/>
      <c r="I131" s="229"/>
      <c r="J131" s="229"/>
      <c r="K131" s="229">
        <f>G131</f>
        <v>2.2372250001353677E-2</v>
      </c>
      <c r="L131" s="229"/>
      <c r="M131" s="229"/>
      <c r="P131" s="225">
        <f t="shared" si="21"/>
        <v>2.2388932567469384E-2</v>
      </c>
      <c r="Q131" s="230">
        <f t="shared" si="22"/>
        <v>36287.222000000002</v>
      </c>
      <c r="R131" s="229">
        <f t="shared" si="28"/>
        <v>2.7830801220493194E-10</v>
      </c>
      <c r="S131" s="229">
        <v>1</v>
      </c>
      <c r="T131" s="220">
        <f t="shared" si="23"/>
        <v>2.7830801220493194E-10</v>
      </c>
      <c r="U131" s="204"/>
      <c r="V131" s="199">
        <f>+G131-P131</f>
        <v>-1.6682566115706898E-5</v>
      </c>
    </row>
    <row r="132" spans="1:22" s="175" customFormat="1" ht="12.95" customHeight="1" x14ac:dyDescent="0.2">
      <c r="A132" s="217" t="s">
        <v>37</v>
      </c>
      <c r="B132" s="238"/>
      <c r="C132" s="239">
        <v>51308.784699999997</v>
      </c>
      <c r="D132" s="239"/>
      <c r="E132" s="241">
        <f t="shared" si="19"/>
        <v>9249.0460681755303</v>
      </c>
      <c r="F132" s="241">
        <f t="shared" si="20"/>
        <v>9249</v>
      </c>
      <c r="G132" s="228">
        <f t="shared" si="27"/>
        <v>2.1711299996240996E-2</v>
      </c>
      <c r="H132" s="241"/>
      <c r="I132" s="229"/>
      <c r="J132" s="229">
        <f>G132</f>
        <v>2.1711299996240996E-2</v>
      </c>
      <c r="K132" s="229"/>
      <c r="L132" s="229"/>
      <c r="M132" s="229"/>
      <c r="P132" s="225">
        <f t="shared" si="21"/>
        <v>2.2418430844806821E-2</v>
      </c>
      <c r="Q132" s="230">
        <f t="shared" si="22"/>
        <v>36290.284699999997</v>
      </c>
      <c r="R132" s="229">
        <f t="shared" si="28"/>
        <v>5.0003403699342447E-7</v>
      </c>
      <c r="S132" s="229">
        <v>1</v>
      </c>
      <c r="T132" s="220">
        <f t="shared" si="23"/>
        <v>5.0003403699342447E-7</v>
      </c>
      <c r="U132" s="204"/>
      <c r="V132" s="199">
        <f>+G132-P132</f>
        <v>-7.071308485658255E-4</v>
      </c>
    </row>
    <row r="133" spans="1:22" s="175" customFormat="1" ht="12.95" customHeight="1" x14ac:dyDescent="0.2">
      <c r="A133" s="204" t="s">
        <v>502</v>
      </c>
      <c r="B133" s="203" t="s">
        <v>60</v>
      </c>
      <c r="C133" s="205">
        <v>51657.538800000002</v>
      </c>
      <c r="D133" s="205" t="s">
        <v>236</v>
      </c>
      <c r="E133" s="241">
        <f t="shared" si="19"/>
        <v>9989.0508168813722</v>
      </c>
      <c r="F133" s="241">
        <f t="shared" si="20"/>
        <v>9989</v>
      </c>
      <c r="G133" s="228">
        <f t="shared" si="27"/>
        <v>2.3949299997184426E-2</v>
      </c>
      <c r="H133" s="229"/>
      <c r="I133" s="229"/>
      <c r="J133" s="229"/>
      <c r="K133" s="229">
        <f>G133</f>
        <v>2.3949299997184426E-2</v>
      </c>
      <c r="L133" s="229"/>
      <c r="M133" s="229"/>
      <c r="P133" s="225">
        <f t="shared" si="21"/>
        <v>2.5911159850492877E-2</v>
      </c>
      <c r="Q133" s="230">
        <f t="shared" si="22"/>
        <v>36639.038800000002</v>
      </c>
      <c r="R133" s="229">
        <f t="shared" si="28"/>
        <v>3.8488940840234593E-6</v>
      </c>
      <c r="S133" s="229">
        <v>1</v>
      </c>
      <c r="T133" s="220">
        <f t="shared" si="23"/>
        <v>3.8488940840234593E-6</v>
      </c>
    </row>
    <row r="134" spans="1:22" s="175" customFormat="1" ht="12.95" customHeight="1" x14ac:dyDescent="0.2">
      <c r="A134" s="204" t="s">
        <v>502</v>
      </c>
      <c r="B134" s="203" t="s">
        <v>60</v>
      </c>
      <c r="C134" s="205">
        <v>51658.444300000003</v>
      </c>
      <c r="D134" s="205" t="s">
        <v>236</v>
      </c>
      <c r="E134" s="241">
        <f t="shared" si="19"/>
        <v>9990.9721542934731</v>
      </c>
      <c r="F134" s="241">
        <f t="shared" si="20"/>
        <v>9991</v>
      </c>
      <c r="G134" s="178"/>
      <c r="H134" s="229"/>
      <c r="I134" s="229"/>
      <c r="J134" s="229"/>
      <c r="K134" s="229"/>
      <c r="L134" s="229"/>
      <c r="M134" s="229"/>
      <c r="P134" s="225">
        <f t="shared" si="21"/>
        <v>2.5920960882999014E-2</v>
      </c>
      <c r="Q134" s="230">
        <f t="shared" si="22"/>
        <v>36639.944300000003</v>
      </c>
      <c r="R134" s="229"/>
      <c r="S134" s="229"/>
      <c r="T134" s="220">
        <f t="shared" si="23"/>
        <v>0</v>
      </c>
      <c r="U134" s="241">
        <f>C134-(C$7+F134*C$8)</f>
        <v>-1.312329999927897E-2</v>
      </c>
    </row>
    <row r="135" spans="1:22" s="175" customFormat="1" ht="12.95" customHeight="1" x14ac:dyDescent="0.2">
      <c r="A135" s="239" t="s">
        <v>80</v>
      </c>
      <c r="B135" s="238" t="s">
        <v>60</v>
      </c>
      <c r="C135" s="239">
        <v>51663.4257</v>
      </c>
      <c r="D135" s="239" t="s">
        <v>81</v>
      </c>
      <c r="E135" s="241">
        <f t="shared" si="19"/>
        <v>10001.541950190356</v>
      </c>
      <c r="F135" s="241">
        <f t="shared" si="20"/>
        <v>10001.5</v>
      </c>
      <c r="G135" s="228">
        <f t="shared" ref="G135:G166" si="29">C135-(C$7+F135*C$8)</f>
        <v>1.9770549995882902E-2</v>
      </c>
      <c r="H135" s="241"/>
      <c r="I135" s="229"/>
      <c r="J135" s="229"/>
      <c r="K135" s="229">
        <f>G135</f>
        <v>1.9770549995882902E-2</v>
      </c>
      <c r="L135" s="229"/>
      <c r="M135" s="229"/>
      <c r="P135" s="225">
        <f t="shared" si="21"/>
        <v>2.5972448251567429E-2</v>
      </c>
      <c r="Q135" s="230">
        <f t="shared" si="22"/>
        <v>36644.9257</v>
      </c>
      <c r="R135" s="229">
        <f t="shared" ref="R135:R151" si="30">(G135-P135)^2</f>
        <v>3.8463541973862769E-5</v>
      </c>
      <c r="S135" s="229">
        <v>1</v>
      </c>
      <c r="T135" s="220">
        <f t="shared" si="23"/>
        <v>3.8463541973862769E-5</v>
      </c>
      <c r="U135" s="204"/>
      <c r="V135" s="199">
        <f>+G135-P135</f>
        <v>-6.2018982556845265E-3</v>
      </c>
    </row>
    <row r="136" spans="1:22" s="175" customFormat="1" ht="12.95" customHeight="1" x14ac:dyDescent="0.2">
      <c r="A136" s="204" t="s">
        <v>502</v>
      </c>
      <c r="B136" s="203" t="s">
        <v>60</v>
      </c>
      <c r="C136" s="205">
        <v>51667.4306</v>
      </c>
      <c r="D136" s="205" t="s">
        <v>236</v>
      </c>
      <c r="E136" s="241">
        <f t="shared" si="19"/>
        <v>10010.039757149734</v>
      </c>
      <c r="F136" s="241">
        <f t="shared" si="20"/>
        <v>10010</v>
      </c>
      <c r="G136" s="228">
        <f t="shared" si="29"/>
        <v>1.8736999998509418E-2</v>
      </c>
      <c r="H136" s="229"/>
      <c r="I136" s="229"/>
      <c r="J136" s="229"/>
      <c r="K136" s="229">
        <f>G136</f>
        <v>1.8736999998509418E-2</v>
      </c>
      <c r="L136" s="229"/>
      <c r="M136" s="229"/>
      <c r="P136" s="225">
        <f t="shared" si="21"/>
        <v>2.6014167813457362E-2</v>
      </c>
      <c r="Q136" s="230">
        <f t="shared" si="22"/>
        <v>36648.9306</v>
      </c>
      <c r="R136" s="229">
        <f t="shared" si="30"/>
        <v>5.2957171406914224E-5</v>
      </c>
      <c r="S136" s="229">
        <v>1</v>
      </c>
      <c r="T136" s="220">
        <f t="shared" si="23"/>
        <v>5.2957171406914224E-5</v>
      </c>
    </row>
    <row r="137" spans="1:22" s="175" customFormat="1" ht="12.95" customHeight="1" x14ac:dyDescent="0.2">
      <c r="A137" s="217" t="s">
        <v>38</v>
      </c>
      <c r="B137" s="238"/>
      <c r="C137" s="239">
        <v>51676.862849061843</v>
      </c>
      <c r="D137" s="239"/>
      <c r="E137" s="241">
        <f t="shared" si="19"/>
        <v>10030.053598124623</v>
      </c>
      <c r="F137" s="241">
        <f t="shared" si="20"/>
        <v>10030</v>
      </c>
      <c r="G137" s="228">
        <f t="shared" si="29"/>
        <v>2.526006184052676E-2</v>
      </c>
      <c r="H137" s="241"/>
      <c r="I137" s="229"/>
      <c r="J137" s="229">
        <f>G137</f>
        <v>2.526006184052676E-2</v>
      </c>
      <c r="K137" s="229"/>
      <c r="L137" s="229"/>
      <c r="M137" s="229"/>
      <c r="P137" s="225">
        <f t="shared" si="21"/>
        <v>2.6112470233706855E-2</v>
      </c>
      <c r="Q137" s="230">
        <f t="shared" si="22"/>
        <v>36658.362849061843</v>
      </c>
      <c r="R137" s="229">
        <f t="shared" si="30"/>
        <v>7.2660006876387156E-7</v>
      </c>
      <c r="S137" s="229">
        <v>1</v>
      </c>
      <c r="T137" s="220">
        <f t="shared" si="23"/>
        <v>7.2660006876387156E-7</v>
      </c>
      <c r="U137" s="204"/>
      <c r="V137" s="199">
        <f>+G137-P137</f>
        <v>-8.5240839318009506E-4</v>
      </c>
    </row>
    <row r="138" spans="1:22" s="175" customFormat="1" ht="12.95" customHeight="1" x14ac:dyDescent="0.2">
      <c r="A138" s="204" t="s">
        <v>502</v>
      </c>
      <c r="B138" s="203" t="s">
        <v>60</v>
      </c>
      <c r="C138" s="205">
        <v>51678.511400000003</v>
      </c>
      <c r="D138" s="205" t="s">
        <v>236</v>
      </c>
      <c r="E138" s="241">
        <f t="shared" si="19"/>
        <v>10033.551580005615</v>
      </c>
      <c r="F138" s="241">
        <f t="shared" si="20"/>
        <v>10033.5</v>
      </c>
      <c r="G138" s="228">
        <f t="shared" si="29"/>
        <v>2.4308949999976903E-2</v>
      </c>
      <c r="H138" s="229"/>
      <c r="I138" s="229"/>
      <c r="J138" s="229"/>
      <c r="K138" s="229">
        <f>G138</f>
        <v>2.4308949999976903E-2</v>
      </c>
      <c r="L138" s="229"/>
      <c r="M138" s="229"/>
      <c r="P138" s="225">
        <f t="shared" si="21"/>
        <v>2.6129693177941539E-2</v>
      </c>
      <c r="Q138" s="230">
        <f t="shared" si="22"/>
        <v>36660.011400000003</v>
      </c>
      <c r="R138" s="229">
        <f t="shared" si="30"/>
        <v>3.3151057201047613E-6</v>
      </c>
      <c r="S138" s="229">
        <v>1</v>
      </c>
      <c r="T138" s="220">
        <f t="shared" si="23"/>
        <v>3.3151057201047613E-6</v>
      </c>
    </row>
    <row r="139" spans="1:22" s="175" customFormat="1" ht="12.95" customHeight="1" x14ac:dyDescent="0.2">
      <c r="A139" s="244" t="s">
        <v>223</v>
      </c>
      <c r="B139" s="235" t="s">
        <v>64</v>
      </c>
      <c r="C139" s="237">
        <v>51704.671699999999</v>
      </c>
      <c r="D139" s="237">
        <v>4.0000000000000002E-4</v>
      </c>
      <c r="E139" s="241">
        <f t="shared" si="19"/>
        <v>10089.059877191414</v>
      </c>
      <c r="F139" s="241">
        <f t="shared" si="20"/>
        <v>10089</v>
      </c>
      <c r="G139" s="228">
        <f t="shared" si="29"/>
        <v>2.8219299994816538E-2</v>
      </c>
      <c r="H139" s="241"/>
      <c r="I139" s="229"/>
      <c r="J139" s="229"/>
      <c r="K139" s="175">
        <f>G139</f>
        <v>2.8219299994816538E-2</v>
      </c>
      <c r="L139" s="229"/>
      <c r="M139" s="229"/>
      <c r="P139" s="225">
        <f t="shared" si="21"/>
        <v>2.6403596919836111E-2</v>
      </c>
      <c r="Q139" s="230">
        <f t="shared" si="22"/>
        <v>36686.171699999999</v>
      </c>
      <c r="R139" s="229">
        <f t="shared" si="30"/>
        <v>3.2967776564933761E-6</v>
      </c>
      <c r="S139" s="229">
        <v>1</v>
      </c>
      <c r="T139" s="220">
        <f t="shared" si="23"/>
        <v>3.2967776564933761E-6</v>
      </c>
      <c r="V139" s="199">
        <f>+G139-P139</f>
        <v>1.8157030749804265E-3</v>
      </c>
    </row>
    <row r="140" spans="1:22" s="175" customFormat="1" ht="12.95" customHeight="1" x14ac:dyDescent="0.2">
      <c r="A140" s="244" t="s">
        <v>201</v>
      </c>
      <c r="B140" s="235" t="s">
        <v>64</v>
      </c>
      <c r="C140" s="237">
        <v>51704.671699999999</v>
      </c>
      <c r="D140" s="237">
        <v>4.0000000000000002E-4</v>
      </c>
      <c r="E140" s="241">
        <f t="shared" si="19"/>
        <v>10089.059877191414</v>
      </c>
      <c r="F140" s="241">
        <f t="shared" si="20"/>
        <v>10089</v>
      </c>
      <c r="G140" s="228">
        <f t="shared" si="29"/>
        <v>2.8219299994816538E-2</v>
      </c>
      <c r="H140" s="241"/>
      <c r="I140" s="229"/>
      <c r="J140" s="229"/>
      <c r="K140" s="229">
        <f>G140</f>
        <v>2.8219299994816538E-2</v>
      </c>
      <c r="L140" s="229"/>
      <c r="M140" s="229"/>
      <c r="P140" s="225">
        <f t="shared" si="21"/>
        <v>2.6403596919836111E-2</v>
      </c>
      <c r="Q140" s="230">
        <f t="shared" si="22"/>
        <v>36686.171699999999</v>
      </c>
      <c r="R140" s="229">
        <f t="shared" si="30"/>
        <v>3.2967776564933761E-6</v>
      </c>
      <c r="S140" s="229">
        <v>1</v>
      </c>
      <c r="T140" s="220">
        <f t="shared" si="23"/>
        <v>3.2967776564933761E-6</v>
      </c>
      <c r="V140" s="199">
        <f>+G140-P140</f>
        <v>1.8157030749804265E-3</v>
      </c>
    </row>
    <row r="141" spans="1:22" s="175" customFormat="1" ht="12.95" customHeight="1" x14ac:dyDescent="0.2">
      <c r="A141" s="245" t="s">
        <v>41</v>
      </c>
      <c r="B141" s="238"/>
      <c r="C141" s="239">
        <v>51983.912900000003</v>
      </c>
      <c r="D141" s="239">
        <v>2.0000000000000001E-4</v>
      </c>
      <c r="E141" s="241">
        <f t="shared" si="19"/>
        <v>10681.568507295884</v>
      </c>
      <c r="F141" s="241">
        <f t="shared" si="20"/>
        <v>10681.5</v>
      </c>
      <c r="G141" s="228">
        <f t="shared" si="29"/>
        <v>3.2286549998389091E-2</v>
      </c>
      <c r="H141" s="241"/>
      <c r="I141" s="229"/>
      <c r="J141" s="229"/>
      <c r="K141" s="175">
        <f>G141</f>
        <v>3.2286549998389091E-2</v>
      </c>
      <c r="L141" s="229"/>
      <c r="M141" s="229"/>
      <c r="P141" s="225">
        <f t="shared" si="21"/>
        <v>2.9421160290100324E-2</v>
      </c>
      <c r="Q141" s="230">
        <f t="shared" si="22"/>
        <v>36965.412900000003</v>
      </c>
      <c r="R141" s="229">
        <f t="shared" si="30"/>
        <v>8.2104581803671878E-6</v>
      </c>
      <c r="S141" s="229">
        <v>1</v>
      </c>
      <c r="T141" s="220">
        <f t="shared" si="23"/>
        <v>8.2104581803671878E-6</v>
      </c>
      <c r="U141" s="204"/>
      <c r="V141" s="199">
        <f>+G141-P141</f>
        <v>2.8653897082887674E-3</v>
      </c>
    </row>
    <row r="142" spans="1:22" s="175" customFormat="1" ht="12.95" customHeight="1" x14ac:dyDescent="0.2">
      <c r="A142" s="239" t="s">
        <v>61</v>
      </c>
      <c r="B142" s="238" t="s">
        <v>60</v>
      </c>
      <c r="C142" s="239">
        <v>52032.453999999998</v>
      </c>
      <c r="D142" s="239">
        <v>6.9999999999999999E-4</v>
      </c>
      <c r="E142" s="241">
        <f t="shared" si="19"/>
        <v>10784.565560254976</v>
      </c>
      <c r="F142" s="241">
        <f t="shared" si="20"/>
        <v>10784.5</v>
      </c>
      <c r="G142" s="228">
        <f t="shared" si="29"/>
        <v>3.0897649994585663E-2</v>
      </c>
      <c r="H142" s="241"/>
      <c r="I142" s="229"/>
      <c r="J142" s="229">
        <f>G142</f>
        <v>3.0897649994585663E-2</v>
      </c>
      <c r="L142" s="229"/>
      <c r="M142" s="229"/>
      <c r="P142" s="225">
        <f t="shared" si="21"/>
        <v>2.9963169718587621E-2</v>
      </c>
      <c r="Q142" s="230">
        <f t="shared" si="22"/>
        <v>37013.953999999998</v>
      </c>
      <c r="R142" s="229">
        <f t="shared" si="30"/>
        <v>8.7325338622937638E-7</v>
      </c>
      <c r="S142" s="229">
        <v>1</v>
      </c>
      <c r="T142" s="220">
        <f t="shared" si="23"/>
        <v>8.7325338622937638E-7</v>
      </c>
      <c r="U142" s="204"/>
      <c r="V142" s="199">
        <f>+G142-P142</f>
        <v>9.3448027599804181E-4</v>
      </c>
    </row>
    <row r="143" spans="1:22" s="175" customFormat="1" ht="12.95" customHeight="1" x14ac:dyDescent="0.2">
      <c r="A143" s="204" t="s">
        <v>567</v>
      </c>
      <c r="B143" s="203" t="s">
        <v>60</v>
      </c>
      <c r="C143" s="205">
        <v>52065.444000000003</v>
      </c>
      <c r="D143" s="205" t="s">
        <v>236</v>
      </c>
      <c r="E143" s="241">
        <f t="shared" si="19"/>
        <v>10854.565473259037</v>
      </c>
      <c r="F143" s="241">
        <f t="shared" si="20"/>
        <v>10854.5</v>
      </c>
      <c r="G143" s="228">
        <f t="shared" si="29"/>
        <v>3.085665000253357E-2</v>
      </c>
      <c r="H143" s="229"/>
      <c r="I143" s="229"/>
      <c r="J143" s="229"/>
      <c r="L143" s="229"/>
      <c r="M143" s="229"/>
      <c r="P143" s="225">
        <f t="shared" si="21"/>
        <v>3.0334473368134132E-2</v>
      </c>
      <c r="Q143" s="230">
        <f t="shared" si="22"/>
        <v>37046.944000000003</v>
      </c>
      <c r="R143" s="229">
        <f t="shared" si="30"/>
        <v>2.7266843751272478E-7</v>
      </c>
      <c r="S143" s="229">
        <v>1</v>
      </c>
      <c r="T143" s="220">
        <f t="shared" si="23"/>
        <v>2.7266843751272478E-7</v>
      </c>
    </row>
    <row r="144" spans="1:22" s="175" customFormat="1" ht="12.95" customHeight="1" x14ac:dyDescent="0.2">
      <c r="A144" s="217" t="s">
        <v>59</v>
      </c>
      <c r="B144" s="238"/>
      <c r="C144" s="239">
        <v>52100.557800000002</v>
      </c>
      <c r="D144" s="239">
        <v>1E-3</v>
      </c>
      <c r="E144" s="241">
        <f t="shared" si="19"/>
        <v>10929.071776540077</v>
      </c>
      <c r="F144" s="241">
        <f t="shared" si="20"/>
        <v>10929</v>
      </c>
      <c r="G144" s="228">
        <f t="shared" si="29"/>
        <v>3.3827300001576077E-2</v>
      </c>
      <c r="H144" s="241"/>
      <c r="I144" s="229"/>
      <c r="J144" s="229">
        <f>G144</f>
        <v>3.3827300001576077E-2</v>
      </c>
      <c r="K144" s="229"/>
      <c r="L144" s="229"/>
      <c r="M144" s="229"/>
      <c r="P144" s="225">
        <f t="shared" si="21"/>
        <v>3.0732266936112022E-2</v>
      </c>
      <c r="Q144" s="230">
        <f t="shared" si="22"/>
        <v>37082.057800000002</v>
      </c>
      <c r="R144" s="229">
        <f t="shared" si="30"/>
        <v>9.5792296763158241E-6</v>
      </c>
      <c r="S144" s="229">
        <v>1</v>
      </c>
      <c r="T144" s="220">
        <f t="shared" si="23"/>
        <v>9.5792296763158241E-6</v>
      </c>
      <c r="U144" s="204"/>
      <c r="V144" s="199">
        <f t="shared" ref="V144:V151" si="31">+G144-P144</f>
        <v>3.0950330654640548E-3</v>
      </c>
    </row>
    <row r="145" spans="1:22" s="175" customFormat="1" ht="12.95" customHeight="1" x14ac:dyDescent="0.2">
      <c r="A145" s="217" t="s">
        <v>59</v>
      </c>
      <c r="B145" s="246" t="s">
        <v>60</v>
      </c>
      <c r="C145" s="239">
        <v>52366.599199999997</v>
      </c>
      <c r="D145" s="239">
        <v>2.9999999999999997E-4</v>
      </c>
      <c r="E145" s="241">
        <f t="shared" si="19"/>
        <v>11493.572378403518</v>
      </c>
      <c r="F145" s="241">
        <f t="shared" si="20"/>
        <v>11493.5</v>
      </c>
      <c r="G145" s="228">
        <f t="shared" si="29"/>
        <v>3.4110949993191753E-2</v>
      </c>
      <c r="H145" s="241"/>
      <c r="I145" s="229"/>
      <c r="J145" s="229">
        <f>G145</f>
        <v>3.4110949993191753E-2</v>
      </c>
      <c r="K145" s="229"/>
      <c r="L145" s="229"/>
      <c r="M145" s="229"/>
      <c r="P145" s="225">
        <f t="shared" si="21"/>
        <v>3.3834223602275136E-2</v>
      </c>
      <c r="Q145" s="230">
        <f t="shared" si="22"/>
        <v>37348.099199999997</v>
      </c>
      <c r="R145" s="229">
        <f t="shared" si="30"/>
        <v>7.6577495429736045E-8</v>
      </c>
      <c r="S145" s="229">
        <v>1</v>
      </c>
      <c r="T145" s="220">
        <f t="shared" si="23"/>
        <v>7.6577495429736045E-8</v>
      </c>
      <c r="U145" s="204"/>
      <c r="V145" s="199">
        <f t="shared" si="31"/>
        <v>2.7672639091661649E-4</v>
      </c>
    </row>
    <row r="146" spans="1:22" s="175" customFormat="1" ht="12.95" customHeight="1" x14ac:dyDescent="0.2">
      <c r="A146" s="245" t="s">
        <v>57</v>
      </c>
      <c r="B146" s="238"/>
      <c r="C146" s="239">
        <v>52701.922667654537</v>
      </c>
      <c r="D146" s="239">
        <v>1E-4</v>
      </c>
      <c r="E146" s="241">
        <f t="shared" si="19"/>
        <v>12205.079306685839</v>
      </c>
      <c r="F146" s="241">
        <f t="shared" si="20"/>
        <v>12205</v>
      </c>
      <c r="G146" s="228">
        <f t="shared" si="29"/>
        <v>3.7376154534285888E-2</v>
      </c>
      <c r="H146" s="241"/>
      <c r="I146" s="229"/>
      <c r="J146" s="229"/>
      <c r="K146" s="175">
        <f>G146</f>
        <v>3.7376154534285888E-2</v>
      </c>
      <c r="L146" s="229"/>
      <c r="M146" s="229"/>
      <c r="P146" s="225">
        <f t="shared" si="21"/>
        <v>3.7964940885884771E-2</v>
      </c>
      <c r="Q146" s="230">
        <f t="shared" si="22"/>
        <v>37683.422667654537</v>
      </c>
      <c r="R146" s="229">
        <f t="shared" si="30"/>
        <v>3.4666936782912328E-7</v>
      </c>
      <c r="S146" s="229">
        <v>1</v>
      </c>
      <c r="T146" s="220">
        <f t="shared" si="23"/>
        <v>3.4666936782912328E-7</v>
      </c>
      <c r="U146" s="204"/>
      <c r="V146" s="199">
        <f t="shared" si="31"/>
        <v>-5.8878635159888282E-4</v>
      </c>
    </row>
    <row r="147" spans="1:22" s="175" customFormat="1" ht="12.95" customHeight="1" x14ac:dyDescent="0.2">
      <c r="A147" s="217" t="s">
        <v>59</v>
      </c>
      <c r="B147" s="246"/>
      <c r="C147" s="239">
        <v>52741.510999999999</v>
      </c>
      <c r="D147" s="239">
        <v>1E-3</v>
      </c>
      <c r="E147" s="241">
        <f t="shared" si="19"/>
        <v>12289.079907478736</v>
      </c>
      <c r="F147" s="241">
        <f t="shared" si="20"/>
        <v>12289</v>
      </c>
      <c r="G147" s="228">
        <f t="shared" si="29"/>
        <v>3.7659299996448681E-2</v>
      </c>
      <c r="H147" s="241"/>
      <c r="I147" s="229"/>
      <c r="J147" s="229">
        <f>G147</f>
        <v>3.7659299996448681E-2</v>
      </c>
      <c r="K147" s="229"/>
      <c r="L147" s="229"/>
      <c r="M147" s="229"/>
      <c r="P147" s="225">
        <f t="shared" si="21"/>
        <v>3.8468880488689336E-2</v>
      </c>
      <c r="Q147" s="230">
        <f t="shared" si="22"/>
        <v>37723.010999999999</v>
      </c>
      <c r="R147" s="229">
        <f t="shared" si="30"/>
        <v>6.5542057341662161E-7</v>
      </c>
      <c r="S147" s="229">
        <v>1</v>
      </c>
      <c r="T147" s="220">
        <f t="shared" si="23"/>
        <v>6.5542057341662161E-7</v>
      </c>
      <c r="U147" s="204"/>
      <c r="V147" s="199">
        <f t="shared" si="31"/>
        <v>-8.095804922406552E-4</v>
      </c>
    </row>
    <row r="148" spans="1:22" s="175" customFormat="1" ht="12.95" customHeight="1" x14ac:dyDescent="0.2">
      <c r="A148" s="244" t="s">
        <v>223</v>
      </c>
      <c r="B148" s="235" t="s">
        <v>64</v>
      </c>
      <c r="C148" s="237">
        <v>52752.824399999998</v>
      </c>
      <c r="D148" s="237">
        <v>4.0000000000000002E-4</v>
      </c>
      <c r="E148" s="241">
        <f t="shared" si="19"/>
        <v>12313.085273219262</v>
      </c>
      <c r="F148" s="241">
        <f t="shared" si="20"/>
        <v>12313</v>
      </c>
      <c r="G148" s="228">
        <f t="shared" si="29"/>
        <v>4.018809999251971E-2</v>
      </c>
      <c r="H148" s="241"/>
      <c r="I148" s="229"/>
      <c r="J148" s="229"/>
      <c r="K148" s="229">
        <f>G148</f>
        <v>4.018809999251971E-2</v>
      </c>
      <c r="L148" s="229"/>
      <c r="M148" s="229"/>
      <c r="P148" s="225">
        <f t="shared" si="21"/>
        <v>3.8613494157954155E-2</v>
      </c>
      <c r="Q148" s="230">
        <f t="shared" si="22"/>
        <v>37734.324399999998</v>
      </c>
      <c r="R148" s="229">
        <f t="shared" si="30"/>
        <v>2.479383534247889E-6</v>
      </c>
      <c r="S148" s="229"/>
      <c r="T148" s="220">
        <f t="shared" si="23"/>
        <v>0</v>
      </c>
      <c r="U148" s="175">
        <f>E148-INT(E148)</f>
        <v>8.527321926158038E-2</v>
      </c>
      <c r="V148" s="199">
        <f t="shared" si="31"/>
        <v>1.5746058345655553E-3</v>
      </c>
    </row>
    <row r="149" spans="1:22" s="175" customFormat="1" ht="12.95" customHeight="1" x14ac:dyDescent="0.2">
      <c r="A149" s="244" t="s">
        <v>201</v>
      </c>
      <c r="B149" s="235" t="s">
        <v>64</v>
      </c>
      <c r="C149" s="237">
        <v>52752.824399999998</v>
      </c>
      <c r="D149" s="237">
        <v>4.0000000000000002E-4</v>
      </c>
      <c r="E149" s="241">
        <f t="shared" ref="E149:E212" si="32">(C149-C$7)/C$8</f>
        <v>12313.085273219262</v>
      </c>
      <c r="F149" s="241">
        <f t="shared" ref="F149:F212" si="33">ROUND(2*E149,0)/2</f>
        <v>12313</v>
      </c>
      <c r="G149" s="228">
        <f t="shared" si="29"/>
        <v>4.018809999251971E-2</v>
      </c>
      <c r="H149" s="241"/>
      <c r="I149" s="229"/>
      <c r="J149" s="229"/>
      <c r="K149" s="229">
        <f>G149</f>
        <v>4.018809999251971E-2</v>
      </c>
      <c r="L149" s="229"/>
      <c r="M149" s="229"/>
      <c r="P149" s="225">
        <f t="shared" ref="P149:P212" si="34">+D$11+D$12*F149+D$13*F149^2</f>
        <v>3.8613494157954155E-2</v>
      </c>
      <c r="Q149" s="230">
        <f t="shared" ref="Q149:Q212" si="35">C149-15018.5</f>
        <v>37734.324399999998</v>
      </c>
      <c r="R149" s="229">
        <f t="shared" si="30"/>
        <v>2.479383534247889E-6</v>
      </c>
      <c r="S149" s="229">
        <v>1</v>
      </c>
      <c r="T149" s="220">
        <f t="shared" ref="T149:T212" si="36">R149*S149</f>
        <v>2.479383534247889E-6</v>
      </c>
      <c r="V149" s="199">
        <f t="shared" si="31"/>
        <v>1.5746058345655553E-3</v>
      </c>
    </row>
    <row r="150" spans="1:22" s="175" customFormat="1" ht="12.95" customHeight="1" x14ac:dyDescent="0.2">
      <c r="A150" s="245" t="s">
        <v>57</v>
      </c>
      <c r="B150" s="238"/>
      <c r="C150" s="239">
        <v>52760.834699999999</v>
      </c>
      <c r="D150" s="247">
        <v>1E-4</v>
      </c>
      <c r="E150" s="241">
        <f t="shared" si="32"/>
        <v>12330.081948064259</v>
      </c>
      <c r="F150" s="241">
        <f t="shared" si="33"/>
        <v>12330</v>
      </c>
      <c r="G150" s="228">
        <f t="shared" si="29"/>
        <v>3.8620999999693595E-2</v>
      </c>
      <c r="H150" s="217"/>
      <c r="J150" s="229"/>
      <c r="K150" s="175">
        <f>G150</f>
        <v>3.8620999999693595E-2</v>
      </c>
      <c r="L150" s="229"/>
      <c r="P150" s="225">
        <f t="shared" si="34"/>
        <v>3.8716098498971854E-2</v>
      </c>
      <c r="Q150" s="230">
        <f t="shared" si="35"/>
        <v>37742.334699999999</v>
      </c>
      <c r="R150" s="229">
        <f t="shared" si="30"/>
        <v>9.0437245649771064E-9</v>
      </c>
      <c r="S150" s="229">
        <v>1</v>
      </c>
      <c r="T150" s="220">
        <f t="shared" si="36"/>
        <v>9.0437245649771064E-9</v>
      </c>
      <c r="U150" s="204"/>
      <c r="V150" s="199">
        <f t="shared" si="31"/>
        <v>-9.5098499278259419E-5</v>
      </c>
    </row>
    <row r="151" spans="1:22" s="175" customFormat="1" ht="12.95" customHeight="1" x14ac:dyDescent="0.2">
      <c r="A151" s="245" t="s">
        <v>57</v>
      </c>
      <c r="B151" s="238"/>
      <c r="C151" s="239">
        <v>52760.834799999997</v>
      </c>
      <c r="D151" s="247">
        <v>1E-4</v>
      </c>
      <c r="E151" s="241">
        <f t="shared" si="32"/>
        <v>12330.0821602495</v>
      </c>
      <c r="F151" s="241">
        <f t="shared" si="33"/>
        <v>12330</v>
      </c>
      <c r="G151" s="228">
        <f t="shared" si="29"/>
        <v>3.8720999997167382E-2</v>
      </c>
      <c r="H151" s="217"/>
      <c r="J151" s="229"/>
      <c r="K151" s="175">
        <f>G151</f>
        <v>3.8720999997167382E-2</v>
      </c>
      <c r="L151" s="229"/>
      <c r="P151" s="225">
        <f t="shared" si="34"/>
        <v>3.8716098498971854E-2</v>
      </c>
      <c r="Q151" s="230">
        <f t="shared" si="35"/>
        <v>37742.334799999997</v>
      </c>
      <c r="R151" s="229">
        <f t="shared" si="30"/>
        <v>2.4024684560765199E-11</v>
      </c>
      <c r="S151" s="229">
        <v>1</v>
      </c>
      <c r="T151" s="220">
        <f t="shared" si="36"/>
        <v>2.4024684560765199E-11</v>
      </c>
      <c r="U151" s="204"/>
      <c r="V151" s="199">
        <f t="shared" si="31"/>
        <v>4.9014981955280978E-6</v>
      </c>
    </row>
    <row r="152" spans="1:22" s="175" customFormat="1" ht="12.95" customHeight="1" x14ac:dyDescent="0.2">
      <c r="A152" s="239" t="s">
        <v>75</v>
      </c>
      <c r="B152" s="238" t="s">
        <v>60</v>
      </c>
      <c r="C152" s="239">
        <v>53116.434999999998</v>
      </c>
      <c r="D152" s="239">
        <v>9.9000000000000008E-3</v>
      </c>
      <c r="E152" s="241">
        <f t="shared" si="32"/>
        <v>13084.613323154088</v>
      </c>
      <c r="F152" s="241">
        <f t="shared" si="33"/>
        <v>13084.5</v>
      </c>
      <c r="G152" s="228">
        <f t="shared" si="29"/>
        <v>5.3407649997097906E-2</v>
      </c>
      <c r="H152" s="217"/>
      <c r="J152" s="229">
        <f>G152</f>
        <v>5.3407649997097906E-2</v>
      </c>
      <c r="L152" s="229"/>
      <c r="P152" s="225">
        <f t="shared" si="34"/>
        <v>4.3411610291735729E-2</v>
      </c>
      <c r="Q152" s="230">
        <f t="shared" si="35"/>
        <v>38097.934999999998</v>
      </c>
      <c r="R152" s="229"/>
      <c r="S152" s="229"/>
      <c r="T152" s="220">
        <f t="shared" si="36"/>
        <v>0</v>
      </c>
      <c r="U152" s="204">
        <v>5.3407649997097906E-2</v>
      </c>
      <c r="V152" s="204"/>
    </row>
    <row r="153" spans="1:22" s="175" customFormat="1" ht="12.95" customHeight="1" x14ac:dyDescent="0.2">
      <c r="A153" s="217" t="s">
        <v>68</v>
      </c>
      <c r="B153" s="238" t="s">
        <v>60</v>
      </c>
      <c r="C153" s="239">
        <v>53117.365299999998</v>
      </c>
      <c r="D153" s="239">
        <v>1.6000000000000001E-3</v>
      </c>
      <c r="E153" s="241">
        <f t="shared" si="32"/>
        <v>13086.587282507458</v>
      </c>
      <c r="F153" s="241">
        <f t="shared" si="33"/>
        <v>13086.5</v>
      </c>
      <c r="G153" s="228">
        <f t="shared" si="29"/>
        <v>4.1135049992590211E-2</v>
      </c>
      <c r="H153" s="217"/>
      <c r="J153" s="229">
        <f>G153</f>
        <v>4.1135049992590211E-2</v>
      </c>
      <c r="L153" s="229"/>
      <c r="P153" s="225">
        <f t="shared" si="34"/>
        <v>4.3424425259758113E-2</v>
      </c>
      <c r="Q153" s="230">
        <f t="shared" si="35"/>
        <v>38098.865299999998</v>
      </c>
      <c r="R153" s="229">
        <f t="shared" ref="R153:R184" si="37">(G153-P153)^2</f>
        <v>5.2412391139201029E-6</v>
      </c>
      <c r="S153" s="229">
        <v>1</v>
      </c>
      <c r="T153" s="220">
        <f t="shared" si="36"/>
        <v>5.2412391139201029E-6</v>
      </c>
      <c r="V153" s="199">
        <f>+G153-P153</f>
        <v>-2.2893752671679021E-3</v>
      </c>
    </row>
    <row r="154" spans="1:22" s="175" customFormat="1" ht="12.95" customHeight="1" x14ac:dyDescent="0.2">
      <c r="A154" s="217" t="s">
        <v>68</v>
      </c>
      <c r="B154" s="246"/>
      <c r="C154" s="239">
        <v>53145.4107</v>
      </c>
      <c r="D154" s="239">
        <v>5.0000000000000001E-4</v>
      </c>
      <c r="E154" s="241">
        <f t="shared" si="32"/>
        <v>13146.095483785541</v>
      </c>
      <c r="F154" s="241">
        <f t="shared" si="33"/>
        <v>13146</v>
      </c>
      <c r="G154" s="228">
        <f t="shared" si="29"/>
        <v>4.5000199999776669E-2</v>
      </c>
      <c r="H154" s="217"/>
      <c r="J154" s="229">
        <f>G154</f>
        <v>4.5000199999776669E-2</v>
      </c>
      <c r="L154" s="229"/>
      <c r="P154" s="225">
        <f t="shared" si="34"/>
        <v>4.3806561266188065E-2</v>
      </c>
      <c r="Q154" s="230">
        <f t="shared" si="35"/>
        <v>38126.9107</v>
      </c>
      <c r="R154" s="229">
        <f t="shared" si="37"/>
        <v>1.4247734263230049E-6</v>
      </c>
      <c r="S154" s="229">
        <v>1</v>
      </c>
      <c r="T154" s="220">
        <f t="shared" si="36"/>
        <v>1.4247734263230049E-6</v>
      </c>
      <c r="V154" s="199">
        <f>+G154-P154</f>
        <v>1.1936387335886034E-3</v>
      </c>
    </row>
    <row r="155" spans="1:22" s="175" customFormat="1" ht="12.95" customHeight="1" x14ac:dyDescent="0.2">
      <c r="A155" s="217" t="s">
        <v>68</v>
      </c>
      <c r="B155" s="246"/>
      <c r="C155" s="239">
        <v>53151.536200000002</v>
      </c>
      <c r="D155" s="239">
        <v>2E-3</v>
      </c>
      <c r="E155" s="241">
        <f t="shared" si="32"/>
        <v>13159.092891094011</v>
      </c>
      <c r="F155" s="241">
        <f t="shared" si="33"/>
        <v>13159</v>
      </c>
      <c r="G155" s="228">
        <f t="shared" si="29"/>
        <v>4.3778300001577009E-2</v>
      </c>
      <c r="H155" s="217"/>
      <c r="J155" s="229">
        <f>G155</f>
        <v>4.3778300001577009E-2</v>
      </c>
      <c r="L155" s="229"/>
      <c r="P155" s="225">
        <f t="shared" si="34"/>
        <v>4.389028258318161E-2</v>
      </c>
      <c r="Q155" s="230">
        <f t="shared" si="35"/>
        <v>38133.036200000002</v>
      </c>
      <c r="R155" s="229">
        <f t="shared" si="37"/>
        <v>1.2540098582831198E-8</v>
      </c>
      <c r="S155" s="229">
        <v>1</v>
      </c>
      <c r="T155" s="220">
        <f t="shared" si="36"/>
        <v>1.2540098582831198E-8</v>
      </c>
      <c r="V155" s="199">
        <f>+G155-P155</f>
        <v>-1.1198258160460134E-4</v>
      </c>
    </row>
    <row r="156" spans="1:22" s="175" customFormat="1" ht="12.95" customHeight="1" x14ac:dyDescent="0.2">
      <c r="A156" s="245" t="s">
        <v>66</v>
      </c>
      <c r="B156" s="238"/>
      <c r="C156" s="239">
        <v>53439.967700000001</v>
      </c>
      <c r="D156" s="247">
        <v>1E-4</v>
      </c>
      <c r="E156" s="241">
        <f t="shared" si="32"/>
        <v>13771.101981958733</v>
      </c>
      <c r="F156" s="241">
        <f t="shared" si="33"/>
        <v>13771</v>
      </c>
      <c r="G156" s="228">
        <f t="shared" si="29"/>
        <v>4.8062699999718461E-2</v>
      </c>
      <c r="H156" s="217"/>
      <c r="J156" s="229"/>
      <c r="K156" s="175">
        <f>G156</f>
        <v>4.8062699999718461E-2</v>
      </c>
      <c r="L156" s="229"/>
      <c r="P156" s="225">
        <f t="shared" si="34"/>
        <v>4.792472992440331E-2</v>
      </c>
      <c r="Q156" s="230">
        <f t="shared" si="35"/>
        <v>38421.467700000001</v>
      </c>
      <c r="R156" s="229">
        <f t="shared" si="37"/>
        <v>1.9035741682468467E-8</v>
      </c>
      <c r="S156" s="229">
        <v>1</v>
      </c>
      <c r="T156" s="220">
        <f t="shared" si="36"/>
        <v>1.9035741682468467E-8</v>
      </c>
      <c r="V156" s="199">
        <f>+G156-P156</f>
        <v>1.379700753151511E-4</v>
      </c>
    </row>
    <row r="157" spans="1:22" s="175" customFormat="1" ht="12.95" customHeight="1" x14ac:dyDescent="0.2">
      <c r="A157" s="244" t="s">
        <v>927</v>
      </c>
      <c r="B157" s="235" t="s">
        <v>64</v>
      </c>
      <c r="C157" s="237">
        <v>53546.481099999997</v>
      </c>
      <c r="D157" s="237" t="s">
        <v>860</v>
      </c>
      <c r="E157" s="241">
        <f t="shared" si="32"/>
        <v>13997.107702897356</v>
      </c>
      <c r="F157" s="241">
        <f t="shared" si="33"/>
        <v>13997</v>
      </c>
      <c r="G157" s="228">
        <f t="shared" si="29"/>
        <v>5.0758899997163098E-2</v>
      </c>
      <c r="J157" s="229"/>
      <c r="K157" s="175">
        <f>G157</f>
        <v>5.0758899997163098E-2</v>
      </c>
      <c r="L157" s="229"/>
      <c r="P157" s="225">
        <f t="shared" si="34"/>
        <v>4.9460674293841635E-2</v>
      </c>
      <c r="Q157" s="230">
        <f t="shared" si="35"/>
        <v>38527.981099999997</v>
      </c>
      <c r="R157" s="229">
        <f t="shared" si="37"/>
        <v>1.6853899767645089E-6</v>
      </c>
      <c r="S157" s="229">
        <v>1</v>
      </c>
      <c r="T157" s="220">
        <f t="shared" si="36"/>
        <v>1.6853899767645089E-6</v>
      </c>
    </row>
    <row r="158" spans="1:22" s="175" customFormat="1" ht="12.95" customHeight="1" x14ac:dyDescent="0.2">
      <c r="A158" s="239" t="s">
        <v>80</v>
      </c>
      <c r="B158" s="238" t="s">
        <v>64</v>
      </c>
      <c r="C158" s="239">
        <v>53546.481480000002</v>
      </c>
      <c r="D158" s="239">
        <v>2.9999999999999997E-4</v>
      </c>
      <c r="E158" s="241">
        <f t="shared" si="32"/>
        <v>13997.108509201305</v>
      </c>
      <c r="F158" s="241">
        <f t="shared" si="33"/>
        <v>13997</v>
      </c>
      <c r="G158" s="228">
        <f t="shared" si="29"/>
        <v>5.1138900002115406E-2</v>
      </c>
      <c r="H158" s="217"/>
      <c r="J158" s="229"/>
      <c r="K158" s="175">
        <f>G158</f>
        <v>5.1138900002115406E-2</v>
      </c>
      <c r="L158" s="229"/>
      <c r="P158" s="225">
        <f t="shared" si="34"/>
        <v>4.9460674293841635E-2</v>
      </c>
      <c r="Q158" s="230">
        <f t="shared" si="35"/>
        <v>38527.981480000002</v>
      </c>
      <c r="R158" s="229">
        <f t="shared" si="37"/>
        <v>2.816441527911002E-6</v>
      </c>
      <c r="S158" s="229">
        <v>1</v>
      </c>
      <c r="T158" s="220">
        <f t="shared" si="36"/>
        <v>2.816441527911002E-6</v>
      </c>
      <c r="V158" s="199">
        <f>+G158-P158</f>
        <v>1.6782257082737714E-3</v>
      </c>
    </row>
    <row r="159" spans="1:22" s="175" customFormat="1" ht="12.95" customHeight="1" x14ac:dyDescent="0.2">
      <c r="A159" s="244" t="s">
        <v>930</v>
      </c>
      <c r="B159" s="235" t="s">
        <v>64</v>
      </c>
      <c r="C159" s="237">
        <v>53546.481500000002</v>
      </c>
      <c r="D159" s="237" t="s">
        <v>929</v>
      </c>
      <c r="E159" s="241">
        <f t="shared" si="32"/>
        <v>13997.108551638354</v>
      </c>
      <c r="F159" s="241">
        <f t="shared" si="33"/>
        <v>13997</v>
      </c>
      <c r="G159" s="228">
        <f t="shared" si="29"/>
        <v>5.1158900001610164E-2</v>
      </c>
      <c r="J159" s="229"/>
      <c r="K159" s="175">
        <f>G159</f>
        <v>5.1158900001610164E-2</v>
      </c>
      <c r="L159" s="229"/>
      <c r="P159" s="225">
        <f t="shared" si="34"/>
        <v>4.9460674293841635E-2</v>
      </c>
      <c r="Q159" s="230">
        <f t="shared" si="35"/>
        <v>38527.981500000002</v>
      </c>
      <c r="R159" s="229">
        <f t="shared" si="37"/>
        <v>2.883970554525921E-6</v>
      </c>
      <c r="S159" s="229">
        <v>1</v>
      </c>
      <c r="T159" s="220">
        <f t="shared" si="36"/>
        <v>2.883970554525921E-6</v>
      </c>
    </row>
    <row r="160" spans="1:22" s="175" customFormat="1" ht="12.95" customHeight="1" x14ac:dyDescent="0.2">
      <c r="A160" s="245" t="s">
        <v>74</v>
      </c>
      <c r="B160" s="238"/>
      <c r="C160" s="239">
        <v>53784.01154</v>
      </c>
      <c r="D160" s="247">
        <v>6.0000000000000002E-5</v>
      </c>
      <c r="E160" s="241">
        <f t="shared" si="32"/>
        <v>14501.112253846541</v>
      </c>
      <c r="F160" s="241">
        <f t="shared" si="33"/>
        <v>14501</v>
      </c>
      <c r="G160" s="228">
        <f t="shared" si="29"/>
        <v>5.2903699994203635E-2</v>
      </c>
      <c r="H160" s="217"/>
      <c r="J160" s="229"/>
      <c r="K160" s="175">
        <f>G160</f>
        <v>5.2903699994203635E-2</v>
      </c>
      <c r="L160" s="229"/>
      <c r="P160" s="225">
        <f t="shared" si="34"/>
        <v>5.2975522546651742E-2</v>
      </c>
      <c r="Q160" s="230">
        <f t="shared" si="35"/>
        <v>38765.51154</v>
      </c>
      <c r="R160" s="229">
        <f t="shared" si="37"/>
        <v>5.1584790401611178E-9</v>
      </c>
      <c r="S160" s="229">
        <v>1</v>
      </c>
      <c r="T160" s="220">
        <f t="shared" si="36"/>
        <v>5.1584790401611178E-9</v>
      </c>
      <c r="V160" s="199">
        <f>+G160-P160</f>
        <v>-7.1822552448107257E-5</v>
      </c>
    </row>
    <row r="161" spans="1:22" s="175" customFormat="1" ht="12.95" customHeight="1" x14ac:dyDescent="0.2">
      <c r="A161" s="217" t="s">
        <v>71</v>
      </c>
      <c r="B161" s="246"/>
      <c r="C161" s="239">
        <v>53817.473299999998</v>
      </c>
      <c r="D161" s="239">
        <v>2.9999999999999997E-4</v>
      </c>
      <c r="E161" s="241">
        <f t="shared" si="32"/>
        <v>14572.1131719721</v>
      </c>
      <c r="F161" s="241">
        <f t="shared" si="33"/>
        <v>14572</v>
      </c>
      <c r="G161" s="228">
        <f t="shared" si="29"/>
        <v>5.3336399992986117E-2</v>
      </c>
      <c r="H161" s="217"/>
      <c r="J161" s="229">
        <f>G161</f>
        <v>5.3336399992986117E-2</v>
      </c>
      <c r="L161" s="229"/>
      <c r="P161" s="225">
        <f t="shared" si="34"/>
        <v>5.3480607142074109E-2</v>
      </c>
      <c r="Q161" s="230">
        <f t="shared" si="35"/>
        <v>38798.973299999998</v>
      </c>
      <c r="R161" s="229">
        <f t="shared" si="37"/>
        <v>2.0795701848086442E-8</v>
      </c>
      <c r="S161" s="229">
        <v>1</v>
      </c>
      <c r="T161" s="220">
        <f t="shared" si="36"/>
        <v>2.0795701848086442E-8</v>
      </c>
      <c r="V161" s="199">
        <f>+G161-P161</f>
        <v>-1.4420714908799231E-4</v>
      </c>
    </row>
    <row r="162" spans="1:22" s="175" customFormat="1" ht="12.95" customHeight="1" x14ac:dyDescent="0.2">
      <c r="A162" s="217" t="s">
        <v>71</v>
      </c>
      <c r="B162" s="246"/>
      <c r="C162" s="239">
        <v>53849.519800000002</v>
      </c>
      <c r="D162" s="239">
        <v>2.0999999999999999E-3</v>
      </c>
      <c r="E162" s="241">
        <f t="shared" si="32"/>
        <v>14640.111117170176</v>
      </c>
      <c r="F162" s="241">
        <f t="shared" si="33"/>
        <v>14640</v>
      </c>
      <c r="G162" s="228">
        <f t="shared" si="29"/>
        <v>5.2367999996931758E-2</v>
      </c>
      <c r="H162" s="217"/>
      <c r="J162" s="229">
        <f>G162</f>
        <v>5.2367999996931758E-2</v>
      </c>
      <c r="L162" s="229"/>
      <c r="O162" s="175">
        <f t="shared" ref="O162:O193" ca="1" si="38">+C$11+C$12*F162</f>
        <v>2.8494698658458328E-2</v>
      </c>
      <c r="P162" s="225">
        <f t="shared" si="34"/>
        <v>5.3966650871304866E-2</v>
      </c>
      <c r="Q162" s="230">
        <f t="shared" si="35"/>
        <v>38831.019800000002</v>
      </c>
      <c r="R162" s="229">
        <f t="shared" si="37"/>
        <v>2.5556846181339052E-6</v>
      </c>
      <c r="S162" s="229">
        <v>1</v>
      </c>
      <c r="T162" s="220">
        <f t="shared" si="36"/>
        <v>2.5556846181339052E-6</v>
      </c>
      <c r="V162" s="199">
        <f>+G162-P162</f>
        <v>-1.5986508743731087E-3</v>
      </c>
    </row>
    <row r="163" spans="1:22" s="175" customFormat="1" ht="12.95" customHeight="1" x14ac:dyDescent="0.2">
      <c r="A163" s="239" t="s">
        <v>75</v>
      </c>
      <c r="B163" s="246"/>
      <c r="C163" s="239">
        <v>53858.476600000002</v>
      </c>
      <c r="D163" s="239">
        <v>2.9999999999999997E-4</v>
      </c>
      <c r="E163" s="241">
        <f t="shared" si="32"/>
        <v>14659.116125378563</v>
      </c>
      <c r="F163" s="241">
        <f t="shared" si="33"/>
        <v>14659</v>
      </c>
      <c r="G163" s="228">
        <f t="shared" si="29"/>
        <v>5.4728299997805152E-2</v>
      </c>
      <c r="H163" s="217"/>
      <c r="J163" s="229">
        <f>G163</f>
        <v>5.4728299997805152E-2</v>
      </c>
      <c r="L163" s="229"/>
      <c r="O163" s="175">
        <f t="shared" ca="1" si="38"/>
        <v>2.8734184234902205E-2</v>
      </c>
      <c r="P163" s="225">
        <f t="shared" si="34"/>
        <v>5.4102859568535118E-2</v>
      </c>
      <c r="Q163" s="230">
        <f t="shared" si="35"/>
        <v>38839.976600000002</v>
      </c>
      <c r="R163" s="229">
        <f t="shared" si="37"/>
        <v>3.9117573056548455E-7</v>
      </c>
      <c r="S163" s="229">
        <v>1</v>
      </c>
      <c r="T163" s="220">
        <f t="shared" si="36"/>
        <v>3.9117573056548455E-7</v>
      </c>
      <c r="V163" s="199">
        <f>+G163-P163</f>
        <v>6.2544042927003413E-4</v>
      </c>
    </row>
    <row r="164" spans="1:22" s="175" customFormat="1" ht="12.95" customHeight="1" x14ac:dyDescent="0.2">
      <c r="A164" s="244" t="s">
        <v>882</v>
      </c>
      <c r="B164" s="235" t="s">
        <v>64</v>
      </c>
      <c r="C164" s="237">
        <v>53858.476999999999</v>
      </c>
      <c r="D164" s="237"/>
      <c r="E164" s="241">
        <f t="shared" si="32"/>
        <v>14659.116974119544</v>
      </c>
      <c r="F164" s="241">
        <f t="shared" si="33"/>
        <v>14659</v>
      </c>
      <c r="G164" s="228">
        <f t="shared" si="29"/>
        <v>5.512829999497626E-2</v>
      </c>
      <c r="J164" s="229"/>
      <c r="K164" s="175">
        <f>G164</f>
        <v>5.512829999497626E-2</v>
      </c>
      <c r="L164" s="229"/>
      <c r="O164" s="175">
        <f t="shared" ca="1" si="38"/>
        <v>2.8734184234902205E-2</v>
      </c>
      <c r="P164" s="225">
        <f t="shared" si="34"/>
        <v>5.4102859568535118E-2</v>
      </c>
      <c r="Q164" s="230">
        <f t="shared" si="35"/>
        <v>38839.976999999999</v>
      </c>
      <c r="R164" s="229">
        <f t="shared" si="37"/>
        <v>1.0515280681797908E-6</v>
      </c>
      <c r="S164" s="229">
        <v>1</v>
      </c>
      <c r="T164" s="220">
        <f t="shared" si="36"/>
        <v>1.0515280681797908E-6</v>
      </c>
    </row>
    <row r="165" spans="1:22" s="175" customFormat="1" ht="12.95" customHeight="1" x14ac:dyDescent="0.2">
      <c r="A165" s="217" t="s">
        <v>73</v>
      </c>
      <c r="B165" s="238" t="s">
        <v>64</v>
      </c>
      <c r="C165" s="239">
        <v>53899.475299999998</v>
      </c>
      <c r="D165" s="239">
        <v>5.9999999999999995E-4</v>
      </c>
      <c r="E165" s="241">
        <f t="shared" si="32"/>
        <v>14746.109318263645</v>
      </c>
      <c r="F165" s="241">
        <f t="shared" si="33"/>
        <v>14746</v>
      </c>
      <c r="G165" s="228">
        <f t="shared" si="29"/>
        <v>5.1520199995138682E-2</v>
      </c>
      <c r="H165" s="217"/>
      <c r="J165" s="229">
        <f>G165</f>
        <v>5.1520199995138682E-2</v>
      </c>
      <c r="L165" s="229"/>
      <c r="O165" s="175">
        <f t="shared" ca="1" si="38"/>
        <v>2.9830776084934701E-2</v>
      </c>
      <c r="P165" s="225">
        <f t="shared" si="34"/>
        <v>5.4728796775794453E-2</v>
      </c>
      <c r="Q165" s="230">
        <f t="shared" si="35"/>
        <v>38880.975299999998</v>
      </c>
      <c r="R165" s="229">
        <f t="shared" si="37"/>
        <v>1.0295093300834573E-5</v>
      </c>
      <c r="S165" s="229">
        <v>1</v>
      </c>
      <c r="T165" s="220">
        <f t="shared" si="36"/>
        <v>1.0295093300834573E-5</v>
      </c>
      <c r="V165" s="199">
        <f>+G165-P165</f>
        <v>-3.2085967806557703E-3</v>
      </c>
    </row>
    <row r="166" spans="1:22" s="175" customFormat="1" ht="12.95" customHeight="1" x14ac:dyDescent="0.2">
      <c r="A166" s="239" t="s">
        <v>195</v>
      </c>
      <c r="B166" s="238" t="s">
        <v>60</v>
      </c>
      <c r="C166" s="239">
        <v>54233.861299999997</v>
      </c>
      <c r="D166" s="239">
        <v>1E-4</v>
      </c>
      <c r="E166" s="241">
        <f t="shared" si="32"/>
        <v>15455.627078487098</v>
      </c>
      <c r="F166" s="241">
        <f t="shared" si="33"/>
        <v>15455.5</v>
      </c>
      <c r="G166" s="228">
        <f t="shared" si="29"/>
        <v>5.9890349992201664E-2</v>
      </c>
      <c r="H166" s="217"/>
      <c r="J166" s="229"/>
      <c r="K166" s="175">
        <f>G166</f>
        <v>5.9890349992201664E-2</v>
      </c>
      <c r="L166" s="229"/>
      <c r="O166" s="175">
        <f t="shared" ca="1" si="38"/>
        <v>3.8773671689510014E-2</v>
      </c>
      <c r="P166" s="225">
        <f t="shared" si="34"/>
        <v>5.9970979190710316E-2</v>
      </c>
      <c r="Q166" s="230">
        <f t="shared" si="35"/>
        <v>39215.361299999997</v>
      </c>
      <c r="R166" s="229">
        <f t="shared" si="37"/>
        <v>6.5010676521477205E-9</v>
      </c>
      <c r="S166" s="229">
        <v>1</v>
      </c>
      <c r="T166" s="220">
        <f t="shared" si="36"/>
        <v>6.5010676521477205E-9</v>
      </c>
      <c r="V166" s="199">
        <f>+G166-P166</f>
        <v>-8.0629198508652689E-5</v>
      </c>
    </row>
    <row r="167" spans="1:22" s="175" customFormat="1" ht="12.95" customHeight="1" x14ac:dyDescent="0.2">
      <c r="A167" s="244" t="s">
        <v>841</v>
      </c>
      <c r="B167" s="235" t="s">
        <v>60</v>
      </c>
      <c r="C167" s="237">
        <v>54240.46</v>
      </c>
      <c r="D167" s="237"/>
      <c r="E167" s="241">
        <f t="shared" si="32"/>
        <v>15469.628546384642</v>
      </c>
      <c r="F167" s="241">
        <f t="shared" si="33"/>
        <v>15469.5</v>
      </c>
      <c r="G167" s="228">
        <f t="shared" ref="G167:G198" si="39">C167-(C$7+F167*C$8)</f>
        <v>6.0582149999390822E-2</v>
      </c>
      <c r="J167" s="229">
        <f>G167</f>
        <v>6.0582149999390822E-2</v>
      </c>
      <c r="L167" s="229"/>
      <c r="O167" s="175">
        <f t="shared" ca="1" si="38"/>
        <v>3.8950134745837084E-2</v>
      </c>
      <c r="P167" s="225">
        <f t="shared" si="34"/>
        <v>6.0076884539651522E-2</v>
      </c>
      <c r="Q167" s="230">
        <f t="shared" si="35"/>
        <v>39221.96</v>
      </c>
      <c r="R167" s="229">
        <f t="shared" si="37"/>
        <v>2.5529318480556615E-7</v>
      </c>
      <c r="S167" s="229">
        <v>1</v>
      </c>
      <c r="T167" s="220">
        <f t="shared" si="36"/>
        <v>2.5529318480556615E-7</v>
      </c>
    </row>
    <row r="168" spans="1:22" s="175" customFormat="1" ht="12.95" customHeight="1" x14ac:dyDescent="0.2">
      <c r="A168" s="239" t="s">
        <v>75</v>
      </c>
      <c r="B168" s="238" t="s">
        <v>60</v>
      </c>
      <c r="C168" s="239">
        <v>54240.460400000004</v>
      </c>
      <c r="D168" s="239">
        <v>1.1000000000000001E-3</v>
      </c>
      <c r="E168" s="241">
        <f t="shared" si="32"/>
        <v>15469.629395125639</v>
      </c>
      <c r="F168" s="241">
        <f t="shared" si="33"/>
        <v>15469.5</v>
      </c>
      <c r="G168" s="228">
        <f t="shared" si="39"/>
        <v>6.0982150003837887E-2</v>
      </c>
      <c r="H168" s="217"/>
      <c r="J168" s="229">
        <f>G168</f>
        <v>6.0982150003837887E-2</v>
      </c>
      <c r="L168" s="229"/>
      <c r="O168" s="175">
        <f t="shared" ca="1" si="38"/>
        <v>3.8950134745837084E-2</v>
      </c>
      <c r="P168" s="225">
        <f t="shared" si="34"/>
        <v>6.0076884539651522E-2</v>
      </c>
      <c r="Q168" s="230">
        <f t="shared" si="35"/>
        <v>39221.960400000004</v>
      </c>
      <c r="R168" s="229">
        <f t="shared" si="37"/>
        <v>8.1950556064855544E-7</v>
      </c>
      <c r="S168" s="229">
        <v>1</v>
      </c>
      <c r="T168" s="220">
        <f t="shared" si="36"/>
        <v>8.1950556064855544E-7</v>
      </c>
      <c r="V168" s="199">
        <f t="shared" ref="V168:V177" si="40">+G168-P168</f>
        <v>9.0526546418636528E-4</v>
      </c>
    </row>
    <row r="169" spans="1:22" s="175" customFormat="1" ht="12.95" customHeight="1" x14ac:dyDescent="0.2">
      <c r="A169" s="245" t="s">
        <v>76</v>
      </c>
      <c r="B169" s="238"/>
      <c r="C169" s="239">
        <v>54539.025999999998</v>
      </c>
      <c r="D169" s="239">
        <v>1E-3</v>
      </c>
      <c r="E169" s="241">
        <f t="shared" si="32"/>
        <v>16103.14155111234</v>
      </c>
      <c r="F169" s="241">
        <f t="shared" si="33"/>
        <v>16103</v>
      </c>
      <c r="G169" s="228">
        <f t="shared" si="39"/>
        <v>6.6711099992971867E-2</v>
      </c>
      <c r="H169" s="217"/>
      <c r="J169" s="229"/>
      <c r="K169" s="175">
        <f>G169</f>
        <v>6.6711099992971867E-2</v>
      </c>
      <c r="L169" s="229"/>
      <c r="O169" s="175">
        <f t="shared" ca="1" si="38"/>
        <v>4.6935088044636891E-2</v>
      </c>
      <c r="P169" s="225">
        <f t="shared" si="34"/>
        <v>6.4968947321191253E-2</v>
      </c>
      <c r="Q169" s="230">
        <f t="shared" si="35"/>
        <v>39520.525999999998</v>
      </c>
      <c r="R169" s="229">
        <f t="shared" si="37"/>
        <v>3.0350959317923321E-6</v>
      </c>
      <c r="S169" s="229">
        <v>1</v>
      </c>
      <c r="T169" s="220">
        <f t="shared" si="36"/>
        <v>3.0350959317923321E-6</v>
      </c>
      <c r="V169" s="199">
        <f t="shared" si="40"/>
        <v>1.7421526717806141E-3</v>
      </c>
    </row>
    <row r="170" spans="1:22" s="175" customFormat="1" ht="12.95" customHeight="1" x14ac:dyDescent="0.2">
      <c r="A170" s="239" t="s">
        <v>197</v>
      </c>
      <c r="B170" s="238" t="s">
        <v>60</v>
      </c>
      <c r="C170" s="239">
        <v>54718.352400000003</v>
      </c>
      <c r="D170" s="239">
        <v>2.0000000000000001E-4</v>
      </c>
      <c r="E170" s="241">
        <f t="shared" si="32"/>
        <v>16483.645715990471</v>
      </c>
      <c r="F170" s="241">
        <f t="shared" si="33"/>
        <v>16483.5</v>
      </c>
      <c r="G170" s="228">
        <f t="shared" si="39"/>
        <v>6.8673950001539197E-2</v>
      </c>
      <c r="H170" s="217"/>
      <c r="J170" s="229">
        <f>G170</f>
        <v>6.8673950001539197E-2</v>
      </c>
      <c r="L170" s="229"/>
      <c r="O170" s="175">
        <f t="shared" ca="1" si="38"/>
        <v>5.1731101825526121E-2</v>
      </c>
      <c r="P170" s="225">
        <f t="shared" si="34"/>
        <v>6.8001189076232899E-2</v>
      </c>
      <c r="Q170" s="230">
        <f t="shared" si="35"/>
        <v>39699.852400000003</v>
      </c>
      <c r="R170" s="229">
        <f t="shared" si="37"/>
        <v>4.5260726261898663E-7</v>
      </c>
      <c r="S170" s="229">
        <v>1</v>
      </c>
      <c r="T170" s="220">
        <f t="shared" si="36"/>
        <v>4.5260726261898663E-7</v>
      </c>
      <c r="V170" s="199">
        <f t="shared" si="40"/>
        <v>6.7276092530629827E-4</v>
      </c>
    </row>
    <row r="171" spans="1:22" s="175" customFormat="1" ht="12.95" customHeight="1" x14ac:dyDescent="0.2">
      <c r="A171" s="239" t="s">
        <v>164</v>
      </c>
      <c r="B171" s="238" t="s">
        <v>60</v>
      </c>
      <c r="C171" s="239">
        <v>54897.913800000002</v>
      </c>
      <c r="D171" s="239">
        <v>1E-4</v>
      </c>
      <c r="E171" s="241">
        <f t="shared" si="32"/>
        <v>16864.648516199177</v>
      </c>
      <c r="F171" s="241">
        <f t="shared" si="33"/>
        <v>16864.5</v>
      </c>
      <c r="G171" s="228">
        <f t="shared" si="39"/>
        <v>6.9993650002288632E-2</v>
      </c>
      <c r="H171" s="217"/>
      <c r="J171" s="229"/>
      <c r="K171" s="175">
        <f>G171</f>
        <v>6.9993650002288632E-2</v>
      </c>
      <c r="L171" s="229"/>
      <c r="O171" s="175">
        <f t="shared" ca="1" si="38"/>
        <v>5.6533417858427026E-2</v>
      </c>
      <c r="P171" s="225">
        <f t="shared" si="34"/>
        <v>7.1108037059460213E-2</v>
      </c>
      <c r="Q171" s="230">
        <f t="shared" si="35"/>
        <v>39879.413800000002</v>
      </c>
      <c r="R171" s="229">
        <f t="shared" si="37"/>
        <v>1.2418585131915373E-6</v>
      </c>
      <c r="S171" s="229">
        <v>1</v>
      </c>
      <c r="T171" s="220">
        <f t="shared" si="36"/>
        <v>1.2418585131915373E-6</v>
      </c>
      <c r="V171" s="199">
        <f t="shared" si="40"/>
        <v>-1.1143870571715814E-3</v>
      </c>
    </row>
    <row r="172" spans="1:22" s="175" customFormat="1" ht="12.95" customHeight="1" x14ac:dyDescent="0.2">
      <c r="A172" s="239" t="s">
        <v>197</v>
      </c>
      <c r="B172" s="238" t="s">
        <v>64</v>
      </c>
      <c r="C172" s="239">
        <v>54908.518700000001</v>
      </c>
      <c r="D172" s="239">
        <v>8.0000000000000004E-4</v>
      </c>
      <c r="E172" s="241">
        <f t="shared" si="32"/>
        <v>16887.150549464302</v>
      </c>
      <c r="F172" s="241">
        <f t="shared" si="33"/>
        <v>16887</v>
      </c>
      <c r="G172" s="228">
        <f t="shared" si="39"/>
        <v>7.0951899993815459E-2</v>
      </c>
      <c r="H172" s="217"/>
      <c r="J172" s="229">
        <f>G172</f>
        <v>7.0951899993815459E-2</v>
      </c>
      <c r="L172" s="229"/>
      <c r="O172" s="175">
        <f t="shared" ca="1" si="38"/>
        <v>5.6817019198952684E-2</v>
      </c>
      <c r="P172" s="225">
        <f t="shared" si="34"/>
        <v>7.1293722216717981E-2</v>
      </c>
      <c r="Q172" s="230">
        <f t="shared" si="35"/>
        <v>39890.018700000001</v>
      </c>
      <c r="R172" s="229">
        <f t="shared" si="37"/>
        <v>1.1684243207002102E-7</v>
      </c>
      <c r="S172" s="229">
        <v>1</v>
      </c>
      <c r="T172" s="220">
        <f t="shared" si="36"/>
        <v>1.1684243207002102E-7</v>
      </c>
      <c r="V172" s="199">
        <f t="shared" si="40"/>
        <v>-3.418222229025214E-4</v>
      </c>
    </row>
    <row r="173" spans="1:22" s="175" customFormat="1" ht="12.95" customHeight="1" x14ac:dyDescent="0.2">
      <c r="A173" s="239" t="s">
        <v>164</v>
      </c>
      <c r="B173" s="238" t="s">
        <v>60</v>
      </c>
      <c r="C173" s="239">
        <v>54915.826500000003</v>
      </c>
      <c r="D173" s="239">
        <v>1E-4</v>
      </c>
      <c r="E173" s="241">
        <f t="shared" si="32"/>
        <v>16902.656622948725</v>
      </c>
      <c r="F173" s="241">
        <f t="shared" si="33"/>
        <v>16902.5</v>
      </c>
      <c r="G173" s="228">
        <f t="shared" si="39"/>
        <v>7.3814249997667503E-2</v>
      </c>
      <c r="H173" s="217"/>
      <c r="K173" s="229">
        <f>G173</f>
        <v>7.3814249997667503E-2</v>
      </c>
      <c r="L173" s="229"/>
      <c r="O173" s="175">
        <f t="shared" ca="1" si="38"/>
        <v>5.7012389011314779E-2</v>
      </c>
      <c r="P173" s="225">
        <f t="shared" si="34"/>
        <v>7.1421782028439296E-2</v>
      </c>
      <c r="Q173" s="230">
        <f t="shared" si="35"/>
        <v>39897.326500000003</v>
      </c>
      <c r="R173" s="229">
        <f t="shared" si="37"/>
        <v>5.7239029837829404E-6</v>
      </c>
      <c r="S173" s="229">
        <v>1</v>
      </c>
      <c r="T173" s="220">
        <f t="shared" si="36"/>
        <v>5.7239029837829404E-6</v>
      </c>
      <c r="V173" s="199">
        <f t="shared" si="40"/>
        <v>2.3924679692282069E-3</v>
      </c>
    </row>
    <row r="174" spans="1:22" s="175" customFormat="1" ht="12.95" customHeight="1" x14ac:dyDescent="0.2">
      <c r="A174" s="239" t="s">
        <v>196</v>
      </c>
      <c r="B174" s="238" t="s">
        <v>60</v>
      </c>
      <c r="C174" s="239">
        <v>54936.559800000003</v>
      </c>
      <c r="D174" s="239">
        <v>2.0000000000000001E-4</v>
      </c>
      <c r="E174" s="241">
        <f t="shared" si="32"/>
        <v>16946.649626776758</v>
      </c>
      <c r="F174" s="241">
        <f t="shared" si="33"/>
        <v>16946.5</v>
      </c>
      <c r="G174" s="228">
        <f t="shared" si="39"/>
        <v>7.0517050000489689E-2</v>
      </c>
      <c r="H174" s="217"/>
      <c r="K174" s="229">
        <f>G174</f>
        <v>7.0517050000489689E-2</v>
      </c>
      <c r="L174" s="229"/>
      <c r="O174" s="175">
        <f t="shared" ca="1" si="38"/>
        <v>5.7566987188342716E-2</v>
      </c>
      <c r="P174" s="225">
        <f t="shared" si="34"/>
        <v>7.1785943909596514E-2</v>
      </c>
      <c r="Q174" s="230">
        <f t="shared" si="35"/>
        <v>39918.059800000003</v>
      </c>
      <c r="R174" s="229">
        <f t="shared" si="37"/>
        <v>1.6100917525683985E-6</v>
      </c>
      <c r="S174" s="229">
        <v>1</v>
      </c>
      <c r="T174" s="220">
        <f t="shared" si="36"/>
        <v>1.6100917525683985E-6</v>
      </c>
      <c r="V174" s="199">
        <f t="shared" si="40"/>
        <v>-1.2688939091068246E-3</v>
      </c>
    </row>
    <row r="175" spans="1:22" s="175" customFormat="1" ht="12.95" customHeight="1" x14ac:dyDescent="0.2">
      <c r="A175" s="239" t="s">
        <v>196</v>
      </c>
      <c r="B175" s="238" t="s">
        <v>60</v>
      </c>
      <c r="C175" s="239">
        <v>54938.445299999999</v>
      </c>
      <c r="D175" s="239">
        <v>2.0000000000000001E-4</v>
      </c>
      <c r="E175" s="241">
        <f t="shared" si="32"/>
        <v>16950.650379610008</v>
      </c>
      <c r="F175" s="241">
        <f t="shared" si="33"/>
        <v>16950.5</v>
      </c>
      <c r="G175" s="228">
        <f t="shared" si="39"/>
        <v>7.0871849995455705E-2</v>
      </c>
      <c r="H175" s="217"/>
      <c r="K175" s="229">
        <f>G175</f>
        <v>7.0871849995455705E-2</v>
      </c>
      <c r="L175" s="229"/>
      <c r="O175" s="175">
        <f t="shared" ca="1" si="38"/>
        <v>5.7617405204436173E-2</v>
      </c>
      <c r="P175" s="225">
        <f t="shared" si="34"/>
        <v>7.1819096270386365E-2</v>
      </c>
      <c r="Q175" s="230">
        <f t="shared" si="35"/>
        <v>39919.945299999999</v>
      </c>
      <c r="R175" s="229">
        <f t="shared" si="37"/>
        <v>8.9727550537001221E-7</v>
      </c>
      <c r="S175" s="229">
        <v>1</v>
      </c>
      <c r="T175" s="220">
        <f t="shared" si="36"/>
        <v>8.9727550537001221E-7</v>
      </c>
      <c r="V175" s="199">
        <f t="shared" si="40"/>
        <v>-9.4724627493066038E-4</v>
      </c>
    </row>
    <row r="176" spans="1:22" s="175" customFormat="1" ht="12.95" customHeight="1" x14ac:dyDescent="0.2">
      <c r="A176" s="239" t="s">
        <v>197</v>
      </c>
      <c r="B176" s="238" t="s">
        <v>64</v>
      </c>
      <c r="C176" s="239">
        <v>54942.4519</v>
      </c>
      <c r="D176" s="239">
        <v>4.0000000000000002E-4</v>
      </c>
      <c r="E176" s="241">
        <f t="shared" si="32"/>
        <v>16959.151793718589</v>
      </c>
      <c r="F176" s="241">
        <f t="shared" si="33"/>
        <v>16959</v>
      </c>
      <c r="G176" s="228">
        <f t="shared" si="39"/>
        <v>7.1538299998792354E-2</v>
      </c>
      <c r="H176" s="217"/>
      <c r="J176" s="175">
        <f>G176</f>
        <v>7.1538299998792354E-2</v>
      </c>
      <c r="K176" s="229"/>
      <c r="O176" s="175">
        <f t="shared" ca="1" si="38"/>
        <v>5.7724543488634733E-2</v>
      </c>
      <c r="P176" s="225">
        <f t="shared" si="34"/>
        <v>7.1889570899659569E-2</v>
      </c>
      <c r="Q176" s="230">
        <f t="shared" si="35"/>
        <v>39923.9519</v>
      </c>
      <c r="R176" s="229">
        <f t="shared" si="37"/>
        <v>1.2339124579606474E-7</v>
      </c>
      <c r="S176" s="229">
        <v>1</v>
      </c>
      <c r="T176" s="220">
        <f t="shared" si="36"/>
        <v>1.2339124579606474E-7</v>
      </c>
      <c r="V176" s="199">
        <f t="shared" si="40"/>
        <v>-3.5127090086721491E-4</v>
      </c>
    </row>
    <row r="177" spans="1:22" s="175" customFormat="1" ht="12.95" customHeight="1" x14ac:dyDescent="0.2">
      <c r="A177" s="239" t="s">
        <v>196</v>
      </c>
      <c r="B177" s="238" t="s">
        <v>64</v>
      </c>
      <c r="C177" s="239">
        <v>54959.418100000003</v>
      </c>
      <c r="D177" s="239">
        <v>1E-4</v>
      </c>
      <c r="E177" s="241">
        <f t="shared" si="32"/>
        <v>16995.151567104749</v>
      </c>
      <c r="F177" s="241">
        <f t="shared" si="33"/>
        <v>16995</v>
      </c>
      <c r="G177" s="228">
        <f t="shared" si="39"/>
        <v>7.1431500000471715E-2</v>
      </c>
      <c r="H177" s="217"/>
      <c r="K177" s="229">
        <f>G177</f>
        <v>7.1431500000471715E-2</v>
      </c>
      <c r="O177" s="175">
        <f t="shared" ca="1" si="38"/>
        <v>5.8178305633475758E-2</v>
      </c>
      <c r="P177" s="225">
        <f t="shared" si="34"/>
        <v>7.2188441629539926E-2</v>
      </c>
      <c r="Q177" s="230">
        <f t="shared" si="35"/>
        <v>39940.918100000003</v>
      </c>
      <c r="R177" s="229">
        <f t="shared" si="37"/>
        <v>5.7296062981643756E-7</v>
      </c>
      <c r="S177" s="229">
        <v>1</v>
      </c>
      <c r="T177" s="220">
        <f t="shared" si="36"/>
        <v>5.7296062981643756E-7</v>
      </c>
      <c r="V177" s="199">
        <f t="shared" si="40"/>
        <v>-7.5694162906821127E-4</v>
      </c>
    </row>
    <row r="178" spans="1:22" s="175" customFormat="1" ht="12.95" customHeight="1" x14ac:dyDescent="0.2">
      <c r="A178" s="204" t="s">
        <v>704</v>
      </c>
      <c r="B178" s="203" t="s">
        <v>60</v>
      </c>
      <c r="C178" s="205">
        <v>54963.188300000002</v>
      </c>
      <c r="D178" s="205" t="s">
        <v>236</v>
      </c>
      <c r="E178" s="241">
        <f t="shared" si="32"/>
        <v>17003.151375289286</v>
      </c>
      <c r="F178" s="241">
        <f t="shared" si="33"/>
        <v>17003</v>
      </c>
      <c r="G178" s="228">
        <f t="shared" si="39"/>
        <v>7.134109999606153E-2</v>
      </c>
      <c r="I178" s="175">
        <f>G178</f>
        <v>7.134109999606153E-2</v>
      </c>
      <c r="K178" s="229"/>
      <c r="O178" s="175">
        <f t="shared" ca="1" si="38"/>
        <v>5.827914166566267E-2</v>
      </c>
      <c r="P178" s="225">
        <f t="shared" si="34"/>
        <v>7.2254943028546306E-2</v>
      </c>
      <c r="Q178" s="230">
        <f t="shared" si="35"/>
        <v>39944.688300000002</v>
      </c>
      <c r="R178" s="229">
        <f t="shared" si="37"/>
        <v>8.3510908802097189E-7</v>
      </c>
      <c r="S178" s="229">
        <v>0.1</v>
      </c>
      <c r="T178" s="220">
        <f t="shared" si="36"/>
        <v>8.3510908802097197E-8</v>
      </c>
    </row>
    <row r="179" spans="1:22" s="175" customFormat="1" ht="12.95" customHeight="1" x14ac:dyDescent="0.2">
      <c r="A179" s="239" t="s">
        <v>164</v>
      </c>
      <c r="B179" s="238" t="s">
        <v>60</v>
      </c>
      <c r="C179" s="239">
        <v>54981.806299999997</v>
      </c>
      <c r="D179" s="239">
        <v>2.0000000000000001E-4</v>
      </c>
      <c r="E179" s="241">
        <f t="shared" si="32"/>
        <v>17042.656024586315</v>
      </c>
      <c r="F179" s="241">
        <f t="shared" si="33"/>
        <v>17042.5</v>
      </c>
      <c r="G179" s="228">
        <f t="shared" si="39"/>
        <v>7.3532249996787868E-2</v>
      </c>
      <c r="H179" s="217"/>
      <c r="K179" s="229">
        <f t="shared" ref="K179:K191" si="41">G179</f>
        <v>7.3532249996787868E-2</v>
      </c>
      <c r="O179" s="175">
        <f t="shared" ca="1" si="38"/>
        <v>5.8777019574585448E-2</v>
      </c>
      <c r="P179" s="225">
        <f t="shared" si="34"/>
        <v>7.2583750389137572E-2</v>
      </c>
      <c r="Q179" s="230">
        <f t="shared" si="35"/>
        <v>39963.306299999997</v>
      </c>
      <c r="R179" s="229">
        <f t="shared" si="37"/>
        <v>8.9965150571276657E-7</v>
      </c>
      <c r="S179" s="229">
        <v>1</v>
      </c>
      <c r="T179" s="220">
        <f t="shared" si="36"/>
        <v>8.9965150571276657E-7</v>
      </c>
      <c r="V179" s="199">
        <f>+G179-P179</f>
        <v>9.4849960765029662E-4</v>
      </c>
    </row>
    <row r="180" spans="1:22" s="175" customFormat="1" ht="12.95" customHeight="1" x14ac:dyDescent="0.2">
      <c r="A180" s="239" t="s">
        <v>164</v>
      </c>
      <c r="B180" s="238" t="s">
        <v>60</v>
      </c>
      <c r="C180" s="239">
        <v>54982.748800000001</v>
      </c>
      <c r="D180" s="239">
        <v>1E-4</v>
      </c>
      <c r="E180" s="241">
        <f t="shared" si="32"/>
        <v>17044.655870539835</v>
      </c>
      <c r="F180" s="241">
        <f t="shared" si="33"/>
        <v>17044.5</v>
      </c>
      <c r="G180" s="228">
        <f t="shared" si="39"/>
        <v>7.3459649996948428E-2</v>
      </c>
      <c r="H180" s="217"/>
      <c r="K180" s="175">
        <f t="shared" si="41"/>
        <v>7.3459649996948428E-2</v>
      </c>
      <c r="O180" s="175">
        <f t="shared" ca="1" si="38"/>
        <v>5.8802228582632177E-2</v>
      </c>
      <c r="P180" s="225">
        <f t="shared" si="34"/>
        <v>7.260041906634207E-2</v>
      </c>
      <c r="Q180" s="230">
        <f t="shared" si="35"/>
        <v>39964.248800000001</v>
      </c>
      <c r="R180" s="229">
        <f t="shared" si="37"/>
        <v>7.3827779211066856E-7</v>
      </c>
      <c r="S180" s="229">
        <v>1</v>
      </c>
      <c r="T180" s="220">
        <f t="shared" si="36"/>
        <v>7.3827779211066856E-7</v>
      </c>
      <c r="V180" s="199">
        <f>+G180-P180</f>
        <v>8.5923093060635836E-4</v>
      </c>
    </row>
    <row r="181" spans="1:22" s="175" customFormat="1" ht="12.95" customHeight="1" x14ac:dyDescent="0.2">
      <c r="A181" s="239" t="s">
        <v>79</v>
      </c>
      <c r="B181" s="238" t="s">
        <v>60</v>
      </c>
      <c r="C181" s="239">
        <v>54998.7765</v>
      </c>
      <c r="D181" s="239">
        <v>2.9999999999999997E-4</v>
      </c>
      <c r="E181" s="241">
        <f t="shared" si="32"/>
        <v>17078.664285382361</v>
      </c>
      <c r="F181" s="241">
        <f t="shared" si="33"/>
        <v>17078.5</v>
      </c>
      <c r="G181" s="228">
        <f t="shared" si="39"/>
        <v>7.7425449999282137E-2</v>
      </c>
      <c r="H181" s="217"/>
      <c r="K181" s="175">
        <f t="shared" si="41"/>
        <v>7.7425449999282137E-2</v>
      </c>
      <c r="O181" s="175">
        <f t="shared" ca="1" si="38"/>
        <v>5.9230781719426501E-2</v>
      </c>
      <c r="P181" s="225">
        <f t="shared" si="34"/>
        <v>7.2884084515910483E-2</v>
      </c>
      <c r="Q181" s="230">
        <f t="shared" si="35"/>
        <v>39980.2765</v>
      </c>
      <c r="R181" s="229">
        <f t="shared" si="37"/>
        <v>2.0624000453559456E-5</v>
      </c>
      <c r="S181" s="229">
        <v>1</v>
      </c>
      <c r="T181" s="220">
        <f t="shared" si="36"/>
        <v>2.0624000453559456E-5</v>
      </c>
      <c r="V181" s="199">
        <f>+G181-P181</f>
        <v>4.5413654833716538E-3</v>
      </c>
    </row>
    <row r="182" spans="1:22" s="175" customFormat="1" ht="12.95" customHeight="1" x14ac:dyDescent="0.2">
      <c r="A182" s="204" t="s">
        <v>723</v>
      </c>
      <c r="B182" s="203" t="s">
        <v>64</v>
      </c>
      <c r="C182" s="205">
        <v>55050.378599999996</v>
      </c>
      <c r="D182" s="205" t="s">
        <v>236</v>
      </c>
      <c r="E182" s="241">
        <f t="shared" si="32"/>
        <v>17188.156328753867</v>
      </c>
      <c r="F182" s="241">
        <f t="shared" si="33"/>
        <v>17188</v>
      </c>
      <c r="G182" s="228">
        <f t="shared" si="39"/>
        <v>7.3675599996931851E-2</v>
      </c>
      <c r="K182" s="175">
        <f t="shared" si="41"/>
        <v>7.3675599996931851E-2</v>
      </c>
      <c r="O182" s="175">
        <f t="shared" ca="1" si="38"/>
        <v>6.0610974909984627E-2</v>
      </c>
      <c r="P182" s="225">
        <f t="shared" si="34"/>
        <v>7.3801478929479039E-2</v>
      </c>
      <c r="Q182" s="230">
        <f t="shared" si="35"/>
        <v>40031.878599999996</v>
      </c>
      <c r="R182" s="229">
        <f t="shared" si="37"/>
        <v>1.5845505659219554E-8</v>
      </c>
      <c r="S182" s="229">
        <v>1</v>
      </c>
      <c r="T182" s="220">
        <f t="shared" si="36"/>
        <v>1.5845505659219554E-8</v>
      </c>
    </row>
    <row r="183" spans="1:22" s="175" customFormat="1" ht="12.95" customHeight="1" x14ac:dyDescent="0.2">
      <c r="A183" s="217" t="s">
        <v>192</v>
      </c>
      <c r="B183" s="238" t="s">
        <v>64</v>
      </c>
      <c r="C183" s="239">
        <v>55050.378680000002</v>
      </c>
      <c r="D183" s="239">
        <v>5.0000000000000001E-4</v>
      </c>
      <c r="E183" s="241">
        <f t="shared" si="32"/>
        <v>17188.156498502074</v>
      </c>
      <c r="F183" s="241">
        <f t="shared" si="33"/>
        <v>17188</v>
      </c>
      <c r="G183" s="228">
        <f t="shared" si="39"/>
        <v>7.3755600002186839E-2</v>
      </c>
      <c r="H183" s="217"/>
      <c r="K183" s="175">
        <f t="shared" si="41"/>
        <v>7.3755600002186839E-2</v>
      </c>
      <c r="O183" s="175">
        <f t="shared" ca="1" si="38"/>
        <v>6.0610974909984627E-2</v>
      </c>
      <c r="P183" s="225">
        <f t="shared" si="34"/>
        <v>7.3801478929479039E-2</v>
      </c>
      <c r="Q183" s="230">
        <f t="shared" si="35"/>
        <v>40031.878680000002</v>
      </c>
      <c r="R183" s="229">
        <f t="shared" si="37"/>
        <v>2.1048759694830248E-9</v>
      </c>
      <c r="S183" s="229">
        <v>1</v>
      </c>
      <c r="T183" s="220">
        <f t="shared" si="36"/>
        <v>2.1048759694830248E-9</v>
      </c>
      <c r="V183" s="199">
        <f>+G183-P183</f>
        <v>-4.5878927292200555E-5</v>
      </c>
    </row>
    <row r="184" spans="1:22" s="175" customFormat="1" ht="12.95" customHeight="1" x14ac:dyDescent="0.2">
      <c r="A184" s="204" t="s">
        <v>723</v>
      </c>
      <c r="B184" s="203" t="s">
        <v>64</v>
      </c>
      <c r="C184" s="205">
        <v>55050.378700000001</v>
      </c>
      <c r="D184" s="205" t="s">
        <v>236</v>
      </c>
      <c r="E184" s="241">
        <f t="shared" si="32"/>
        <v>17188.156540939122</v>
      </c>
      <c r="F184" s="241">
        <f t="shared" si="33"/>
        <v>17188</v>
      </c>
      <c r="G184" s="228">
        <f t="shared" si="39"/>
        <v>7.3775600001681596E-2</v>
      </c>
      <c r="K184" s="175">
        <f t="shared" si="41"/>
        <v>7.3775600001681596E-2</v>
      </c>
      <c r="O184" s="175">
        <f t="shared" ca="1" si="38"/>
        <v>6.0610974909984627E-2</v>
      </c>
      <c r="P184" s="225">
        <f t="shared" si="34"/>
        <v>7.3801478929479039E-2</v>
      </c>
      <c r="Q184" s="230">
        <f t="shared" si="35"/>
        <v>40031.878700000001</v>
      </c>
      <c r="R184" s="229">
        <f t="shared" si="37"/>
        <v>6.6971890394527071E-10</v>
      </c>
      <c r="S184" s="229">
        <v>1</v>
      </c>
      <c r="T184" s="220">
        <f t="shared" si="36"/>
        <v>6.6971890394527071E-10</v>
      </c>
    </row>
    <row r="185" spans="1:22" s="175" customFormat="1" ht="12.95" customHeight="1" x14ac:dyDescent="0.2">
      <c r="A185" s="217" t="s">
        <v>192</v>
      </c>
      <c r="B185" s="238" t="s">
        <v>64</v>
      </c>
      <c r="C185" s="239">
        <v>55050.378779999999</v>
      </c>
      <c r="D185" s="239">
        <v>5.0000000000000001E-4</v>
      </c>
      <c r="E185" s="241">
        <f t="shared" si="32"/>
        <v>17188.156710687319</v>
      </c>
      <c r="F185" s="241">
        <f t="shared" si="33"/>
        <v>17188</v>
      </c>
      <c r="G185" s="228">
        <f t="shared" si="39"/>
        <v>7.3855599999660626E-2</v>
      </c>
      <c r="H185" s="217"/>
      <c r="K185" s="175">
        <f t="shared" si="41"/>
        <v>7.3855599999660626E-2</v>
      </c>
      <c r="O185" s="175">
        <f t="shared" ca="1" si="38"/>
        <v>6.0610974909984627E-2</v>
      </c>
      <c r="P185" s="225">
        <f t="shared" si="34"/>
        <v>7.3801478929479039E-2</v>
      </c>
      <c r="Q185" s="230">
        <f t="shared" si="35"/>
        <v>40031.878779999999</v>
      </c>
      <c r="R185" s="229">
        <f t="shared" ref="R185:R216" si="42">(G185-P185)^2</f>
        <v>2.9290902376002615E-9</v>
      </c>
      <c r="S185" s="229">
        <v>1</v>
      </c>
      <c r="T185" s="220">
        <f t="shared" si="36"/>
        <v>2.9290902376002615E-9</v>
      </c>
      <c r="V185" s="199">
        <f>+G185-P185</f>
        <v>5.4121070181586961E-5</v>
      </c>
    </row>
    <row r="186" spans="1:22" s="175" customFormat="1" ht="12.95" customHeight="1" x14ac:dyDescent="0.2">
      <c r="A186" s="244" t="s">
        <v>932</v>
      </c>
      <c r="B186" s="235" t="s">
        <v>64</v>
      </c>
      <c r="C186" s="237">
        <v>55050.378799999999</v>
      </c>
      <c r="D186" s="237" t="s">
        <v>64</v>
      </c>
      <c r="E186" s="241">
        <f t="shared" si="32"/>
        <v>17188.156753124367</v>
      </c>
      <c r="F186" s="241">
        <f t="shared" si="33"/>
        <v>17188</v>
      </c>
      <c r="G186" s="228">
        <f t="shared" si="39"/>
        <v>7.3875599999155384E-2</v>
      </c>
      <c r="K186" s="175">
        <f t="shared" si="41"/>
        <v>7.3875599999155384E-2</v>
      </c>
      <c r="O186" s="175">
        <f t="shared" ca="1" si="38"/>
        <v>6.0610974909984627E-2</v>
      </c>
      <c r="P186" s="225">
        <f t="shared" si="34"/>
        <v>7.3801478929479039E-2</v>
      </c>
      <c r="Q186" s="230">
        <f t="shared" si="35"/>
        <v>40031.878799999999</v>
      </c>
      <c r="R186" s="229">
        <f t="shared" si="42"/>
        <v>5.4939329699655108E-9</v>
      </c>
      <c r="S186" s="229">
        <v>1</v>
      </c>
      <c r="T186" s="220">
        <f t="shared" si="36"/>
        <v>5.4939329699655108E-9</v>
      </c>
    </row>
    <row r="187" spans="1:22" s="175" customFormat="1" ht="12.95" customHeight="1" x14ac:dyDescent="0.2">
      <c r="A187" s="204" t="s">
        <v>723</v>
      </c>
      <c r="B187" s="203" t="s">
        <v>64</v>
      </c>
      <c r="C187" s="205">
        <v>55050.379099999998</v>
      </c>
      <c r="D187" s="205" t="s">
        <v>236</v>
      </c>
      <c r="E187" s="241">
        <f t="shared" si="32"/>
        <v>17188.157389680106</v>
      </c>
      <c r="F187" s="241">
        <f t="shared" si="33"/>
        <v>17188</v>
      </c>
      <c r="G187" s="228">
        <f t="shared" si="39"/>
        <v>7.4175599998852704E-2</v>
      </c>
      <c r="K187" s="175">
        <f t="shared" si="41"/>
        <v>7.4175599998852704E-2</v>
      </c>
      <c r="O187" s="175">
        <f t="shared" ca="1" si="38"/>
        <v>6.0610974909984627E-2</v>
      </c>
      <c r="P187" s="225">
        <f t="shared" si="34"/>
        <v>7.3801478929479039E-2</v>
      </c>
      <c r="Q187" s="230">
        <f t="shared" si="35"/>
        <v>40031.879099999998</v>
      </c>
      <c r="R187" s="229">
        <f t="shared" si="42"/>
        <v>1.3996657454929437E-7</v>
      </c>
      <c r="S187" s="229">
        <v>1</v>
      </c>
      <c r="T187" s="220">
        <f t="shared" si="36"/>
        <v>1.3996657454929437E-7</v>
      </c>
    </row>
    <row r="188" spans="1:22" s="175" customFormat="1" ht="12.95" customHeight="1" x14ac:dyDescent="0.2">
      <c r="A188" s="217" t="s">
        <v>192</v>
      </c>
      <c r="B188" s="238" t="s">
        <v>64</v>
      </c>
      <c r="C188" s="239">
        <v>55050.379180000004</v>
      </c>
      <c r="D188" s="239">
        <v>8.9999999999999998E-4</v>
      </c>
      <c r="E188" s="241">
        <f t="shared" si="32"/>
        <v>17188.157559428317</v>
      </c>
      <c r="F188" s="241">
        <f t="shared" si="33"/>
        <v>17188</v>
      </c>
      <c r="G188" s="228">
        <f t="shared" si="39"/>
        <v>7.4255600004107691E-2</v>
      </c>
      <c r="H188" s="217"/>
      <c r="K188" s="175">
        <f t="shared" si="41"/>
        <v>7.4255600004107691E-2</v>
      </c>
      <c r="O188" s="175">
        <f t="shared" ca="1" si="38"/>
        <v>6.0610974909984627E-2</v>
      </c>
      <c r="P188" s="225">
        <f t="shared" si="34"/>
        <v>7.3801478929479039E-2</v>
      </c>
      <c r="Q188" s="230">
        <f t="shared" si="35"/>
        <v>40031.879180000004</v>
      </c>
      <c r="R188" s="229">
        <f t="shared" si="42"/>
        <v>2.0622595042188195E-7</v>
      </c>
      <c r="S188" s="229">
        <v>1</v>
      </c>
      <c r="T188" s="220">
        <f t="shared" si="36"/>
        <v>2.0622595042188195E-7</v>
      </c>
      <c r="V188" s="199">
        <f>+G188-P188</f>
        <v>4.5412107462865225E-4</v>
      </c>
    </row>
    <row r="189" spans="1:22" s="175" customFormat="1" ht="12.95" customHeight="1" x14ac:dyDescent="0.2">
      <c r="A189" s="244" t="s">
        <v>932</v>
      </c>
      <c r="B189" s="235" t="s">
        <v>64</v>
      </c>
      <c r="C189" s="237">
        <v>55050.379200000003</v>
      </c>
      <c r="D189" s="237" t="s">
        <v>160</v>
      </c>
      <c r="E189" s="241">
        <f t="shared" si="32"/>
        <v>17188.157601865365</v>
      </c>
      <c r="F189" s="241">
        <f t="shared" si="33"/>
        <v>17188</v>
      </c>
      <c r="G189" s="228">
        <f t="shared" si="39"/>
        <v>7.4275600003602449E-2</v>
      </c>
      <c r="K189" s="175">
        <f t="shared" si="41"/>
        <v>7.4275600003602449E-2</v>
      </c>
      <c r="O189" s="175">
        <f t="shared" ca="1" si="38"/>
        <v>6.0610974909984627E-2</v>
      </c>
      <c r="P189" s="225">
        <f t="shared" si="34"/>
        <v>7.3801478929479039E-2</v>
      </c>
      <c r="Q189" s="230">
        <f t="shared" si="35"/>
        <v>40031.879200000003</v>
      </c>
      <c r="R189" s="229">
        <f t="shared" si="42"/>
        <v>2.2479079292793582E-7</v>
      </c>
      <c r="S189" s="229">
        <v>1</v>
      </c>
      <c r="T189" s="220">
        <f t="shared" si="36"/>
        <v>2.2479079292793582E-7</v>
      </c>
    </row>
    <row r="190" spans="1:22" s="175" customFormat="1" ht="12.95" customHeight="1" x14ac:dyDescent="0.2">
      <c r="A190" s="204" t="s">
        <v>733</v>
      </c>
      <c r="B190" s="203" t="s">
        <v>64</v>
      </c>
      <c r="C190" s="205">
        <v>55058.390700000004</v>
      </c>
      <c r="D190" s="205" t="s">
        <v>236</v>
      </c>
      <c r="E190" s="241">
        <f t="shared" si="32"/>
        <v>17205.156822933324</v>
      </c>
      <c r="F190" s="241">
        <f t="shared" si="33"/>
        <v>17205</v>
      </c>
      <c r="G190" s="228">
        <f t="shared" si="39"/>
        <v>7.3908500002289657E-2</v>
      </c>
      <c r="K190" s="175">
        <f t="shared" si="41"/>
        <v>7.3908500002289657E-2</v>
      </c>
      <c r="O190" s="175">
        <f t="shared" ca="1" si="38"/>
        <v>6.0825251478381775E-2</v>
      </c>
      <c r="P190" s="225">
        <f t="shared" si="34"/>
        <v>7.3944428918357868E-2</v>
      </c>
      <c r="Q190" s="230">
        <f t="shared" si="35"/>
        <v>40039.890700000004</v>
      </c>
      <c r="R190" s="229">
        <f t="shared" si="42"/>
        <v>1.2908870098366163E-9</v>
      </c>
      <c r="S190" s="229">
        <v>1</v>
      </c>
      <c r="T190" s="220">
        <f t="shared" si="36"/>
        <v>1.2908870098366163E-9</v>
      </c>
    </row>
    <row r="191" spans="1:22" s="175" customFormat="1" ht="12.95" customHeight="1" x14ac:dyDescent="0.2">
      <c r="A191" s="248" t="s">
        <v>191</v>
      </c>
      <c r="B191" s="246" t="s">
        <v>64</v>
      </c>
      <c r="C191" s="249">
        <v>55076.3007</v>
      </c>
      <c r="D191" s="249">
        <v>1E-4</v>
      </c>
      <c r="E191" s="241">
        <f t="shared" si="32"/>
        <v>17243.159200681192</v>
      </c>
      <c r="F191" s="241">
        <f t="shared" si="33"/>
        <v>17243</v>
      </c>
      <c r="G191" s="228">
        <f t="shared" si="39"/>
        <v>7.5029099993116688E-2</v>
      </c>
      <c r="H191" s="217"/>
      <c r="K191" s="175">
        <f t="shared" si="41"/>
        <v>7.5029099993116688E-2</v>
      </c>
      <c r="O191" s="175">
        <f t="shared" ca="1" si="38"/>
        <v>6.1304222631269528E-2</v>
      </c>
      <c r="P191" s="225">
        <f t="shared" si="34"/>
        <v>7.4264472920069075E-2</v>
      </c>
      <c r="Q191" s="230">
        <f t="shared" si="35"/>
        <v>40057.8007</v>
      </c>
      <c r="R191" s="229">
        <f t="shared" si="42"/>
        <v>5.8465456083736037E-7</v>
      </c>
      <c r="S191" s="229">
        <v>1</v>
      </c>
      <c r="T191" s="220">
        <f t="shared" si="36"/>
        <v>5.8465456083736037E-7</v>
      </c>
      <c r="V191" s="199">
        <f>+G191-P191</f>
        <v>7.6462707304761346E-4</v>
      </c>
    </row>
    <row r="192" spans="1:22" s="175" customFormat="1" ht="12.95" customHeight="1" x14ac:dyDescent="0.2">
      <c r="A192" s="239" t="s">
        <v>198</v>
      </c>
      <c r="B192" s="238" t="s">
        <v>64</v>
      </c>
      <c r="C192" s="239">
        <v>55083.369700000003</v>
      </c>
      <c r="D192" s="239">
        <v>2.9999999999999997E-4</v>
      </c>
      <c r="E192" s="241">
        <f t="shared" si="32"/>
        <v>17258.158575795645</v>
      </c>
      <c r="F192" s="241">
        <f t="shared" si="33"/>
        <v>17258</v>
      </c>
      <c r="G192" s="228">
        <f t="shared" si="39"/>
        <v>7.4734599998919293E-2</v>
      </c>
      <c r="H192" s="217"/>
      <c r="J192" s="175">
        <f>G192</f>
        <v>7.4734599998919293E-2</v>
      </c>
      <c r="O192" s="175">
        <f t="shared" ca="1" si="38"/>
        <v>6.1493290191619976E-2</v>
      </c>
      <c r="P192" s="225">
        <f t="shared" si="34"/>
        <v>7.4390999591701423E-2</v>
      </c>
      <c r="Q192" s="230">
        <f t="shared" si="35"/>
        <v>40064.869700000003</v>
      </c>
      <c r="R192" s="229">
        <f t="shared" si="42"/>
        <v>1.1806123984028609E-7</v>
      </c>
      <c r="S192" s="229">
        <v>1</v>
      </c>
      <c r="T192" s="220">
        <f t="shared" si="36"/>
        <v>1.1806123984028609E-7</v>
      </c>
      <c r="V192" s="199">
        <f>+G192-P192</f>
        <v>3.4360040721787E-4</v>
      </c>
    </row>
    <row r="193" spans="1:22" s="175" customFormat="1" ht="12.95" customHeight="1" x14ac:dyDescent="0.2">
      <c r="A193" s="248" t="s">
        <v>191</v>
      </c>
      <c r="B193" s="246" t="s">
        <v>60</v>
      </c>
      <c r="C193" s="249">
        <v>55097.272799999999</v>
      </c>
      <c r="D193" s="249">
        <v>2.9999999999999997E-4</v>
      </c>
      <c r="E193" s="241">
        <f t="shared" si="32"/>
        <v>17287.658902879197</v>
      </c>
      <c r="F193" s="241">
        <f t="shared" si="33"/>
        <v>17287.5</v>
      </c>
      <c r="G193" s="228">
        <f t="shared" si="39"/>
        <v>7.4888749993988313E-2</v>
      </c>
      <c r="H193" s="217"/>
      <c r="K193" s="175">
        <f>G193</f>
        <v>7.4888749993988313E-2</v>
      </c>
      <c r="O193" s="175">
        <f t="shared" ca="1" si="38"/>
        <v>6.1865123060309141E-2</v>
      </c>
      <c r="P193" s="225">
        <f t="shared" si="34"/>
        <v>7.4640154919210236E-2</v>
      </c>
      <c r="Q193" s="230">
        <f t="shared" si="35"/>
        <v>40078.772799999999</v>
      </c>
      <c r="R193" s="229">
        <f t="shared" si="42"/>
        <v>6.1799511203917621E-8</v>
      </c>
      <c r="S193" s="229">
        <v>1</v>
      </c>
      <c r="T193" s="220">
        <f t="shared" si="36"/>
        <v>6.1799511203917621E-8</v>
      </c>
      <c r="V193" s="199">
        <f>+G193-P193</f>
        <v>2.4859507477807685E-4</v>
      </c>
    </row>
    <row r="194" spans="1:22" s="175" customFormat="1" ht="12.95" customHeight="1" x14ac:dyDescent="0.2">
      <c r="A194" s="204" t="s">
        <v>733</v>
      </c>
      <c r="B194" s="203" t="s">
        <v>64</v>
      </c>
      <c r="C194" s="205">
        <v>55125.315199999997</v>
      </c>
      <c r="D194" s="205" t="s">
        <v>236</v>
      </c>
      <c r="E194" s="241">
        <f t="shared" si="32"/>
        <v>17347.160738599858</v>
      </c>
      <c r="F194" s="241">
        <f t="shared" si="33"/>
        <v>17347</v>
      </c>
      <c r="G194" s="228">
        <f t="shared" si="39"/>
        <v>7.5753899996925611E-2</v>
      </c>
      <c r="K194" s="175">
        <f>G194</f>
        <v>7.5753899996925611E-2</v>
      </c>
      <c r="O194" s="175">
        <f t="shared" ref="O194:O225" ca="1" si="43">+C$11+C$12*F194</f>
        <v>6.2615091049699173E-2</v>
      </c>
      <c r="P194" s="225">
        <f t="shared" si="34"/>
        <v>7.5143977537604531E-2</v>
      </c>
      <c r="Q194" s="230">
        <f t="shared" si="35"/>
        <v>40106.815199999997</v>
      </c>
      <c r="R194" s="229">
        <f t="shared" si="42"/>
        <v>3.7200540638427451E-7</v>
      </c>
      <c r="S194" s="229">
        <v>1</v>
      </c>
      <c r="T194" s="220">
        <f t="shared" si="36"/>
        <v>3.7200540638427451E-7</v>
      </c>
    </row>
    <row r="195" spans="1:22" s="175" customFormat="1" ht="12.95" customHeight="1" x14ac:dyDescent="0.2">
      <c r="A195" s="204" t="s">
        <v>755</v>
      </c>
      <c r="B195" s="203" t="s">
        <v>64</v>
      </c>
      <c r="C195" s="205">
        <v>55350.123800000001</v>
      </c>
      <c r="D195" s="205" t="s">
        <v>236</v>
      </c>
      <c r="E195" s="241">
        <f t="shared" si="32"/>
        <v>17824.171421914871</v>
      </c>
      <c r="F195" s="241">
        <f t="shared" si="33"/>
        <v>17824</v>
      </c>
      <c r="G195" s="228">
        <f t="shared" si="39"/>
        <v>8.0788799998117611E-2</v>
      </c>
      <c r="I195" s="175">
        <f>G195</f>
        <v>8.0788799998117611E-2</v>
      </c>
      <c r="O195" s="175">
        <f t="shared" ca="1" si="43"/>
        <v>6.8627439468842838E-2</v>
      </c>
      <c r="P195" s="225">
        <f t="shared" si="34"/>
        <v>7.9245317946493379E-2</v>
      </c>
      <c r="Q195" s="230">
        <f t="shared" si="35"/>
        <v>40331.623800000001</v>
      </c>
      <c r="R195" s="229">
        <f t="shared" si="42"/>
        <v>2.3823368436861466E-6</v>
      </c>
      <c r="S195" s="229">
        <v>0.1</v>
      </c>
      <c r="T195" s="220">
        <f t="shared" si="36"/>
        <v>2.3823368436861466E-7</v>
      </c>
    </row>
    <row r="196" spans="1:22" s="175" customFormat="1" ht="12.95" customHeight="1" x14ac:dyDescent="0.2">
      <c r="A196" s="204" t="s">
        <v>723</v>
      </c>
      <c r="B196" s="203" t="s">
        <v>64</v>
      </c>
      <c r="C196" s="205">
        <v>55352.475599999998</v>
      </c>
      <c r="D196" s="205" t="s">
        <v>236</v>
      </c>
      <c r="E196" s="241">
        <f t="shared" si="32"/>
        <v>17829.161594555146</v>
      </c>
      <c r="F196" s="241">
        <f t="shared" si="33"/>
        <v>17829</v>
      </c>
      <c r="G196" s="228">
        <f t="shared" si="39"/>
        <v>7.6157299998158123E-2</v>
      </c>
      <c r="K196" s="175">
        <f t="shared" ref="K196:K204" si="44">G196</f>
        <v>7.6157299998158123E-2</v>
      </c>
      <c r="O196" s="175">
        <f t="shared" ca="1" si="43"/>
        <v>6.8690461988959645E-2</v>
      </c>
      <c r="P196" s="225">
        <f t="shared" si="34"/>
        <v>7.9288895560607212E-2</v>
      </c>
      <c r="Q196" s="230">
        <f t="shared" si="35"/>
        <v>40333.975599999998</v>
      </c>
      <c r="R196" s="229">
        <f t="shared" si="42"/>
        <v>9.8068907667508208E-6</v>
      </c>
      <c r="S196" s="229">
        <v>1</v>
      </c>
      <c r="T196" s="220">
        <f t="shared" si="36"/>
        <v>9.8068907667508208E-6</v>
      </c>
    </row>
    <row r="197" spans="1:22" s="175" customFormat="1" ht="12.95" customHeight="1" x14ac:dyDescent="0.2">
      <c r="A197" s="217" t="s">
        <v>192</v>
      </c>
      <c r="B197" s="238" t="s">
        <v>64</v>
      </c>
      <c r="C197" s="239">
        <v>55352.475680000003</v>
      </c>
      <c r="D197" s="239">
        <v>2.2000000000000001E-3</v>
      </c>
      <c r="E197" s="241">
        <f t="shared" si="32"/>
        <v>17829.161764303357</v>
      </c>
      <c r="F197" s="241">
        <f t="shared" si="33"/>
        <v>17829</v>
      </c>
      <c r="G197" s="228">
        <f t="shared" si="39"/>
        <v>7.6237300003413111E-2</v>
      </c>
      <c r="H197" s="217"/>
      <c r="K197" s="175">
        <f t="shared" si="44"/>
        <v>7.6237300003413111E-2</v>
      </c>
      <c r="O197" s="175">
        <f t="shared" ca="1" si="43"/>
        <v>6.8690461988959645E-2</v>
      </c>
      <c r="P197" s="225">
        <f t="shared" si="34"/>
        <v>7.9288895560607212E-2</v>
      </c>
      <c r="Q197" s="230">
        <f t="shared" si="35"/>
        <v>40333.975680000003</v>
      </c>
      <c r="R197" s="229">
        <f t="shared" si="42"/>
        <v>9.3122354446867724E-6</v>
      </c>
      <c r="S197" s="229">
        <v>1</v>
      </c>
      <c r="T197" s="220">
        <f t="shared" si="36"/>
        <v>9.3122354446867724E-6</v>
      </c>
      <c r="V197" s="199">
        <f>+G197-P197</f>
        <v>-3.0515955571941006E-3</v>
      </c>
    </row>
    <row r="198" spans="1:22" s="175" customFormat="1" ht="12.95" customHeight="1" x14ac:dyDescent="0.2">
      <c r="A198" s="244" t="s">
        <v>932</v>
      </c>
      <c r="B198" s="235" t="s">
        <v>64</v>
      </c>
      <c r="C198" s="237">
        <v>55352.475700000003</v>
      </c>
      <c r="D198" s="237" t="s">
        <v>135</v>
      </c>
      <c r="E198" s="241">
        <f t="shared" si="32"/>
        <v>17829.161806740405</v>
      </c>
      <c r="F198" s="241">
        <f t="shared" si="33"/>
        <v>17829</v>
      </c>
      <c r="G198" s="228">
        <f t="shared" si="39"/>
        <v>7.6257300002907868E-2</v>
      </c>
      <c r="K198" s="175">
        <f t="shared" si="44"/>
        <v>7.6257300002907868E-2</v>
      </c>
      <c r="O198" s="175">
        <f t="shared" ca="1" si="43"/>
        <v>6.8690461988959645E-2</v>
      </c>
      <c r="P198" s="225">
        <f t="shared" si="34"/>
        <v>7.9288895560607212E-2</v>
      </c>
      <c r="Q198" s="230">
        <f t="shared" si="35"/>
        <v>40333.975700000003</v>
      </c>
      <c r="R198" s="229">
        <f t="shared" si="42"/>
        <v>9.1905716254623915E-6</v>
      </c>
      <c r="S198" s="229">
        <v>1</v>
      </c>
      <c r="T198" s="220">
        <f t="shared" si="36"/>
        <v>9.1905716254623915E-6</v>
      </c>
    </row>
    <row r="199" spans="1:22" s="175" customFormat="1" ht="12.95" customHeight="1" x14ac:dyDescent="0.2">
      <c r="A199" s="204" t="s">
        <v>723</v>
      </c>
      <c r="B199" s="203" t="s">
        <v>64</v>
      </c>
      <c r="C199" s="205">
        <v>55352.476900000001</v>
      </c>
      <c r="D199" s="205" t="s">
        <v>236</v>
      </c>
      <c r="E199" s="241">
        <f t="shared" si="32"/>
        <v>17829.164352963366</v>
      </c>
      <c r="F199" s="241">
        <f t="shared" si="33"/>
        <v>17829</v>
      </c>
      <c r="G199" s="228">
        <f t="shared" ref="G199:G230" si="45">C199-(C$7+F199*C$8)</f>
        <v>7.7457300001697149E-2</v>
      </c>
      <c r="K199" s="175">
        <f t="shared" si="44"/>
        <v>7.7457300001697149E-2</v>
      </c>
      <c r="O199" s="175">
        <f t="shared" ca="1" si="43"/>
        <v>6.8690461988959645E-2</v>
      </c>
      <c r="P199" s="225">
        <f t="shared" si="34"/>
        <v>7.9288895560607212E-2</v>
      </c>
      <c r="Q199" s="230">
        <f t="shared" si="35"/>
        <v>40333.976900000001</v>
      </c>
      <c r="R199" s="229">
        <f t="shared" si="42"/>
        <v>3.3547422914190641E-6</v>
      </c>
      <c r="S199" s="229">
        <v>1</v>
      </c>
      <c r="T199" s="220">
        <f t="shared" si="36"/>
        <v>3.3547422914190641E-6</v>
      </c>
    </row>
    <row r="200" spans="1:22" s="175" customFormat="1" ht="12.95" customHeight="1" x14ac:dyDescent="0.2">
      <c r="A200" s="217" t="s">
        <v>192</v>
      </c>
      <c r="B200" s="238" t="s">
        <v>64</v>
      </c>
      <c r="C200" s="239">
        <v>55352.476979999999</v>
      </c>
      <c r="D200" s="239">
        <v>1.6000000000000001E-3</v>
      </c>
      <c r="E200" s="241">
        <f t="shared" si="32"/>
        <v>17829.164522711559</v>
      </c>
      <c r="F200" s="241">
        <f t="shared" si="33"/>
        <v>17829</v>
      </c>
      <c r="G200" s="228">
        <f t="shared" si="45"/>
        <v>7.7537299999676179E-2</v>
      </c>
      <c r="H200" s="217"/>
      <c r="K200" s="175">
        <f t="shared" si="44"/>
        <v>7.7537299999676179E-2</v>
      </c>
      <c r="O200" s="175">
        <f t="shared" ca="1" si="43"/>
        <v>6.8690461988959645E-2</v>
      </c>
      <c r="P200" s="225">
        <f t="shared" si="34"/>
        <v>7.9288895560607212E-2</v>
      </c>
      <c r="Q200" s="230">
        <f t="shared" si="35"/>
        <v>40333.976979999999</v>
      </c>
      <c r="R200" s="229">
        <f t="shared" si="42"/>
        <v>3.0680870090732981E-6</v>
      </c>
      <c r="S200" s="229">
        <v>1</v>
      </c>
      <c r="T200" s="220">
        <f t="shared" si="36"/>
        <v>3.0680870090732981E-6</v>
      </c>
      <c r="V200" s="199">
        <f>+G200-P200</f>
        <v>-1.7515955609310324E-3</v>
      </c>
    </row>
    <row r="201" spans="1:22" s="175" customFormat="1" ht="12.95" customHeight="1" x14ac:dyDescent="0.2">
      <c r="A201" s="244" t="s">
        <v>932</v>
      </c>
      <c r="B201" s="235" t="s">
        <v>64</v>
      </c>
      <c r="C201" s="237">
        <v>55352.476999999999</v>
      </c>
      <c r="D201" s="237" t="s">
        <v>160</v>
      </c>
      <c r="E201" s="241">
        <f t="shared" si="32"/>
        <v>17829.164565148607</v>
      </c>
      <c r="F201" s="241">
        <f t="shared" si="33"/>
        <v>17829</v>
      </c>
      <c r="G201" s="228">
        <f t="shared" si="45"/>
        <v>7.7557299999170937E-2</v>
      </c>
      <c r="K201" s="175">
        <f t="shared" si="44"/>
        <v>7.7557299999170937E-2</v>
      </c>
      <c r="O201" s="175">
        <f t="shared" ca="1" si="43"/>
        <v>6.8690461988959645E-2</v>
      </c>
      <c r="P201" s="225">
        <f t="shared" si="34"/>
        <v>7.9288895560607212E-2</v>
      </c>
      <c r="Q201" s="230">
        <f t="shared" si="35"/>
        <v>40333.976999999999</v>
      </c>
      <c r="R201" s="229">
        <f t="shared" si="42"/>
        <v>2.9984231883858081E-6</v>
      </c>
      <c r="S201" s="229">
        <v>1</v>
      </c>
      <c r="T201" s="220">
        <f t="shared" si="36"/>
        <v>2.9984231883858081E-6</v>
      </c>
    </row>
    <row r="202" spans="1:22" s="175" customFormat="1" ht="12.95" customHeight="1" x14ac:dyDescent="0.2">
      <c r="A202" s="204" t="s">
        <v>723</v>
      </c>
      <c r="B202" s="203" t="s">
        <v>64</v>
      </c>
      <c r="C202" s="205">
        <v>55352.477500000001</v>
      </c>
      <c r="D202" s="205" t="s">
        <v>236</v>
      </c>
      <c r="E202" s="241">
        <f t="shared" si="32"/>
        <v>17829.165626074846</v>
      </c>
      <c r="F202" s="241">
        <f t="shared" si="33"/>
        <v>17829</v>
      </c>
      <c r="G202" s="228">
        <f t="shared" si="45"/>
        <v>7.8057300001091789E-2</v>
      </c>
      <c r="K202" s="175">
        <f t="shared" si="44"/>
        <v>7.8057300001091789E-2</v>
      </c>
      <c r="O202" s="175">
        <f t="shared" ca="1" si="43"/>
        <v>6.8690461988959645E-2</v>
      </c>
      <c r="P202" s="225">
        <f t="shared" si="34"/>
        <v>7.9288895560607212E-2</v>
      </c>
      <c r="Q202" s="230">
        <f t="shared" si="35"/>
        <v>40333.977500000001</v>
      </c>
      <c r="R202" s="229">
        <f t="shared" si="42"/>
        <v>1.5168276222181055E-6</v>
      </c>
      <c r="S202" s="229">
        <v>1</v>
      </c>
      <c r="T202" s="220">
        <f t="shared" si="36"/>
        <v>1.5168276222181055E-6</v>
      </c>
    </row>
    <row r="203" spans="1:22" s="175" customFormat="1" ht="12.95" customHeight="1" x14ac:dyDescent="0.2">
      <c r="A203" s="217" t="s">
        <v>192</v>
      </c>
      <c r="B203" s="238" t="s">
        <v>64</v>
      </c>
      <c r="C203" s="239">
        <v>55352.477579999999</v>
      </c>
      <c r="D203" s="239">
        <v>8.0000000000000004E-4</v>
      </c>
      <c r="E203" s="241">
        <f t="shared" si="32"/>
        <v>17829.165795823039</v>
      </c>
      <c r="F203" s="241">
        <f t="shared" si="33"/>
        <v>17829</v>
      </c>
      <c r="G203" s="228">
        <f t="shared" si="45"/>
        <v>7.8137299999070819E-2</v>
      </c>
      <c r="H203" s="217"/>
      <c r="K203" s="175">
        <f t="shared" si="44"/>
        <v>7.8137299999070819E-2</v>
      </c>
      <c r="O203" s="175">
        <f t="shared" ca="1" si="43"/>
        <v>6.8690461988959645E-2</v>
      </c>
      <c r="P203" s="225">
        <f t="shared" si="34"/>
        <v>7.9288895560607212E-2</v>
      </c>
      <c r="Q203" s="230">
        <f t="shared" si="35"/>
        <v>40333.977579999999</v>
      </c>
      <c r="R203" s="229">
        <f t="shared" si="42"/>
        <v>1.3261723373503182E-6</v>
      </c>
      <c r="S203" s="229">
        <v>1</v>
      </c>
      <c r="T203" s="220">
        <f t="shared" si="36"/>
        <v>1.3261723373503182E-6</v>
      </c>
      <c r="V203" s="199">
        <f>+G203-P203</f>
        <v>-1.1515955615363921E-3</v>
      </c>
    </row>
    <row r="204" spans="1:22" s="175" customFormat="1" ht="12.95" customHeight="1" x14ac:dyDescent="0.2">
      <c r="A204" s="217" t="s">
        <v>932</v>
      </c>
      <c r="B204" s="238" t="s">
        <v>64</v>
      </c>
      <c r="C204" s="239">
        <v>55352.477599999998</v>
      </c>
      <c r="D204" s="239" t="s">
        <v>64</v>
      </c>
      <c r="E204" s="241">
        <f t="shared" si="32"/>
        <v>17829.165838260087</v>
      </c>
      <c r="F204" s="241">
        <f t="shared" si="33"/>
        <v>17829</v>
      </c>
      <c r="G204" s="228">
        <f t="shared" si="45"/>
        <v>7.8157299998565577E-2</v>
      </c>
      <c r="K204" s="175">
        <f t="shared" si="44"/>
        <v>7.8157299998565577E-2</v>
      </c>
      <c r="O204" s="175">
        <f t="shared" ca="1" si="43"/>
        <v>6.8690461988959645E-2</v>
      </c>
      <c r="P204" s="225">
        <f t="shared" si="34"/>
        <v>7.9288895560607212E-2</v>
      </c>
      <c r="Q204" s="230">
        <f t="shared" si="35"/>
        <v>40333.977599999998</v>
      </c>
      <c r="R204" s="229">
        <f t="shared" si="42"/>
        <v>1.2805085160323228E-6</v>
      </c>
      <c r="S204" s="229">
        <v>1</v>
      </c>
      <c r="T204" s="220">
        <f t="shared" si="36"/>
        <v>1.2805085160323228E-6</v>
      </c>
    </row>
    <row r="205" spans="1:22" s="175" customFormat="1" ht="12.95" customHeight="1" x14ac:dyDescent="0.2">
      <c r="A205" s="239" t="s">
        <v>198</v>
      </c>
      <c r="B205" s="238" t="s">
        <v>64</v>
      </c>
      <c r="C205" s="239">
        <v>55376.516100000001</v>
      </c>
      <c r="D205" s="239">
        <v>3.0999999999999999E-3</v>
      </c>
      <c r="E205" s="241">
        <f t="shared" si="32"/>
        <v>17880.171988873852</v>
      </c>
      <c r="F205" s="241">
        <f t="shared" si="33"/>
        <v>17880</v>
      </c>
      <c r="G205" s="228">
        <f t="shared" si="45"/>
        <v>8.1055999995442107E-2</v>
      </c>
      <c r="H205" s="217"/>
      <c r="J205" s="175">
        <f>G205</f>
        <v>8.1055999995442107E-2</v>
      </c>
      <c r="O205" s="175">
        <f t="shared" ca="1" si="43"/>
        <v>6.9333291694151117E-2</v>
      </c>
      <c r="P205" s="225">
        <f t="shared" si="34"/>
        <v>7.9734082411116056E-2</v>
      </c>
      <c r="Q205" s="230">
        <f t="shared" si="35"/>
        <v>40358.016100000001</v>
      </c>
      <c r="R205" s="229">
        <f t="shared" si="42"/>
        <v>1.7474660997504239E-6</v>
      </c>
      <c r="S205" s="229">
        <v>1</v>
      </c>
      <c r="T205" s="220">
        <f t="shared" si="36"/>
        <v>1.7474660997504239E-6</v>
      </c>
      <c r="V205" s="199">
        <f>+G205-P205</f>
        <v>1.3219175843260517E-3</v>
      </c>
    </row>
    <row r="206" spans="1:22" s="175" customFormat="1" ht="12.95" customHeight="1" x14ac:dyDescent="0.2">
      <c r="A206" s="217" t="s">
        <v>939</v>
      </c>
      <c r="B206" s="238"/>
      <c r="C206" s="239">
        <v>55388.537300000004</v>
      </c>
      <c r="D206" s="239">
        <v>2.3E-3</v>
      </c>
      <c r="E206" s="241">
        <f t="shared" si="32"/>
        <v>17905.679201793053</v>
      </c>
      <c r="F206" s="241">
        <f t="shared" si="33"/>
        <v>17905.5</v>
      </c>
      <c r="G206" s="228">
        <f t="shared" si="45"/>
        <v>8.4455349999188911E-2</v>
      </c>
      <c r="H206" s="217"/>
      <c r="K206" s="175">
        <f>G206</f>
        <v>8.4455349999188911E-2</v>
      </c>
      <c r="O206" s="175">
        <f t="shared" ca="1" si="43"/>
        <v>6.9654706546746825E-2</v>
      </c>
      <c r="P206" s="225">
        <f t="shared" si="34"/>
        <v>7.99571506736107E-2</v>
      </c>
      <c r="Q206" s="230">
        <f t="shared" si="35"/>
        <v>40370.037300000004</v>
      </c>
      <c r="R206" s="229">
        <f t="shared" si="42"/>
        <v>2.0233797172632278E-5</v>
      </c>
      <c r="S206" s="229">
        <v>1</v>
      </c>
      <c r="T206" s="220">
        <f t="shared" si="36"/>
        <v>2.0233797172632278E-5</v>
      </c>
      <c r="V206" s="199">
        <f>+G206-P206</f>
        <v>4.4981993255782116E-3</v>
      </c>
    </row>
    <row r="207" spans="1:22" s="175" customFormat="1" ht="12.95" customHeight="1" x14ac:dyDescent="0.2">
      <c r="A207" s="239" t="s">
        <v>200</v>
      </c>
      <c r="B207" s="238" t="s">
        <v>64</v>
      </c>
      <c r="C207" s="239">
        <v>55393.481899999999</v>
      </c>
      <c r="D207" s="239">
        <v>2.0000000000000001E-4</v>
      </c>
      <c r="E207" s="241">
        <f t="shared" si="32"/>
        <v>17916.170913519014</v>
      </c>
      <c r="F207" s="241">
        <f t="shared" si="33"/>
        <v>17916</v>
      </c>
      <c r="G207" s="228">
        <f t="shared" si="45"/>
        <v>8.0549199992674403E-2</v>
      </c>
      <c r="H207" s="217"/>
      <c r="J207" s="175">
        <f>G207</f>
        <v>8.0549199992674403E-2</v>
      </c>
      <c r="O207" s="175">
        <f t="shared" ca="1" si="43"/>
        <v>6.9787053838992141E-2</v>
      </c>
      <c r="P207" s="225">
        <f t="shared" si="34"/>
        <v>8.0049094321092751E-2</v>
      </c>
      <c r="Q207" s="230">
        <f t="shared" si="35"/>
        <v>40374.981899999999</v>
      </c>
      <c r="R207" s="229">
        <f t="shared" si="42"/>
        <v>2.5010568274813525E-7</v>
      </c>
      <c r="S207" s="229">
        <v>1</v>
      </c>
      <c r="T207" s="220">
        <f t="shared" si="36"/>
        <v>2.5010568274813525E-7</v>
      </c>
      <c r="V207" s="199">
        <f>+G207-P207</f>
        <v>5.0010567158165209E-4</v>
      </c>
    </row>
    <row r="208" spans="1:22" s="175" customFormat="1" ht="12.95" customHeight="1" x14ac:dyDescent="0.2">
      <c r="A208" s="239" t="s">
        <v>200</v>
      </c>
      <c r="B208" s="238" t="s">
        <v>64</v>
      </c>
      <c r="C208" s="239">
        <v>55444.381699999998</v>
      </c>
      <c r="D208" s="239">
        <v>1E-4</v>
      </c>
      <c r="E208" s="241">
        <f t="shared" si="32"/>
        <v>18024.172779900444</v>
      </c>
      <c r="F208" s="241">
        <f t="shared" si="33"/>
        <v>18024</v>
      </c>
      <c r="G208" s="228">
        <f t="shared" si="45"/>
        <v>8.1428799996501766E-2</v>
      </c>
      <c r="H208" s="217"/>
      <c r="J208" s="175">
        <f>G208</f>
        <v>8.1428799996501766E-2</v>
      </c>
      <c r="O208" s="175">
        <f t="shared" ca="1" si="43"/>
        <v>7.1148340273515243E-2</v>
      </c>
      <c r="P208" s="225">
        <f t="shared" si="34"/>
        <v>8.0997915604661047E-2</v>
      </c>
      <c r="Q208" s="230">
        <f t="shared" si="35"/>
        <v>40425.881699999998</v>
      </c>
      <c r="R208" s="229">
        <f t="shared" si="42"/>
        <v>1.8566135913194628E-7</v>
      </c>
      <c r="S208" s="229">
        <v>1</v>
      </c>
      <c r="T208" s="220">
        <f t="shared" si="36"/>
        <v>1.8566135913194628E-7</v>
      </c>
      <c r="V208" s="199">
        <f>+G208-P208</f>
        <v>4.3088439184071903E-4</v>
      </c>
    </row>
    <row r="209" spans="1:22" s="175" customFormat="1" ht="12.95" customHeight="1" x14ac:dyDescent="0.2">
      <c r="A209" s="217" t="s">
        <v>781</v>
      </c>
      <c r="B209" s="238" t="s">
        <v>64</v>
      </c>
      <c r="C209" s="239">
        <v>55629.6014</v>
      </c>
      <c r="D209" s="239" t="s">
        <v>236</v>
      </c>
      <c r="E209" s="241">
        <f t="shared" si="32"/>
        <v>18417.181657943369</v>
      </c>
      <c r="F209" s="241">
        <f t="shared" si="33"/>
        <v>18417</v>
      </c>
      <c r="G209" s="228">
        <f t="shared" si="45"/>
        <v>8.5612899994885083E-2</v>
      </c>
      <c r="K209" s="175">
        <f>G209</f>
        <v>8.5612899994885083E-2</v>
      </c>
      <c r="O209" s="175">
        <f t="shared" ca="1" si="43"/>
        <v>7.6101910354696489E-2</v>
      </c>
      <c r="P209" s="225">
        <f t="shared" si="34"/>
        <v>8.4498497079210186E-2</v>
      </c>
      <c r="Q209" s="230">
        <f t="shared" si="35"/>
        <v>40611.1014</v>
      </c>
      <c r="R209" s="229">
        <f t="shared" si="42"/>
        <v>1.2418938584647126E-6</v>
      </c>
      <c r="S209" s="229">
        <v>1</v>
      </c>
      <c r="T209" s="220">
        <f t="shared" si="36"/>
        <v>1.2418938584647126E-6</v>
      </c>
    </row>
    <row r="210" spans="1:22" s="175" customFormat="1" ht="12.95" customHeight="1" x14ac:dyDescent="0.2">
      <c r="A210" s="130" t="s">
        <v>193</v>
      </c>
      <c r="B210" s="238"/>
      <c r="C210" s="239">
        <v>55695.816899999998</v>
      </c>
      <c r="D210" s="239">
        <v>2.9999999999999997E-4</v>
      </c>
      <c r="E210" s="241">
        <f t="shared" si="32"/>
        <v>18557.681180208285</v>
      </c>
      <c r="F210" s="241">
        <f t="shared" si="33"/>
        <v>18557.5</v>
      </c>
      <c r="G210" s="228">
        <f t="shared" si="45"/>
        <v>8.5387749997607898E-2</v>
      </c>
      <c r="H210" s="217"/>
      <c r="K210" s="175">
        <f>G210</f>
        <v>8.5387749997607898E-2</v>
      </c>
      <c r="O210" s="175">
        <f t="shared" ca="1" si="43"/>
        <v>7.7872843169978834E-2</v>
      </c>
      <c r="P210" s="225">
        <f t="shared" si="34"/>
        <v>8.5768222646352518E-2</v>
      </c>
      <c r="Q210" s="230">
        <f t="shared" si="35"/>
        <v>40677.316899999998</v>
      </c>
      <c r="R210" s="229">
        <f t="shared" si="42"/>
        <v>1.4475943644274719E-7</v>
      </c>
      <c r="S210" s="229">
        <v>1</v>
      </c>
      <c r="T210" s="220">
        <f t="shared" si="36"/>
        <v>1.4475943644274719E-7</v>
      </c>
      <c r="V210" s="199">
        <f>+G210-P210</f>
        <v>-3.8047264874462028E-4</v>
      </c>
    </row>
    <row r="211" spans="1:22" s="175" customFormat="1" ht="12.95" customHeight="1" x14ac:dyDescent="0.2">
      <c r="A211" s="239" t="s">
        <v>200</v>
      </c>
      <c r="B211" s="238" t="s">
        <v>60</v>
      </c>
      <c r="C211" s="239">
        <v>55710.427799999998</v>
      </c>
      <c r="D211" s="239">
        <v>3.0999999999999999E-3</v>
      </c>
      <c r="E211" s="241">
        <f t="shared" si="32"/>
        <v>18588.683354470508</v>
      </c>
      <c r="F211" s="241">
        <f t="shared" si="33"/>
        <v>18588.5</v>
      </c>
      <c r="G211" s="228">
        <f t="shared" si="45"/>
        <v>8.6412449993076734E-2</v>
      </c>
      <c r="H211" s="217"/>
      <c r="J211" s="175">
        <f>G211</f>
        <v>8.6412449993076734E-2</v>
      </c>
      <c r="O211" s="175">
        <f t="shared" ca="1" si="43"/>
        <v>7.8263582794703052E-2</v>
      </c>
      <c r="P211" s="225">
        <f t="shared" si="34"/>
        <v>8.604966972185199E-2</v>
      </c>
      <c r="Q211" s="230">
        <f t="shared" si="35"/>
        <v>40691.927799999998</v>
      </c>
      <c r="R211" s="229">
        <f t="shared" si="42"/>
        <v>1.3160952518989888E-7</v>
      </c>
      <c r="S211" s="229">
        <v>1</v>
      </c>
      <c r="T211" s="220">
        <f t="shared" si="36"/>
        <v>1.3160952518989888E-7</v>
      </c>
      <c r="V211" s="199">
        <f>+G211-P211</f>
        <v>3.627802712247441E-4</v>
      </c>
    </row>
    <row r="212" spans="1:22" s="175" customFormat="1" ht="12.95" customHeight="1" x14ac:dyDescent="0.2">
      <c r="A212" s="239" t="s">
        <v>199</v>
      </c>
      <c r="B212" s="238" t="s">
        <v>60</v>
      </c>
      <c r="C212" s="239">
        <v>55737.763800000001</v>
      </c>
      <c r="D212" s="239">
        <v>4.0000000000000002E-4</v>
      </c>
      <c r="E212" s="241">
        <f t="shared" si="32"/>
        <v>18646.686313605973</v>
      </c>
      <c r="F212" s="241">
        <f t="shared" si="33"/>
        <v>18646.5</v>
      </c>
      <c r="G212" s="228">
        <f t="shared" si="45"/>
        <v>8.7807049996627029E-2</v>
      </c>
      <c r="H212" s="217"/>
      <c r="K212" s="175">
        <f>G212</f>
        <v>8.7807049996627029E-2</v>
      </c>
      <c r="O212" s="175">
        <f t="shared" ca="1" si="43"/>
        <v>7.8994644028058059E-2</v>
      </c>
      <c r="P212" s="225">
        <f t="shared" si="34"/>
        <v>8.6577504617307857E-2</v>
      </c>
      <c r="Q212" s="230">
        <f t="shared" si="35"/>
        <v>40719.263800000001</v>
      </c>
      <c r="R212" s="229">
        <f t="shared" si="42"/>
        <v>1.5117818398051262E-6</v>
      </c>
      <c r="S212" s="229">
        <v>1</v>
      </c>
      <c r="T212" s="220">
        <f t="shared" si="36"/>
        <v>1.5117818398051262E-6</v>
      </c>
      <c r="V212" s="199">
        <f>+G212-P212</f>
        <v>1.2295453793191718E-3</v>
      </c>
    </row>
    <row r="213" spans="1:22" s="175" customFormat="1" ht="12.95" customHeight="1" x14ac:dyDescent="0.2">
      <c r="A213" s="217" t="s">
        <v>224</v>
      </c>
      <c r="B213" s="238" t="s">
        <v>60</v>
      </c>
      <c r="C213" s="239">
        <v>56055.416499999999</v>
      </c>
      <c r="D213" s="239">
        <v>1.6000000000000001E-3</v>
      </c>
      <c r="E213" s="241">
        <f t="shared" ref="E213:E265" si="46">(C213-C$7)/C$8</f>
        <v>19320.698479883664</v>
      </c>
      <c r="F213" s="241">
        <f t="shared" ref="F213:F236" si="47">ROUND(2*E213,0)/2</f>
        <v>19320.5</v>
      </c>
      <c r="G213" s="228">
        <f t="shared" si="45"/>
        <v>9.3540850000863429E-2</v>
      </c>
      <c r="H213" s="217"/>
      <c r="J213" s="175">
        <f>G213</f>
        <v>9.3540850000863429E-2</v>
      </c>
      <c r="O213" s="175">
        <f t="shared" ca="1" si="43"/>
        <v>8.7490079739804022E-2</v>
      </c>
      <c r="P213" s="225">
        <f t="shared" ref="P213:P265" si="48">+D$11+D$12*F213+D$13*F213^2</f>
        <v>9.2831402142220659E-2</v>
      </c>
      <c r="Q213" s="230">
        <f t="shared" ref="Q213:Q265" si="49">C213-15018.5</f>
        <v>41036.916499999999</v>
      </c>
      <c r="R213" s="229">
        <f t="shared" si="42"/>
        <v>5.0331626413281163E-7</v>
      </c>
      <c r="S213" s="229">
        <v>1</v>
      </c>
      <c r="T213" s="220">
        <f t="shared" ref="T213:T265" si="50">R213*S213</f>
        <v>5.0331626413281163E-7</v>
      </c>
      <c r="V213" s="199">
        <f>+G213-P213</f>
        <v>7.0944785864276994E-4</v>
      </c>
    </row>
    <row r="214" spans="1:22" s="175" customFormat="1" ht="12.95" customHeight="1" x14ac:dyDescent="0.2">
      <c r="A214" s="217" t="s">
        <v>801</v>
      </c>
      <c r="B214" s="238" t="s">
        <v>64</v>
      </c>
      <c r="C214" s="239">
        <v>56060.127399999998</v>
      </c>
      <c r="D214" s="239" t="s">
        <v>236</v>
      </c>
      <c r="E214" s="241">
        <f t="shared" si="46"/>
        <v>19330.694314687262</v>
      </c>
      <c r="F214" s="241">
        <f t="shared" si="47"/>
        <v>19330.5</v>
      </c>
      <c r="G214" s="228">
        <f t="shared" si="45"/>
        <v>9.1577849991153926E-2</v>
      </c>
      <c r="I214" s="175">
        <f>G214</f>
        <v>9.1577849991153926E-2</v>
      </c>
      <c r="O214" s="175">
        <f t="shared" ca="1" si="43"/>
        <v>8.7616124780037635E-2</v>
      </c>
      <c r="P214" s="225">
        <f t="shared" si="48"/>
        <v>9.292585488189857E-2</v>
      </c>
      <c r="Q214" s="230">
        <f t="shared" si="49"/>
        <v>41041.627399999998</v>
      </c>
      <c r="R214" s="229">
        <f t="shared" si="42"/>
        <v>1.8171171854714811E-6</v>
      </c>
      <c r="S214" s="229">
        <v>0.1</v>
      </c>
      <c r="T214" s="220">
        <f t="shared" si="50"/>
        <v>1.8171171854714812E-7</v>
      </c>
    </row>
    <row r="215" spans="1:22" s="175" customFormat="1" ht="12.95" customHeight="1" x14ac:dyDescent="0.2">
      <c r="A215" s="217" t="s">
        <v>225</v>
      </c>
      <c r="B215" s="238" t="s">
        <v>60</v>
      </c>
      <c r="C215" s="239">
        <v>56070.496899999998</v>
      </c>
      <c r="D215" s="239">
        <v>4.0000000000000002E-4</v>
      </c>
      <c r="E215" s="241">
        <f t="shared" si="46"/>
        <v>19352.696863880821</v>
      </c>
      <c r="F215" s="241">
        <f t="shared" si="47"/>
        <v>19352.5</v>
      </c>
      <c r="G215" s="228">
        <f t="shared" si="45"/>
        <v>9.2779249993327539E-2</v>
      </c>
      <c r="H215" s="217"/>
      <c r="J215" s="175">
        <f>G215</f>
        <v>9.2779249993327539E-2</v>
      </c>
      <c r="O215" s="175">
        <f t="shared" ca="1" si="43"/>
        <v>8.789342386855159E-2</v>
      </c>
      <c r="P215" s="225">
        <f t="shared" si="48"/>
        <v>9.313382227170032E-2</v>
      </c>
      <c r="Q215" s="230">
        <f t="shared" si="49"/>
        <v>41051.996899999998</v>
      </c>
      <c r="R215" s="229">
        <f t="shared" si="42"/>
        <v>1.2572150059046461E-7</v>
      </c>
      <c r="S215" s="229">
        <v>1</v>
      </c>
      <c r="T215" s="220">
        <f t="shared" si="50"/>
        <v>1.2572150059046461E-7</v>
      </c>
      <c r="V215" s="199">
        <f>+G215-P215</f>
        <v>-3.545722783727806E-4</v>
      </c>
    </row>
    <row r="216" spans="1:22" s="175" customFormat="1" ht="12.95" customHeight="1" x14ac:dyDescent="0.2">
      <c r="A216" s="250" t="s">
        <v>948</v>
      </c>
      <c r="B216" s="251" t="s">
        <v>64</v>
      </c>
      <c r="C216" s="250">
        <v>56091.4689</v>
      </c>
      <c r="D216" s="250">
        <v>2.9999999999999997E-4</v>
      </c>
      <c r="E216" s="241">
        <f t="shared" si="46"/>
        <v>19397.196353893582</v>
      </c>
      <c r="F216" s="241">
        <f t="shared" si="47"/>
        <v>19397</v>
      </c>
      <c r="G216" s="228">
        <f t="shared" si="45"/>
        <v>9.2538899996725377E-2</v>
      </c>
      <c r="H216" s="217"/>
      <c r="K216" s="175">
        <f>G216</f>
        <v>9.2538899996725377E-2</v>
      </c>
      <c r="O216" s="175">
        <f t="shared" ca="1" si="43"/>
        <v>8.8454324297591203E-2</v>
      </c>
      <c r="P216" s="225">
        <f t="shared" si="48"/>
        <v>9.3555203901794795E-2</v>
      </c>
      <c r="Q216" s="230">
        <f t="shared" si="49"/>
        <v>41072.9689</v>
      </c>
      <c r="R216" s="229">
        <f t="shared" si="42"/>
        <v>1.0328736274593494E-6</v>
      </c>
      <c r="S216" s="229">
        <v>1</v>
      </c>
      <c r="T216" s="220">
        <f t="shared" si="50"/>
        <v>1.0328736274593494E-6</v>
      </c>
      <c r="V216" s="199">
        <f>+G216-P216</f>
        <v>-1.0163039050694184E-3</v>
      </c>
    </row>
    <row r="217" spans="1:22" s="175" customFormat="1" ht="12.95" customHeight="1" x14ac:dyDescent="0.2">
      <c r="A217" s="217" t="s">
        <v>225</v>
      </c>
      <c r="B217" s="238" t="s">
        <v>64</v>
      </c>
      <c r="C217" s="239">
        <v>56132.474800000004</v>
      </c>
      <c r="D217" s="239">
        <v>4.1999999999999997E-3</v>
      </c>
      <c r="E217" s="241">
        <f t="shared" si="46"/>
        <v>19484.204824116467</v>
      </c>
      <c r="F217" s="241">
        <f t="shared" si="47"/>
        <v>19484</v>
      </c>
      <c r="G217" s="228">
        <f t="shared" si="45"/>
        <v>9.6530800001346506E-2</v>
      </c>
      <c r="H217" s="217"/>
      <c r="J217" s="175">
        <f>G217</f>
        <v>9.6530800001346506E-2</v>
      </c>
      <c r="O217" s="175">
        <f t="shared" ca="1" si="43"/>
        <v>8.9550916147623699E-2</v>
      </c>
      <c r="P217" s="225">
        <f t="shared" si="48"/>
        <v>9.4381813424254668E-2</v>
      </c>
      <c r="Q217" s="230">
        <f t="shared" si="49"/>
        <v>41113.974800000004</v>
      </c>
      <c r="R217" s="229">
        <f t="shared" ref="R217:R248" si="51">(G217-P217)^2</f>
        <v>4.6181433085208946E-6</v>
      </c>
      <c r="S217" s="229">
        <v>1</v>
      </c>
      <c r="T217" s="220">
        <f t="shared" si="50"/>
        <v>4.6181433085208946E-6</v>
      </c>
      <c r="V217" s="199">
        <f>+G217-P217</f>
        <v>2.1489865770918382E-3</v>
      </c>
    </row>
    <row r="218" spans="1:22" s="175" customFormat="1" ht="12.95" customHeight="1" x14ac:dyDescent="0.2">
      <c r="A218" s="217" t="s">
        <v>781</v>
      </c>
      <c r="B218" s="238" t="s">
        <v>64</v>
      </c>
      <c r="C218" s="239">
        <v>56159.336000000003</v>
      </c>
      <c r="D218" s="239" t="s">
        <v>236</v>
      </c>
      <c r="E218" s="241">
        <f t="shared" si="46"/>
        <v>19541.200327698894</v>
      </c>
      <c r="F218" s="241">
        <f t="shared" si="47"/>
        <v>19541</v>
      </c>
      <c r="G218" s="228">
        <f t="shared" si="45"/>
        <v>9.4411699996271636E-2</v>
      </c>
      <c r="K218" s="175">
        <f t="shared" ref="K218:K225" si="52">G218</f>
        <v>9.4411699996271636E-2</v>
      </c>
      <c r="O218" s="175">
        <f t="shared" ca="1" si="43"/>
        <v>9.0269372876955328E-2</v>
      </c>
      <c r="P218" s="225">
        <f t="shared" si="48"/>
        <v>9.4925383111435932E-2</v>
      </c>
      <c r="Q218" s="230">
        <f t="shared" si="49"/>
        <v>41140.836000000003</v>
      </c>
      <c r="R218" s="229">
        <f t="shared" si="51"/>
        <v>2.6387034280489503E-7</v>
      </c>
      <c r="S218" s="229">
        <v>1</v>
      </c>
      <c r="T218" s="220">
        <f t="shared" si="50"/>
        <v>2.6387034280489503E-7</v>
      </c>
    </row>
    <row r="219" spans="1:22" s="175" customFormat="1" ht="12.95" customHeight="1" x14ac:dyDescent="0.2">
      <c r="A219" s="217" t="s">
        <v>226</v>
      </c>
      <c r="B219" s="238" t="s">
        <v>60</v>
      </c>
      <c r="C219" s="239">
        <v>56407.47466</v>
      </c>
      <c r="D219" s="239">
        <v>2.9999999999999997E-4</v>
      </c>
      <c r="E219" s="241">
        <f t="shared" si="46"/>
        <v>20067.713956463402</v>
      </c>
      <c r="F219" s="241">
        <f t="shared" si="47"/>
        <v>20067.5</v>
      </c>
      <c r="G219" s="228">
        <f t="shared" si="45"/>
        <v>0.10083474999555619</v>
      </c>
      <c r="H219" s="217"/>
      <c r="K219" s="175">
        <f t="shared" si="52"/>
        <v>0.10083474999555619</v>
      </c>
      <c r="O219" s="175">
        <f t="shared" ca="1" si="43"/>
        <v>9.6905644245255412E-2</v>
      </c>
      <c r="P219" s="225">
        <f t="shared" si="48"/>
        <v>0.1000210299568103</v>
      </c>
      <c r="Q219" s="230">
        <f t="shared" si="49"/>
        <v>41388.97466</v>
      </c>
      <c r="R219" s="229">
        <f t="shared" si="51"/>
        <v>6.6214030145662779E-7</v>
      </c>
      <c r="S219" s="229">
        <v>1</v>
      </c>
      <c r="T219" s="220">
        <f t="shared" si="50"/>
        <v>6.6214030145662779E-7</v>
      </c>
      <c r="V219" s="199">
        <f>+G219-P219</f>
        <v>8.1372003874589927E-4</v>
      </c>
    </row>
    <row r="220" spans="1:22" s="175" customFormat="1" ht="12.95" customHeight="1" x14ac:dyDescent="0.2">
      <c r="A220" s="217" t="s">
        <v>934</v>
      </c>
      <c r="B220" s="238" t="s">
        <v>60</v>
      </c>
      <c r="C220" s="239">
        <v>56407.474699999999</v>
      </c>
      <c r="D220" s="239" t="s">
        <v>160</v>
      </c>
      <c r="E220" s="241">
        <f t="shared" si="46"/>
        <v>20067.714041337498</v>
      </c>
      <c r="F220" s="241">
        <f t="shared" si="47"/>
        <v>20067.5</v>
      </c>
      <c r="G220" s="228">
        <f t="shared" si="45"/>
        <v>0.10087474999454571</v>
      </c>
      <c r="K220" s="175">
        <f t="shared" si="52"/>
        <v>0.10087474999454571</v>
      </c>
      <c r="O220" s="175">
        <f t="shared" ca="1" si="43"/>
        <v>9.6905644245255412E-2</v>
      </c>
      <c r="P220" s="225">
        <f t="shared" si="48"/>
        <v>0.1000210299568103</v>
      </c>
      <c r="Q220" s="230">
        <f t="shared" si="49"/>
        <v>41388.974699999999</v>
      </c>
      <c r="R220" s="229">
        <f t="shared" si="51"/>
        <v>7.2883790283095718E-7</v>
      </c>
      <c r="S220" s="229">
        <v>1</v>
      </c>
      <c r="T220" s="220">
        <f t="shared" si="50"/>
        <v>7.2883790283095718E-7</v>
      </c>
    </row>
    <row r="221" spans="1:22" s="175" customFormat="1" ht="12.95" customHeight="1" x14ac:dyDescent="0.2">
      <c r="A221" s="217" t="s">
        <v>934</v>
      </c>
      <c r="B221" s="238" t="s">
        <v>60</v>
      </c>
      <c r="C221" s="239">
        <v>56407.474900000001</v>
      </c>
      <c r="D221" s="239" t="s">
        <v>135</v>
      </c>
      <c r="E221" s="241">
        <f t="shared" si="46"/>
        <v>20067.714465707995</v>
      </c>
      <c r="F221" s="241">
        <f t="shared" si="47"/>
        <v>20067.5</v>
      </c>
      <c r="G221" s="228">
        <f t="shared" si="45"/>
        <v>0.10107474999676924</v>
      </c>
      <c r="K221" s="175">
        <f t="shared" si="52"/>
        <v>0.10107474999676924</v>
      </c>
      <c r="O221" s="175">
        <f t="shared" ca="1" si="43"/>
        <v>9.6905644245255412E-2</v>
      </c>
      <c r="P221" s="225">
        <f t="shared" si="48"/>
        <v>0.1000210299568103</v>
      </c>
      <c r="Q221" s="230">
        <f t="shared" si="49"/>
        <v>41388.974900000001</v>
      </c>
      <c r="R221" s="229">
        <f t="shared" si="51"/>
        <v>1.1103259226110847E-6</v>
      </c>
      <c r="S221" s="229">
        <v>1</v>
      </c>
      <c r="T221" s="220">
        <f t="shared" si="50"/>
        <v>1.1103259226110847E-6</v>
      </c>
    </row>
    <row r="222" spans="1:22" s="175" customFormat="1" ht="12.95" customHeight="1" x14ac:dyDescent="0.2">
      <c r="A222" s="217" t="s">
        <v>226</v>
      </c>
      <c r="B222" s="238" t="s">
        <v>60</v>
      </c>
      <c r="C222" s="239">
        <v>56407.47494</v>
      </c>
      <c r="D222" s="239">
        <v>2.0000000000000001E-4</v>
      </c>
      <c r="E222" s="241">
        <f t="shared" si="46"/>
        <v>20067.714550582092</v>
      </c>
      <c r="F222" s="241">
        <f t="shared" si="47"/>
        <v>20067.5</v>
      </c>
      <c r="G222" s="228">
        <f t="shared" si="45"/>
        <v>0.10111474999575876</v>
      </c>
      <c r="H222" s="217"/>
      <c r="K222" s="175">
        <f t="shared" si="52"/>
        <v>0.10111474999575876</v>
      </c>
      <c r="O222" s="175">
        <f t="shared" ca="1" si="43"/>
        <v>9.6905644245255412E-2</v>
      </c>
      <c r="P222" s="225">
        <f t="shared" si="48"/>
        <v>0.1000210299568103</v>
      </c>
      <c r="Q222" s="230">
        <f t="shared" si="49"/>
        <v>41388.97494</v>
      </c>
      <c r="R222" s="229">
        <f t="shared" si="51"/>
        <v>1.196223523597425E-6</v>
      </c>
      <c r="S222" s="229">
        <v>1</v>
      </c>
      <c r="T222" s="220">
        <f t="shared" si="50"/>
        <v>1.196223523597425E-6</v>
      </c>
      <c r="V222" s="199">
        <f>+G222-P222</f>
        <v>1.0937200389484619E-3</v>
      </c>
    </row>
    <row r="223" spans="1:22" s="175" customFormat="1" ht="12.95" customHeight="1" x14ac:dyDescent="0.2">
      <c r="A223" s="217" t="s">
        <v>226</v>
      </c>
      <c r="B223" s="238" t="s">
        <v>60</v>
      </c>
      <c r="C223" s="239">
        <v>56407.475870000002</v>
      </c>
      <c r="D223" s="239">
        <v>2.9999999999999997E-4</v>
      </c>
      <c r="E223" s="241">
        <f t="shared" si="46"/>
        <v>20067.716523904895</v>
      </c>
      <c r="F223" s="241">
        <f t="shared" si="47"/>
        <v>20067.5</v>
      </c>
      <c r="G223" s="228">
        <f t="shared" si="45"/>
        <v>0.10204474999773083</v>
      </c>
      <c r="H223" s="217"/>
      <c r="K223" s="175">
        <f t="shared" si="52"/>
        <v>0.10204474999773083</v>
      </c>
      <c r="O223" s="175">
        <f t="shared" ca="1" si="43"/>
        <v>9.6905644245255412E-2</v>
      </c>
      <c r="P223" s="225">
        <f t="shared" si="48"/>
        <v>0.1000210299568103</v>
      </c>
      <c r="Q223" s="230">
        <f t="shared" si="49"/>
        <v>41388.975870000002</v>
      </c>
      <c r="R223" s="229">
        <f t="shared" si="51"/>
        <v>4.0954428040234218E-6</v>
      </c>
      <c r="S223" s="229">
        <v>1</v>
      </c>
      <c r="T223" s="220">
        <f t="shared" si="50"/>
        <v>4.0954428040234218E-6</v>
      </c>
      <c r="V223" s="199">
        <f>+G223-P223</f>
        <v>2.0237200409205375E-3</v>
      </c>
    </row>
    <row r="224" spans="1:22" s="175" customFormat="1" ht="12.95" customHeight="1" x14ac:dyDescent="0.2">
      <c r="A224" s="217" t="s">
        <v>934</v>
      </c>
      <c r="B224" s="238" t="s">
        <v>60</v>
      </c>
      <c r="C224" s="239">
        <v>56407.475899999998</v>
      </c>
      <c r="D224" s="239" t="s">
        <v>64</v>
      </c>
      <c r="E224" s="241">
        <f t="shared" si="46"/>
        <v>20067.716587560459</v>
      </c>
      <c r="F224" s="241">
        <f t="shared" si="47"/>
        <v>20067.5</v>
      </c>
      <c r="G224" s="228">
        <f t="shared" si="45"/>
        <v>0.10207474999333499</v>
      </c>
      <c r="K224" s="175">
        <f t="shared" si="52"/>
        <v>0.10207474999333499</v>
      </c>
      <c r="O224" s="175">
        <f t="shared" ca="1" si="43"/>
        <v>9.6905644245255412E-2</v>
      </c>
      <c r="P224" s="225">
        <f t="shared" si="48"/>
        <v>0.1000210299568103</v>
      </c>
      <c r="Q224" s="230">
        <f t="shared" si="49"/>
        <v>41388.975899999998</v>
      </c>
      <c r="R224" s="229">
        <f t="shared" si="51"/>
        <v>4.2177659884229942E-6</v>
      </c>
      <c r="S224" s="229">
        <v>1</v>
      </c>
      <c r="T224" s="220">
        <f t="shared" si="50"/>
        <v>4.2177659884229942E-6</v>
      </c>
    </row>
    <row r="225" spans="1:22" s="175" customFormat="1" ht="12.95" customHeight="1" x14ac:dyDescent="0.2">
      <c r="A225" s="239" t="s">
        <v>942</v>
      </c>
      <c r="B225" s="238" t="s">
        <v>64</v>
      </c>
      <c r="C225" s="239">
        <v>56421.376199999999</v>
      </c>
      <c r="D225" s="239">
        <v>1.8E-3</v>
      </c>
      <c r="E225" s="241">
        <f t="shared" si="46"/>
        <v>20097.210973457102</v>
      </c>
      <c r="F225" s="241">
        <f t="shared" si="47"/>
        <v>20097</v>
      </c>
      <c r="G225" s="228">
        <f t="shared" si="45"/>
        <v>9.9428899993654341E-2</v>
      </c>
      <c r="H225" s="217"/>
      <c r="K225" s="175">
        <f t="shared" si="52"/>
        <v>9.9428899993654341E-2</v>
      </c>
      <c r="O225" s="175">
        <f t="shared" ca="1" si="43"/>
        <v>9.7277477113944605E-2</v>
      </c>
      <c r="P225" s="225">
        <f t="shared" si="48"/>
        <v>0.10031053348801314</v>
      </c>
      <c r="Q225" s="230">
        <f t="shared" si="49"/>
        <v>41402.876199999999</v>
      </c>
      <c r="R225" s="229">
        <f t="shared" si="51"/>
        <v>7.7727761837530238E-7</v>
      </c>
      <c r="S225" s="229">
        <v>1</v>
      </c>
      <c r="T225" s="220">
        <f t="shared" si="50"/>
        <v>7.7727761837530238E-7</v>
      </c>
      <c r="V225" s="199">
        <f t="shared" ref="V225:V265" si="53">+G225-P225</f>
        <v>-8.8163349435879668E-4</v>
      </c>
    </row>
    <row r="226" spans="1:22" s="175" customFormat="1" ht="12.95" customHeight="1" x14ac:dyDescent="0.2">
      <c r="A226" s="248" t="s">
        <v>228</v>
      </c>
      <c r="B226" s="246" t="s">
        <v>64</v>
      </c>
      <c r="C226" s="239">
        <v>56540.379200000003</v>
      </c>
      <c r="D226" s="249">
        <v>7.3000000000000001E-3</v>
      </c>
      <c r="E226" s="241">
        <f t="shared" si="46"/>
        <v>20349.717783012151</v>
      </c>
      <c r="F226" s="241">
        <f t="shared" si="47"/>
        <v>20349.5</v>
      </c>
      <c r="G226" s="228">
        <f t="shared" si="45"/>
        <v>0.10263814999780152</v>
      </c>
      <c r="H226" s="217"/>
      <c r="J226" s="175">
        <f>G226</f>
        <v>0.10263814999780152</v>
      </c>
      <c r="O226" s="175">
        <f t="shared" ref="O226:O257" ca="1" si="54">+C$11+C$12*F226</f>
        <v>0.10046011437984351</v>
      </c>
      <c r="P226" s="225">
        <f t="shared" si="48"/>
        <v>0.10280581963975494</v>
      </c>
      <c r="Q226" s="230">
        <f t="shared" si="49"/>
        <v>41521.879200000003</v>
      </c>
      <c r="R226" s="229">
        <f t="shared" si="51"/>
        <v>2.8113108832786809E-8</v>
      </c>
      <c r="S226" s="229">
        <v>1</v>
      </c>
      <c r="T226" s="220">
        <f t="shared" si="50"/>
        <v>2.8113108832786809E-8</v>
      </c>
      <c r="V226" s="199">
        <f t="shared" si="53"/>
        <v>-1.6766964195341627E-4</v>
      </c>
    </row>
    <row r="227" spans="1:22" s="175" customFormat="1" ht="12.95" customHeight="1" x14ac:dyDescent="0.2">
      <c r="A227" s="249" t="s">
        <v>940</v>
      </c>
      <c r="B227" s="246" t="s">
        <v>64</v>
      </c>
      <c r="C227" s="249">
        <v>56764.478799999997</v>
      </c>
      <c r="D227" s="249">
        <v>2.2000000000000001E-3</v>
      </c>
      <c r="E227" s="241">
        <f t="shared" si="46"/>
        <v>20825.22407292551</v>
      </c>
      <c r="F227" s="241">
        <f t="shared" si="47"/>
        <v>20825</v>
      </c>
      <c r="G227" s="228">
        <f t="shared" si="45"/>
        <v>0.10560249999252846</v>
      </c>
      <c r="H227" s="217"/>
      <c r="K227" s="175">
        <f t="shared" ref="K227:K265" si="55">G227</f>
        <v>0.10560249999252846</v>
      </c>
      <c r="O227" s="175">
        <f t="shared" ca="1" si="54"/>
        <v>0.10645355604295212</v>
      </c>
      <c r="P227" s="225">
        <f t="shared" si="48"/>
        <v>0.10758912416106522</v>
      </c>
      <c r="Q227" s="230">
        <f t="shared" si="49"/>
        <v>41745.978799999997</v>
      </c>
      <c r="R227" s="229">
        <f t="shared" si="51"/>
        <v>3.9466755870143745E-6</v>
      </c>
      <c r="S227" s="229">
        <v>1</v>
      </c>
      <c r="T227" s="220">
        <f t="shared" si="50"/>
        <v>3.9466755870143745E-6</v>
      </c>
      <c r="V227" s="199">
        <f t="shared" si="53"/>
        <v>-1.9866241685367603E-3</v>
      </c>
    </row>
    <row r="228" spans="1:22" s="175" customFormat="1" ht="12.95" customHeight="1" x14ac:dyDescent="0.2">
      <c r="A228" s="217" t="s">
        <v>229</v>
      </c>
      <c r="B228" s="238" t="s">
        <v>64</v>
      </c>
      <c r="C228" s="239">
        <v>56766.832699999999</v>
      </c>
      <c r="D228" s="239">
        <v>2.9999999999999997E-4</v>
      </c>
      <c r="E228" s="241">
        <f t="shared" si="46"/>
        <v>20830.218701455986</v>
      </c>
      <c r="F228" s="241">
        <f t="shared" si="47"/>
        <v>20830</v>
      </c>
      <c r="G228" s="228">
        <f t="shared" si="45"/>
        <v>0.10307099999772618</v>
      </c>
      <c r="H228" s="217"/>
      <c r="K228" s="175">
        <f t="shared" si="55"/>
        <v>0.10307099999772618</v>
      </c>
      <c r="O228" s="175">
        <f t="shared" ca="1" si="54"/>
        <v>0.10651657856306893</v>
      </c>
      <c r="P228" s="225">
        <f t="shared" si="48"/>
        <v>0.10764000658900899</v>
      </c>
      <c r="Q228" s="230">
        <f t="shared" si="49"/>
        <v>41748.332699999999</v>
      </c>
      <c r="R228" s="229">
        <f t="shared" si="51"/>
        <v>2.0875821231185807E-5</v>
      </c>
      <c r="S228" s="229">
        <v>1</v>
      </c>
      <c r="T228" s="220">
        <f t="shared" si="50"/>
        <v>2.0875821231185807E-5</v>
      </c>
      <c r="V228" s="199">
        <f t="shared" si="53"/>
        <v>-4.5690065912828148E-3</v>
      </c>
    </row>
    <row r="229" spans="1:22" s="175" customFormat="1" ht="12.95" customHeight="1" x14ac:dyDescent="0.2">
      <c r="A229" s="217" t="s">
        <v>229</v>
      </c>
      <c r="B229" s="238" t="s">
        <v>64</v>
      </c>
      <c r="C229" s="239">
        <v>56767.778899999998</v>
      </c>
      <c r="D229" s="239">
        <v>1E-4</v>
      </c>
      <c r="E229" s="241">
        <f t="shared" si="46"/>
        <v>20832.226398263636</v>
      </c>
      <c r="F229" s="241">
        <f t="shared" si="47"/>
        <v>20832</v>
      </c>
      <c r="G229" s="228">
        <f t="shared" si="45"/>
        <v>0.10669839999900432</v>
      </c>
      <c r="H229" s="217"/>
      <c r="K229" s="175">
        <f t="shared" si="55"/>
        <v>0.10669839999900432</v>
      </c>
      <c r="O229" s="175">
        <f t="shared" ca="1" si="54"/>
        <v>0.10654178757111563</v>
      </c>
      <c r="P229" s="225">
        <f t="shared" si="48"/>
        <v>0.10766036296796369</v>
      </c>
      <c r="Q229" s="230">
        <f t="shared" si="49"/>
        <v>41749.278899999998</v>
      </c>
      <c r="R229" s="229">
        <f t="shared" si="51"/>
        <v>9.253727536491217E-7</v>
      </c>
      <c r="S229" s="229">
        <v>1</v>
      </c>
      <c r="T229" s="220">
        <f t="shared" si="50"/>
        <v>9.253727536491217E-7</v>
      </c>
      <c r="V229" s="199">
        <f t="shared" si="53"/>
        <v>-9.6196296895936784E-4</v>
      </c>
    </row>
    <row r="230" spans="1:22" s="175" customFormat="1" ht="12.95" customHeight="1" x14ac:dyDescent="0.2">
      <c r="A230" s="249" t="s">
        <v>940</v>
      </c>
      <c r="B230" s="246" t="s">
        <v>64</v>
      </c>
      <c r="C230" s="249">
        <v>56782.388800000001</v>
      </c>
      <c r="D230" s="249">
        <v>3.3999999999999998E-3</v>
      </c>
      <c r="E230" s="241">
        <f t="shared" si="46"/>
        <v>20863.226450673395</v>
      </c>
      <c r="F230" s="241">
        <f t="shared" si="47"/>
        <v>20863</v>
      </c>
      <c r="G230" s="228">
        <f t="shared" si="45"/>
        <v>0.10672309999790741</v>
      </c>
      <c r="H230" s="217"/>
      <c r="K230" s="175">
        <f t="shared" si="55"/>
        <v>0.10672309999790741</v>
      </c>
      <c r="O230" s="175">
        <f t="shared" ca="1" si="54"/>
        <v>0.10693252719583987</v>
      </c>
      <c r="P230" s="225">
        <f t="shared" si="48"/>
        <v>0.10797613585290949</v>
      </c>
      <c r="Q230" s="230">
        <f t="shared" si="49"/>
        <v>41763.888800000001</v>
      </c>
      <c r="R230" s="229">
        <f t="shared" si="51"/>
        <v>1.5700988539208002E-6</v>
      </c>
      <c r="S230" s="229">
        <v>1</v>
      </c>
      <c r="T230" s="220">
        <f t="shared" si="50"/>
        <v>1.5700988539208002E-6</v>
      </c>
      <c r="V230" s="199">
        <f t="shared" si="53"/>
        <v>-1.2530358550020826E-3</v>
      </c>
    </row>
    <row r="231" spans="1:22" s="175" customFormat="1" ht="12.95" customHeight="1" x14ac:dyDescent="0.2">
      <c r="A231" s="252" t="s">
        <v>944</v>
      </c>
      <c r="B231" s="253" t="s">
        <v>64</v>
      </c>
      <c r="C231" s="254">
        <v>57099.570950000001</v>
      </c>
      <c r="D231" s="254">
        <v>6.9999999999999999E-4</v>
      </c>
      <c r="E231" s="241">
        <f t="shared" si="46"/>
        <v>21536.24017927107</v>
      </c>
      <c r="F231" s="241">
        <f t="shared" si="47"/>
        <v>21536</v>
      </c>
      <c r="G231" s="228">
        <f t="shared" ref="G231:G262" si="56">C231-(C$7+F231*C$8)</f>
        <v>0.11319319999893196</v>
      </c>
      <c r="H231" s="217"/>
      <c r="K231" s="175">
        <f t="shared" si="55"/>
        <v>0.11319319999893196</v>
      </c>
      <c r="O231" s="175">
        <f t="shared" ca="1" si="54"/>
        <v>0.11541535840356246</v>
      </c>
      <c r="P231" s="225">
        <f t="shared" si="48"/>
        <v>0.11494679029234232</v>
      </c>
      <c r="Q231" s="230">
        <f t="shared" si="49"/>
        <v>42081.070950000001</v>
      </c>
      <c r="R231" s="229">
        <f t="shared" si="51"/>
        <v>3.0750789171430491E-6</v>
      </c>
      <c r="S231" s="229">
        <v>1</v>
      </c>
      <c r="T231" s="220">
        <f t="shared" si="50"/>
        <v>3.0750789171430491E-6</v>
      </c>
      <c r="V231" s="199">
        <f t="shared" si="53"/>
        <v>-1.7535902934103648E-3</v>
      </c>
    </row>
    <row r="232" spans="1:22" s="175" customFormat="1" ht="12.95" customHeight="1" x14ac:dyDescent="0.2">
      <c r="A232" s="252" t="s">
        <v>944</v>
      </c>
      <c r="B232" s="253" t="s">
        <v>64</v>
      </c>
      <c r="C232" s="254">
        <v>57099.571329999999</v>
      </c>
      <c r="D232" s="254">
        <v>5.9999999999999995E-4</v>
      </c>
      <c r="E232" s="241">
        <f t="shared" si="46"/>
        <v>21536.240985575001</v>
      </c>
      <c r="F232" s="241">
        <f t="shared" si="47"/>
        <v>21536</v>
      </c>
      <c r="G232" s="228">
        <f t="shared" si="56"/>
        <v>0.11357319999660831</v>
      </c>
      <c r="H232" s="217"/>
      <c r="K232" s="175">
        <f t="shared" si="55"/>
        <v>0.11357319999660831</v>
      </c>
      <c r="O232" s="175">
        <f t="shared" ca="1" si="54"/>
        <v>0.11541535840356246</v>
      </c>
      <c r="P232" s="225">
        <f t="shared" si="48"/>
        <v>0.11494679029234232</v>
      </c>
      <c r="Q232" s="230">
        <f t="shared" si="49"/>
        <v>42081.071329999999</v>
      </c>
      <c r="R232" s="229">
        <f t="shared" si="51"/>
        <v>1.8867503005346576E-6</v>
      </c>
      <c r="S232" s="229">
        <v>1</v>
      </c>
      <c r="T232" s="220">
        <f t="shared" si="50"/>
        <v>1.8867503005346576E-6</v>
      </c>
      <c r="V232" s="199">
        <f t="shared" si="53"/>
        <v>-1.3735902957340146E-3</v>
      </c>
    </row>
    <row r="233" spans="1:22" s="175" customFormat="1" ht="12.95" customHeight="1" x14ac:dyDescent="0.2">
      <c r="A233" s="245" t="s">
        <v>941</v>
      </c>
      <c r="B233" s="238"/>
      <c r="C233" s="239">
        <v>57130.912400000001</v>
      </c>
      <c r="D233" s="239">
        <v>2.9999999999999997E-4</v>
      </c>
      <c r="E233" s="241">
        <f t="shared" si="46"/>
        <v>21602.74211238476</v>
      </c>
      <c r="F233" s="241">
        <f t="shared" si="47"/>
        <v>21602.5</v>
      </c>
      <c r="G233" s="228">
        <f t="shared" si="56"/>
        <v>0.11410424999485258</v>
      </c>
      <c r="H233" s="217"/>
      <c r="K233" s="175">
        <f t="shared" si="55"/>
        <v>0.11410424999485258</v>
      </c>
      <c r="O233" s="175">
        <f t="shared" ca="1" si="54"/>
        <v>0.116253557921116</v>
      </c>
      <c r="P233" s="225">
        <f t="shared" si="48"/>
        <v>0.11564753991197055</v>
      </c>
      <c r="Q233" s="230">
        <f t="shared" si="49"/>
        <v>42112.412400000001</v>
      </c>
      <c r="R233" s="229">
        <f t="shared" si="51"/>
        <v>2.3817437682779852E-6</v>
      </c>
      <c r="S233" s="229">
        <v>1</v>
      </c>
      <c r="T233" s="220">
        <f t="shared" si="50"/>
        <v>2.3817437682779852E-6</v>
      </c>
      <c r="V233" s="199">
        <f t="shared" si="53"/>
        <v>-1.5432899171179681E-3</v>
      </c>
    </row>
    <row r="234" spans="1:22" s="175" customFormat="1" ht="12.95" customHeight="1" x14ac:dyDescent="0.2">
      <c r="A234" s="255" t="s">
        <v>2</v>
      </c>
      <c r="B234" s="256" t="s">
        <v>64</v>
      </c>
      <c r="C234" s="257">
        <v>57134.448400000001</v>
      </c>
      <c r="D234" s="257">
        <v>4.5999999999999999E-3</v>
      </c>
      <c r="E234" s="241">
        <f t="shared" si="46"/>
        <v>21610.244982720691</v>
      </c>
      <c r="F234" s="241">
        <f t="shared" si="47"/>
        <v>21610</v>
      </c>
      <c r="G234" s="228">
        <f t="shared" si="56"/>
        <v>0.11545699999987846</v>
      </c>
      <c r="H234" s="217"/>
      <c r="K234" s="175">
        <f t="shared" si="55"/>
        <v>0.11545699999987846</v>
      </c>
      <c r="O234" s="175">
        <f t="shared" ca="1" si="54"/>
        <v>0.11634809170129126</v>
      </c>
      <c r="P234" s="225">
        <f t="shared" si="48"/>
        <v>0.1157267069179832</v>
      </c>
      <c r="Q234" s="230">
        <f t="shared" si="49"/>
        <v>42115.948400000001</v>
      </c>
      <c r="R234" s="229">
        <f t="shared" si="51"/>
        <v>7.2741821673556698E-8</v>
      </c>
      <c r="S234" s="229">
        <v>1</v>
      </c>
      <c r="T234" s="220">
        <f t="shared" si="50"/>
        <v>7.2741821673556698E-8</v>
      </c>
      <c r="V234" s="199">
        <f t="shared" si="53"/>
        <v>-2.6970691810473957E-4</v>
      </c>
    </row>
    <row r="235" spans="1:22" s="175" customFormat="1" ht="12.95" customHeight="1" x14ac:dyDescent="0.2">
      <c r="A235" s="255" t="s">
        <v>2</v>
      </c>
      <c r="B235" s="256" t="s">
        <v>64</v>
      </c>
      <c r="C235" s="257">
        <v>57137.512699999999</v>
      </c>
      <c r="D235" s="257">
        <v>6.7000000000000002E-3</v>
      </c>
      <c r="E235" s="241">
        <f t="shared" si="46"/>
        <v>21616.746975246249</v>
      </c>
      <c r="F235" s="241">
        <f t="shared" si="47"/>
        <v>21616.5</v>
      </c>
      <c r="G235" s="228">
        <f t="shared" si="56"/>
        <v>0.11639604999800213</v>
      </c>
      <c r="H235" s="217"/>
      <c r="K235" s="175">
        <f t="shared" si="55"/>
        <v>0.11639604999800213</v>
      </c>
      <c r="O235" s="175">
        <f t="shared" ca="1" si="54"/>
        <v>0.11643002097744307</v>
      </c>
      <c r="P235" s="225">
        <f t="shared" si="48"/>
        <v>0.11579534047374594</v>
      </c>
      <c r="Q235" s="230">
        <f t="shared" si="49"/>
        <v>42119.012699999999</v>
      </c>
      <c r="R235" s="229">
        <f t="shared" si="51"/>
        <v>3.6085193253209204E-7</v>
      </c>
      <c r="S235" s="229">
        <v>1</v>
      </c>
      <c r="T235" s="220">
        <f t="shared" si="50"/>
        <v>3.6085193253209204E-7</v>
      </c>
      <c r="V235" s="199">
        <f t="shared" si="53"/>
        <v>6.0070952425618496E-4</v>
      </c>
    </row>
    <row r="236" spans="1:22" s="175" customFormat="1" ht="12.95" customHeight="1" x14ac:dyDescent="0.2">
      <c r="A236" s="239" t="s">
        <v>942</v>
      </c>
      <c r="B236" s="238" t="s">
        <v>64</v>
      </c>
      <c r="C236" s="239">
        <v>57151.415999999997</v>
      </c>
      <c r="D236" s="239">
        <v>6.9999999999999999E-4</v>
      </c>
      <c r="E236" s="241">
        <f t="shared" si="46"/>
        <v>21646.247726700298</v>
      </c>
      <c r="F236" s="241">
        <f t="shared" si="47"/>
        <v>21646</v>
      </c>
      <c r="G236" s="228">
        <f t="shared" si="56"/>
        <v>0.11675019999529468</v>
      </c>
      <c r="H236" s="217"/>
      <c r="K236" s="175">
        <f t="shared" si="55"/>
        <v>0.11675019999529468</v>
      </c>
      <c r="O236" s="175">
        <f t="shared" ca="1" si="54"/>
        <v>0.11680185384613226</v>
      </c>
      <c r="P236" s="225">
        <f t="shared" si="48"/>
        <v>0.11610708973106448</v>
      </c>
      <c r="Q236" s="230">
        <f t="shared" si="49"/>
        <v>42132.915999999997</v>
      </c>
      <c r="R236" s="229">
        <f t="shared" si="51"/>
        <v>4.1359081195823198E-7</v>
      </c>
      <c r="S236" s="229">
        <v>1</v>
      </c>
      <c r="T236" s="220">
        <f t="shared" si="50"/>
        <v>4.1359081195823198E-7</v>
      </c>
      <c r="V236" s="199">
        <f t="shared" si="53"/>
        <v>6.4311026423019557E-4</v>
      </c>
    </row>
    <row r="237" spans="1:22" s="175" customFormat="1" ht="12.95" customHeight="1" x14ac:dyDescent="0.2">
      <c r="A237" s="252" t="s">
        <v>944</v>
      </c>
      <c r="B237" s="253" t="s">
        <v>60</v>
      </c>
      <c r="C237" s="254">
        <v>57154.480539999997</v>
      </c>
      <c r="D237" s="254">
        <v>2.9999999999999997E-4</v>
      </c>
      <c r="E237" s="241">
        <f t="shared" si="46"/>
        <v>21652.750228470453</v>
      </c>
      <c r="F237" s="258">
        <f>ROUND(2*E237,0)/2-0.5</f>
        <v>21652.5</v>
      </c>
      <c r="G237" s="228">
        <f t="shared" si="56"/>
        <v>0.11792924999463139</v>
      </c>
      <c r="H237" s="217"/>
      <c r="K237" s="175">
        <f t="shared" si="55"/>
        <v>0.11792924999463139</v>
      </c>
      <c r="O237" s="175">
        <f t="shared" ca="1" si="54"/>
        <v>0.11688378312228412</v>
      </c>
      <c r="P237" s="225">
        <f t="shared" si="48"/>
        <v>0.11617583720395058</v>
      </c>
      <c r="Q237" s="230">
        <f t="shared" si="49"/>
        <v>42135.980539999997</v>
      </c>
      <c r="R237" s="229">
        <f t="shared" si="51"/>
        <v>3.0744564145230602E-6</v>
      </c>
      <c r="S237" s="229">
        <v>1</v>
      </c>
      <c r="T237" s="220">
        <f t="shared" si="50"/>
        <v>3.0744564145230602E-6</v>
      </c>
      <c r="V237" s="199">
        <f t="shared" si="53"/>
        <v>1.7534127906808084E-3</v>
      </c>
    </row>
    <row r="238" spans="1:22" s="175" customFormat="1" ht="12.95" customHeight="1" x14ac:dyDescent="0.2">
      <c r="A238" s="252" t="s">
        <v>944</v>
      </c>
      <c r="B238" s="253" t="s">
        <v>60</v>
      </c>
      <c r="C238" s="254">
        <v>57154.480949999997</v>
      </c>
      <c r="D238" s="254">
        <v>2.9999999999999997E-4</v>
      </c>
      <c r="E238" s="241">
        <f t="shared" si="46"/>
        <v>21652.751098429966</v>
      </c>
      <c r="F238" s="258">
        <f>ROUND(2*E238,0)/2-0.5</f>
        <v>21652.5</v>
      </c>
      <c r="G238" s="228">
        <f t="shared" si="56"/>
        <v>0.11833924999518786</v>
      </c>
      <c r="H238" s="217"/>
      <c r="K238" s="175">
        <f t="shared" si="55"/>
        <v>0.11833924999518786</v>
      </c>
      <c r="O238" s="175">
        <f t="shared" ca="1" si="54"/>
        <v>0.11688378312228412</v>
      </c>
      <c r="P238" s="225">
        <f t="shared" si="48"/>
        <v>0.11617583720395058</v>
      </c>
      <c r="Q238" s="230">
        <f t="shared" si="49"/>
        <v>42135.980949999997</v>
      </c>
      <c r="R238" s="229">
        <f t="shared" si="51"/>
        <v>4.6803549052890512E-6</v>
      </c>
      <c r="S238" s="229">
        <v>1</v>
      </c>
      <c r="T238" s="220">
        <f t="shared" si="50"/>
        <v>4.6803549052890512E-6</v>
      </c>
      <c r="V238" s="199">
        <f t="shared" si="53"/>
        <v>2.1634127912372736E-3</v>
      </c>
    </row>
    <row r="239" spans="1:22" s="175" customFormat="1" ht="12.95" customHeight="1" x14ac:dyDescent="0.2">
      <c r="A239" s="259" t="s">
        <v>943</v>
      </c>
      <c r="B239" s="260" t="s">
        <v>64</v>
      </c>
      <c r="C239" s="261">
        <v>57165.081699999981</v>
      </c>
      <c r="D239" s="261" t="s">
        <v>702</v>
      </c>
      <c r="E239" s="241">
        <f t="shared" si="46"/>
        <v>21675.244326007309</v>
      </c>
      <c r="F239" s="241">
        <f t="shared" ref="F239:F244" si="57">ROUND(2*E239,0)/2</f>
        <v>21675</v>
      </c>
      <c r="G239" s="228">
        <f t="shared" si="56"/>
        <v>0.11514749997877516</v>
      </c>
      <c r="H239" s="217"/>
      <c r="K239" s="175">
        <f t="shared" si="55"/>
        <v>0.11514749997877516</v>
      </c>
      <c r="O239" s="175">
        <f t="shared" ca="1" si="54"/>
        <v>0.11716738446280975</v>
      </c>
      <c r="P239" s="225">
        <f t="shared" si="48"/>
        <v>0.11641396805223797</v>
      </c>
      <c r="Q239" s="230">
        <f t="shared" si="49"/>
        <v>42146.581699999981</v>
      </c>
      <c r="R239" s="229">
        <f t="shared" si="51"/>
        <v>1.6039413811006064E-6</v>
      </c>
      <c r="S239" s="229">
        <v>1</v>
      </c>
      <c r="T239" s="220">
        <f t="shared" si="50"/>
        <v>1.6039413811006064E-6</v>
      </c>
      <c r="V239" s="199">
        <f t="shared" si="53"/>
        <v>-1.266468073462812E-3</v>
      </c>
    </row>
    <row r="240" spans="1:22" s="175" customFormat="1" ht="12.95" customHeight="1" x14ac:dyDescent="0.2">
      <c r="A240" s="239" t="s">
        <v>942</v>
      </c>
      <c r="B240" s="238" t="s">
        <v>64</v>
      </c>
      <c r="C240" s="239">
        <v>57184.405100000004</v>
      </c>
      <c r="D240" s="239">
        <v>2.0000000000000001E-4</v>
      </c>
      <c r="E240" s="241">
        <f t="shared" si="46"/>
        <v>21716.245730037135</v>
      </c>
      <c r="F240" s="241">
        <f t="shared" si="57"/>
        <v>21716</v>
      </c>
      <c r="G240" s="228">
        <f t="shared" si="56"/>
        <v>0.11580919999687467</v>
      </c>
      <c r="H240" s="217"/>
      <c r="K240" s="175">
        <f t="shared" si="55"/>
        <v>0.11580919999687467</v>
      </c>
      <c r="O240" s="175">
        <f t="shared" ca="1" si="54"/>
        <v>0.11768416912776761</v>
      </c>
      <c r="P240" s="225">
        <f t="shared" si="48"/>
        <v>0.11684852910063581</v>
      </c>
      <c r="Q240" s="230">
        <f t="shared" si="49"/>
        <v>42165.905100000004</v>
      </c>
      <c r="R240" s="229">
        <f t="shared" si="51"/>
        <v>1.0802049859249431E-6</v>
      </c>
      <c r="S240" s="229">
        <v>1</v>
      </c>
      <c r="T240" s="220">
        <f t="shared" si="50"/>
        <v>1.0802049859249431E-6</v>
      </c>
      <c r="V240" s="199">
        <f t="shared" si="53"/>
        <v>-1.0393291037611441E-3</v>
      </c>
    </row>
    <row r="241" spans="1:23" s="175" customFormat="1" ht="12.95" customHeight="1" x14ac:dyDescent="0.2">
      <c r="A241" s="239" t="s">
        <v>942</v>
      </c>
      <c r="B241" s="238" t="s">
        <v>60</v>
      </c>
      <c r="C241" s="239">
        <v>57221.402800000003</v>
      </c>
      <c r="D241" s="239">
        <v>2.0000000000000001E-4</v>
      </c>
      <c r="E241" s="241">
        <f t="shared" si="46"/>
        <v>21794.749391187481</v>
      </c>
      <c r="F241" s="241">
        <f t="shared" si="57"/>
        <v>21794.5</v>
      </c>
      <c r="G241" s="228">
        <f t="shared" si="56"/>
        <v>0.11753465000219876</v>
      </c>
      <c r="H241" s="217"/>
      <c r="K241" s="175">
        <f t="shared" si="55"/>
        <v>0.11753465000219876</v>
      </c>
      <c r="O241" s="175">
        <f t="shared" ca="1" si="54"/>
        <v>0.11867362269360152</v>
      </c>
      <c r="P241" s="225">
        <f t="shared" si="48"/>
        <v>0.11768283791584834</v>
      </c>
      <c r="Q241" s="230">
        <f t="shared" si="49"/>
        <v>42202.902800000003</v>
      </c>
      <c r="R241" s="229">
        <f t="shared" si="51"/>
        <v>2.1959657751815561E-8</v>
      </c>
      <c r="S241" s="229">
        <v>1</v>
      </c>
      <c r="T241" s="220">
        <f t="shared" si="50"/>
        <v>2.1959657751815561E-8</v>
      </c>
      <c r="V241" s="199">
        <f t="shared" si="53"/>
        <v>-1.4818791364958062E-4</v>
      </c>
    </row>
    <row r="242" spans="1:23" s="175" customFormat="1" ht="12.95" customHeight="1" x14ac:dyDescent="0.2">
      <c r="A242" s="239" t="s">
        <v>942</v>
      </c>
      <c r="B242" s="238" t="s">
        <v>64</v>
      </c>
      <c r="C242" s="239">
        <v>57240.4899</v>
      </c>
      <c r="D242" s="239">
        <v>1E-4</v>
      </c>
      <c r="E242" s="241">
        <f t="shared" si="46"/>
        <v>21835.249401478461</v>
      </c>
      <c r="F242" s="241">
        <f t="shared" si="57"/>
        <v>21835</v>
      </c>
      <c r="G242" s="228">
        <f t="shared" si="56"/>
        <v>0.11753949999547331</v>
      </c>
      <c r="H242" s="217"/>
      <c r="K242" s="175">
        <f t="shared" si="55"/>
        <v>0.11753949999547331</v>
      </c>
      <c r="O242" s="175">
        <f t="shared" ca="1" si="54"/>
        <v>0.11918410510654767</v>
      </c>
      <c r="P242" s="225">
        <f t="shared" si="48"/>
        <v>0.1181144506229707</v>
      </c>
      <c r="Q242" s="230">
        <f t="shared" si="49"/>
        <v>42221.9899</v>
      </c>
      <c r="R242" s="229">
        <f t="shared" si="51"/>
        <v>3.3056822405964482E-7</v>
      </c>
      <c r="S242" s="229">
        <v>1</v>
      </c>
      <c r="T242" s="220">
        <f t="shared" si="50"/>
        <v>3.3056822405964482E-7</v>
      </c>
      <c r="V242" s="199">
        <f t="shared" si="53"/>
        <v>-5.7495062749739201E-4</v>
      </c>
    </row>
    <row r="243" spans="1:23" s="175" customFormat="1" ht="12.95" customHeight="1" x14ac:dyDescent="0.2">
      <c r="A243" s="239" t="s">
        <v>942</v>
      </c>
      <c r="B243" s="238" t="s">
        <v>60</v>
      </c>
      <c r="C243" s="239">
        <v>57255.334900000002</v>
      </c>
      <c r="D243" s="239">
        <v>2.9999999999999997E-4</v>
      </c>
      <c r="E243" s="241">
        <f t="shared" si="46"/>
        <v>21866.748301404048</v>
      </c>
      <c r="F243" s="241">
        <f t="shared" si="57"/>
        <v>21866.5</v>
      </c>
      <c r="G243" s="228">
        <f t="shared" si="56"/>
        <v>0.1170210499985842</v>
      </c>
      <c r="H243" s="217"/>
      <c r="K243" s="175">
        <f t="shared" si="55"/>
        <v>0.1170210499985842</v>
      </c>
      <c r="O243" s="175">
        <f t="shared" ca="1" si="54"/>
        <v>0.11958114698328356</v>
      </c>
      <c r="P243" s="225">
        <f t="shared" si="48"/>
        <v>0.11845070145508256</v>
      </c>
      <c r="Q243" s="230">
        <f t="shared" si="49"/>
        <v>42236.834900000002</v>
      </c>
      <c r="R243" s="229">
        <f t="shared" si="51"/>
        <v>2.0439032870678734E-6</v>
      </c>
      <c r="S243" s="229">
        <v>1</v>
      </c>
      <c r="T243" s="220">
        <f t="shared" si="50"/>
        <v>2.0439032870678734E-6</v>
      </c>
      <c r="V243" s="199">
        <f t="shared" si="53"/>
        <v>-1.429651456498357E-3</v>
      </c>
    </row>
    <row r="244" spans="1:23" s="175" customFormat="1" ht="12.95" customHeight="1" x14ac:dyDescent="0.2">
      <c r="A244" s="252" t="s">
        <v>944</v>
      </c>
      <c r="B244" s="253" t="s">
        <v>64</v>
      </c>
      <c r="C244" s="254">
        <v>57266.410430000004</v>
      </c>
      <c r="D244" s="254">
        <v>2.9999999999999997E-4</v>
      </c>
      <c r="E244" s="241">
        <f t="shared" si="46"/>
        <v>21890.248942097405</v>
      </c>
      <c r="F244" s="241">
        <f t="shared" si="57"/>
        <v>21890</v>
      </c>
      <c r="G244" s="228">
        <f t="shared" si="56"/>
        <v>0.11732299999857787</v>
      </c>
      <c r="H244" s="217"/>
      <c r="K244" s="175">
        <f t="shared" si="55"/>
        <v>0.11732299999857787</v>
      </c>
      <c r="O244" s="175">
        <f t="shared" ca="1" si="54"/>
        <v>0.1198773528278326</v>
      </c>
      <c r="P244" s="225">
        <f t="shared" si="48"/>
        <v>0.11870186986132648</v>
      </c>
      <c r="Q244" s="230">
        <f t="shared" si="49"/>
        <v>42247.910430000004</v>
      </c>
      <c r="R244" s="229">
        <f t="shared" si="51"/>
        <v>1.9012820983963801E-6</v>
      </c>
      <c r="S244" s="229">
        <v>1</v>
      </c>
      <c r="T244" s="220">
        <f t="shared" si="50"/>
        <v>1.9012820983963801E-6</v>
      </c>
      <c r="V244" s="199">
        <f t="shared" si="53"/>
        <v>-1.3788698627486135E-3</v>
      </c>
    </row>
    <row r="245" spans="1:23" s="175" customFormat="1" ht="12.95" customHeight="1" x14ac:dyDescent="0.2">
      <c r="A245" s="252" t="s">
        <v>944</v>
      </c>
      <c r="B245" s="253" t="s">
        <v>64</v>
      </c>
      <c r="C245" s="254">
        <v>57266.411419999997</v>
      </c>
      <c r="D245" s="254">
        <v>2.9999999999999997E-4</v>
      </c>
      <c r="E245" s="241">
        <f t="shared" si="46"/>
        <v>21890.251042731339</v>
      </c>
      <c r="F245" s="258">
        <f t="shared" ref="F245:F266" si="58">ROUND(2*E245,0)/2-0.5</f>
        <v>21890</v>
      </c>
      <c r="G245" s="228">
        <f t="shared" si="56"/>
        <v>0.11831299999175826</v>
      </c>
      <c r="H245" s="217"/>
      <c r="K245" s="175">
        <f t="shared" si="55"/>
        <v>0.11831299999175826</v>
      </c>
      <c r="O245" s="175">
        <f t="shared" ca="1" si="54"/>
        <v>0.1198773528278326</v>
      </c>
      <c r="P245" s="225">
        <f t="shared" si="48"/>
        <v>0.11870186986132648</v>
      </c>
      <c r="Q245" s="230">
        <f t="shared" si="49"/>
        <v>42247.911419999997</v>
      </c>
      <c r="R245" s="229">
        <f t="shared" si="51"/>
        <v>1.5121977545800676E-7</v>
      </c>
      <c r="S245" s="229">
        <v>1</v>
      </c>
      <c r="T245" s="220">
        <f t="shared" si="50"/>
        <v>1.5121977545800676E-7</v>
      </c>
      <c r="V245" s="199">
        <f t="shared" si="53"/>
        <v>-3.88869869568223E-4</v>
      </c>
    </row>
    <row r="246" spans="1:23" s="175" customFormat="1" ht="12.95" customHeight="1" x14ac:dyDescent="0.2">
      <c r="A246" s="252" t="s">
        <v>944</v>
      </c>
      <c r="B246" s="253" t="s">
        <v>64</v>
      </c>
      <c r="C246" s="254">
        <v>57266.411760000003</v>
      </c>
      <c r="D246" s="254">
        <v>2.0000000000000001E-4</v>
      </c>
      <c r="E246" s="241">
        <f t="shared" si="46"/>
        <v>21890.251764161188</v>
      </c>
      <c r="F246" s="258">
        <f t="shared" si="58"/>
        <v>21890</v>
      </c>
      <c r="G246" s="228">
        <f t="shared" si="56"/>
        <v>0.11865299999772105</v>
      </c>
      <c r="H246" s="217"/>
      <c r="K246" s="175">
        <f t="shared" si="55"/>
        <v>0.11865299999772105</v>
      </c>
      <c r="O246" s="175">
        <f t="shared" ca="1" si="54"/>
        <v>0.1198773528278326</v>
      </c>
      <c r="P246" s="225">
        <f t="shared" si="48"/>
        <v>0.11870186986132648</v>
      </c>
      <c r="Q246" s="230">
        <f t="shared" si="49"/>
        <v>42247.911760000003</v>
      </c>
      <c r="R246" s="229">
        <f t="shared" si="51"/>
        <v>2.3882635688133529E-9</v>
      </c>
      <c r="S246" s="229">
        <v>1</v>
      </c>
      <c r="T246" s="220">
        <f t="shared" si="50"/>
        <v>2.3882635688133529E-9</v>
      </c>
      <c r="V246" s="199">
        <f t="shared" si="53"/>
        <v>-4.8869863605430219E-5</v>
      </c>
    </row>
    <row r="247" spans="1:23" s="175" customFormat="1" ht="12.95" customHeight="1" x14ac:dyDescent="0.2">
      <c r="A247" s="252" t="s">
        <v>944</v>
      </c>
      <c r="B247" s="253" t="s">
        <v>64</v>
      </c>
      <c r="C247" s="254">
        <v>57410.626830000001</v>
      </c>
      <c r="D247" s="254">
        <v>2.0000000000000001E-4</v>
      </c>
      <c r="E247" s="241">
        <f t="shared" si="46"/>
        <v>22196.254866733871</v>
      </c>
      <c r="F247" s="258">
        <f t="shared" si="58"/>
        <v>22196</v>
      </c>
      <c r="G247" s="228">
        <f t="shared" si="56"/>
        <v>0.12011519999941811</v>
      </c>
      <c r="H247" s="217"/>
      <c r="K247" s="175">
        <f t="shared" si="55"/>
        <v>0.12011519999941811</v>
      </c>
      <c r="O247" s="175">
        <f t="shared" ca="1" si="54"/>
        <v>0.12373433105898132</v>
      </c>
      <c r="P247" s="225">
        <f t="shared" si="48"/>
        <v>0.12199694571908606</v>
      </c>
      <c r="Q247" s="230">
        <f t="shared" si="49"/>
        <v>42392.126830000001</v>
      </c>
      <c r="R247" s="229">
        <f t="shared" si="51"/>
        <v>3.5409669534886672E-6</v>
      </c>
      <c r="S247" s="229">
        <v>1</v>
      </c>
      <c r="T247" s="220">
        <f t="shared" si="50"/>
        <v>3.5409669534886672E-6</v>
      </c>
      <c r="V247" s="199">
        <f t="shared" si="53"/>
        <v>-1.8817457196679543E-3</v>
      </c>
    </row>
    <row r="248" spans="1:23" s="175" customFormat="1" ht="12.95" customHeight="1" x14ac:dyDescent="0.2">
      <c r="A248" s="262" t="s">
        <v>0</v>
      </c>
      <c r="B248" s="263" t="s">
        <v>64</v>
      </c>
      <c r="C248" s="262">
        <v>57493.113100000002</v>
      </c>
      <c r="D248" s="262" t="s">
        <v>160</v>
      </c>
      <c r="E248" s="241">
        <f t="shared" si="46"/>
        <v>22371.278562521336</v>
      </c>
      <c r="F248" s="258">
        <f t="shared" si="58"/>
        <v>22371</v>
      </c>
      <c r="G248" s="228">
        <f t="shared" si="56"/>
        <v>0.13128270000015618</v>
      </c>
      <c r="H248" s="217"/>
      <c r="K248" s="175">
        <f t="shared" si="55"/>
        <v>0.13128270000015618</v>
      </c>
      <c r="O248" s="175">
        <f t="shared" ca="1" si="54"/>
        <v>0.12594011926306967</v>
      </c>
      <c r="P248" s="225">
        <f t="shared" si="48"/>
        <v>0.1239018737870127</v>
      </c>
      <c r="Q248" s="230">
        <f t="shared" si="49"/>
        <v>42474.613100000002</v>
      </c>
      <c r="R248" s="229">
        <f t="shared" si="51"/>
        <v>5.4476595588625956E-5</v>
      </c>
      <c r="S248" s="229">
        <v>1</v>
      </c>
      <c r="T248" s="220">
        <f t="shared" si="50"/>
        <v>5.4476595588625956E-5</v>
      </c>
      <c r="V248" s="199">
        <f t="shared" si="53"/>
        <v>7.3808262131434821E-3</v>
      </c>
      <c r="W248" s="217"/>
    </row>
    <row r="249" spans="1:23" s="175" customFormat="1" ht="12.95" customHeight="1" x14ac:dyDescent="0.2">
      <c r="A249" s="255" t="s">
        <v>2</v>
      </c>
      <c r="B249" s="256" t="s">
        <v>64</v>
      </c>
      <c r="C249" s="257">
        <v>57517.379099999998</v>
      </c>
      <c r="D249" s="257">
        <v>1.1000000000000001E-3</v>
      </c>
      <c r="E249" s="241">
        <f t="shared" si="46"/>
        <v>22422.767434572139</v>
      </c>
      <c r="F249" s="258">
        <f t="shared" si="58"/>
        <v>22422.5</v>
      </c>
      <c r="G249" s="228">
        <f t="shared" si="56"/>
        <v>0.12603824999678181</v>
      </c>
      <c r="H249" s="217"/>
      <c r="K249" s="175">
        <f t="shared" si="55"/>
        <v>0.12603824999678181</v>
      </c>
      <c r="O249" s="175">
        <f t="shared" ca="1" si="54"/>
        <v>0.12658925122027284</v>
      </c>
      <c r="P249" s="225">
        <f t="shared" si="48"/>
        <v>0.12446530625193356</v>
      </c>
      <c r="Q249" s="230">
        <f t="shared" si="49"/>
        <v>42498.879099999998</v>
      </c>
      <c r="R249" s="229">
        <f t="shared" ref="R249:R265" si="59">(G249-P249)^2</f>
        <v>2.4741520244572673E-6</v>
      </c>
      <c r="S249" s="229">
        <v>1</v>
      </c>
      <c r="T249" s="220">
        <f t="shared" si="50"/>
        <v>2.4741520244572673E-6</v>
      </c>
      <c r="V249" s="199">
        <f t="shared" si="53"/>
        <v>1.5729437448482597E-3</v>
      </c>
    </row>
    <row r="250" spans="1:23" s="175" customFormat="1" ht="12.95" customHeight="1" x14ac:dyDescent="0.2">
      <c r="A250" s="264" t="s">
        <v>946</v>
      </c>
      <c r="B250" s="265" t="s">
        <v>64</v>
      </c>
      <c r="C250" s="264">
        <v>57607.630899999996</v>
      </c>
      <c r="D250" s="264">
        <v>2.0000000000000001E-4</v>
      </c>
      <c r="E250" s="241">
        <f t="shared" si="46"/>
        <v>22614.268439375373</v>
      </c>
      <c r="F250" s="258">
        <f t="shared" si="58"/>
        <v>22614</v>
      </c>
      <c r="G250" s="228">
        <f t="shared" si="56"/>
        <v>0.12651179999375017</v>
      </c>
      <c r="H250" s="217"/>
      <c r="K250" s="175">
        <f t="shared" si="55"/>
        <v>0.12651179999375017</v>
      </c>
      <c r="O250" s="175">
        <f t="shared" ca="1" si="54"/>
        <v>0.12900301374074666</v>
      </c>
      <c r="P250" s="225">
        <f t="shared" si="48"/>
        <v>0.12657172687281906</v>
      </c>
      <c r="Q250" s="230">
        <f t="shared" si="49"/>
        <v>42589.130899999996</v>
      </c>
      <c r="R250" s="229">
        <f t="shared" si="59"/>
        <v>3.5912308349372392E-9</v>
      </c>
      <c r="S250" s="229">
        <v>1</v>
      </c>
      <c r="T250" s="220">
        <f t="shared" si="50"/>
        <v>3.5912308349372392E-9</v>
      </c>
      <c r="V250" s="199">
        <f t="shared" si="53"/>
        <v>-5.9926879068888939E-5</v>
      </c>
    </row>
    <row r="251" spans="1:23" s="175" customFormat="1" ht="12.95" customHeight="1" x14ac:dyDescent="0.2">
      <c r="A251" s="266" t="s">
        <v>949</v>
      </c>
      <c r="B251" s="265" t="s">
        <v>64</v>
      </c>
      <c r="C251" s="267">
        <v>57777.296999999999</v>
      </c>
      <c r="D251" s="264" t="s">
        <v>160</v>
      </c>
      <c r="E251" s="241">
        <f t="shared" si="46"/>
        <v>22974.274872832069</v>
      </c>
      <c r="F251" s="258">
        <f t="shared" si="58"/>
        <v>22974</v>
      </c>
      <c r="G251" s="228">
        <f t="shared" si="56"/>
        <v>0.12954379999428056</v>
      </c>
      <c r="H251" s="217"/>
      <c r="K251" s="175">
        <f t="shared" si="55"/>
        <v>0.12954379999428056</v>
      </c>
      <c r="O251" s="175">
        <f t="shared" ca="1" si="54"/>
        <v>0.13354063518915696</v>
      </c>
      <c r="P251" s="225">
        <f t="shared" si="48"/>
        <v>0.13057990479725096</v>
      </c>
      <c r="Q251" s="230">
        <f t="shared" si="49"/>
        <v>42758.796999999999</v>
      </c>
      <c r="R251" s="229">
        <f t="shared" si="59"/>
        <v>1.0735131627383202E-6</v>
      </c>
      <c r="S251" s="229">
        <v>1</v>
      </c>
      <c r="T251" s="220">
        <f t="shared" si="50"/>
        <v>1.0735131627383202E-6</v>
      </c>
      <c r="V251" s="199">
        <f t="shared" si="53"/>
        <v>-1.0361048029703945E-3</v>
      </c>
    </row>
    <row r="252" spans="1:23" s="175" customFormat="1" ht="12.95" customHeight="1" x14ac:dyDescent="0.2">
      <c r="A252" s="261" t="s">
        <v>1</v>
      </c>
      <c r="B252" s="256" t="s">
        <v>64</v>
      </c>
      <c r="C252" s="257">
        <v>57855.541100000002</v>
      </c>
      <c r="D252" s="257">
        <v>2.5000000000000001E-3</v>
      </c>
      <c r="E252" s="241">
        <f t="shared" si="46"/>
        <v>23140.297309724469</v>
      </c>
      <c r="F252" s="258">
        <f t="shared" si="58"/>
        <v>23140</v>
      </c>
      <c r="G252" s="228">
        <f t="shared" si="56"/>
        <v>0.1401179999957094</v>
      </c>
      <c r="H252" s="217"/>
      <c r="K252" s="175">
        <f t="shared" si="55"/>
        <v>0.1401179999957094</v>
      </c>
      <c r="O252" s="175">
        <f t="shared" ca="1" si="54"/>
        <v>0.13563298285703504</v>
      </c>
      <c r="P252" s="225">
        <f t="shared" si="48"/>
        <v>0.13244937399305612</v>
      </c>
      <c r="Q252" s="230">
        <f t="shared" si="49"/>
        <v>42837.041100000002</v>
      </c>
      <c r="R252" s="229">
        <f t="shared" si="59"/>
        <v>5.8807824768569997E-5</v>
      </c>
      <c r="S252" s="229">
        <v>1</v>
      </c>
      <c r="T252" s="220">
        <f t="shared" si="50"/>
        <v>5.8807824768569997E-5</v>
      </c>
      <c r="V252" s="199">
        <f t="shared" si="53"/>
        <v>7.6686260026532782E-3</v>
      </c>
    </row>
    <row r="253" spans="1:23" s="175" customFormat="1" ht="12.95" customHeight="1" x14ac:dyDescent="0.2">
      <c r="A253" s="261" t="s">
        <v>1</v>
      </c>
      <c r="B253" s="256" t="s">
        <v>64</v>
      </c>
      <c r="C253" s="257">
        <v>57873.441800000001</v>
      </c>
      <c r="D253" s="257">
        <v>1.1000000000000001E-3</v>
      </c>
      <c r="E253" s="241">
        <f t="shared" si="46"/>
        <v>23178.279954244368</v>
      </c>
      <c r="F253" s="258">
        <f t="shared" si="58"/>
        <v>23178</v>
      </c>
      <c r="G253" s="228">
        <f t="shared" si="56"/>
        <v>0.1319385999959195</v>
      </c>
      <c r="H253" s="217"/>
      <c r="K253" s="175">
        <f t="shared" si="55"/>
        <v>0.1319385999959195</v>
      </c>
      <c r="O253" s="175">
        <f t="shared" ca="1" si="54"/>
        <v>0.13611195400992279</v>
      </c>
      <c r="P253" s="225">
        <f t="shared" si="48"/>
        <v>0.13287921170773409</v>
      </c>
      <c r="Q253" s="230">
        <f t="shared" si="49"/>
        <v>42854.941800000001</v>
      </c>
      <c r="R253" s="229">
        <f t="shared" si="59"/>
        <v>8.8475039240276832E-7</v>
      </c>
      <c r="S253" s="229">
        <v>1</v>
      </c>
      <c r="T253" s="220">
        <f t="shared" si="50"/>
        <v>8.8475039240276832E-7</v>
      </c>
      <c r="V253" s="199">
        <f t="shared" si="53"/>
        <v>-9.4061171181458736E-4</v>
      </c>
    </row>
    <row r="254" spans="1:23" s="175" customFormat="1" ht="12.95" customHeight="1" x14ac:dyDescent="0.2">
      <c r="A254" s="250" t="s">
        <v>947</v>
      </c>
      <c r="B254" s="251" t="s">
        <v>64</v>
      </c>
      <c r="C254" s="250">
        <v>57910.673799999997</v>
      </c>
      <c r="D254" s="250">
        <v>1E-4</v>
      </c>
      <c r="E254" s="241">
        <f t="shared" si="46"/>
        <v>23257.280765428561</v>
      </c>
      <c r="F254" s="258">
        <f t="shared" si="58"/>
        <v>23257</v>
      </c>
      <c r="G254" s="228">
        <f t="shared" si="56"/>
        <v>0.13232089999655727</v>
      </c>
      <c r="H254" s="217"/>
      <c r="K254" s="175">
        <f t="shared" si="55"/>
        <v>0.13232089999655727</v>
      </c>
      <c r="O254" s="175">
        <f t="shared" ca="1" si="54"/>
        <v>0.1371077098277684</v>
      </c>
      <c r="P254" s="225">
        <f t="shared" si="48"/>
        <v>0.1337750715566986</v>
      </c>
      <c r="Q254" s="230">
        <f t="shared" si="49"/>
        <v>42892.173799999997</v>
      </c>
      <c r="R254" s="229">
        <f t="shared" si="59"/>
        <v>2.114614926323859E-6</v>
      </c>
      <c r="S254" s="229">
        <v>1</v>
      </c>
      <c r="T254" s="220">
        <f t="shared" si="50"/>
        <v>2.114614926323859E-6</v>
      </c>
      <c r="V254" s="199">
        <f t="shared" si="53"/>
        <v>-1.4541715601413263E-3</v>
      </c>
    </row>
    <row r="255" spans="1:23" s="175" customFormat="1" ht="12.95" customHeight="1" x14ac:dyDescent="0.2">
      <c r="A255" s="245" t="s">
        <v>945</v>
      </c>
      <c r="B255" s="238"/>
      <c r="C255" s="239">
        <v>57918.686500000003</v>
      </c>
      <c r="D255" s="239">
        <v>2.0000000000000001E-4</v>
      </c>
      <c r="E255" s="241">
        <f t="shared" si="46"/>
        <v>23274.282532719499</v>
      </c>
      <c r="F255" s="258">
        <f t="shared" si="58"/>
        <v>23274</v>
      </c>
      <c r="G255" s="228">
        <f t="shared" si="56"/>
        <v>0.13315380000130972</v>
      </c>
      <c r="H255" s="217"/>
      <c r="K255" s="175">
        <f t="shared" si="55"/>
        <v>0.13315380000130972</v>
      </c>
      <c r="O255" s="175">
        <f t="shared" ca="1" si="54"/>
        <v>0.13732198639616552</v>
      </c>
      <c r="P255" s="225">
        <f t="shared" si="48"/>
        <v>0.13396824877365315</v>
      </c>
      <c r="Q255" s="230">
        <f t="shared" si="49"/>
        <v>42900.186500000003</v>
      </c>
      <c r="R255" s="229">
        <f t="shared" si="59"/>
        <v>6.6332680277172779E-7</v>
      </c>
      <c r="S255" s="229">
        <v>1</v>
      </c>
      <c r="T255" s="220">
        <f t="shared" si="50"/>
        <v>6.6332680277172779E-7</v>
      </c>
      <c r="V255" s="199">
        <f t="shared" si="53"/>
        <v>-8.144487723434346E-4</v>
      </c>
    </row>
    <row r="256" spans="1:23" s="175" customFormat="1" ht="12.95" customHeight="1" x14ac:dyDescent="0.2">
      <c r="A256" s="250" t="s">
        <v>947</v>
      </c>
      <c r="B256" s="251" t="s">
        <v>64</v>
      </c>
      <c r="C256" s="250">
        <v>57951.675600000002</v>
      </c>
      <c r="D256" s="250">
        <v>2.9999999999999997E-4</v>
      </c>
      <c r="E256" s="241">
        <f t="shared" si="46"/>
        <v>23344.280536056322</v>
      </c>
      <c r="F256" s="258">
        <f t="shared" si="58"/>
        <v>23344</v>
      </c>
      <c r="G256" s="228">
        <f t="shared" si="56"/>
        <v>0.13221280000288971</v>
      </c>
      <c r="H256" s="217"/>
      <c r="K256" s="175">
        <f t="shared" si="55"/>
        <v>0.13221280000288971</v>
      </c>
      <c r="O256" s="175">
        <f t="shared" ca="1" si="54"/>
        <v>0.13820430167780087</v>
      </c>
      <c r="P256" s="225">
        <f t="shared" si="48"/>
        <v>0.13476516675595757</v>
      </c>
      <c r="Q256" s="230">
        <f t="shared" si="49"/>
        <v>42933.175600000002</v>
      </c>
      <c r="R256" s="229">
        <f t="shared" si="59"/>
        <v>6.514576042166162E-6</v>
      </c>
      <c r="S256" s="229">
        <v>1</v>
      </c>
      <c r="T256" s="220">
        <f t="shared" si="50"/>
        <v>6.514576042166162E-6</v>
      </c>
      <c r="V256" s="199">
        <f t="shared" si="53"/>
        <v>-2.5523667530678584E-3</v>
      </c>
    </row>
    <row r="257" spans="1:22" s="175" customFormat="1" ht="12.95" customHeight="1" x14ac:dyDescent="0.2">
      <c r="A257" s="183" t="s">
        <v>951</v>
      </c>
      <c r="B257" s="238"/>
      <c r="C257" s="239">
        <v>58558.945800000001</v>
      </c>
      <c r="D257" s="239">
        <v>2.9999999999999997E-4</v>
      </c>
      <c r="E257" s="241">
        <f t="shared" si="46"/>
        <v>24632.818310228831</v>
      </c>
      <c r="F257" s="258">
        <f t="shared" si="58"/>
        <v>24632.5</v>
      </c>
      <c r="G257" s="228">
        <f t="shared" si="56"/>
        <v>0.15001525000116089</v>
      </c>
      <c r="H257" s="217"/>
      <c r="K257" s="175">
        <f t="shared" si="55"/>
        <v>0.15001525000116089</v>
      </c>
      <c r="O257" s="175">
        <f t="shared" ca="1" si="54"/>
        <v>0.15444520511190277</v>
      </c>
      <c r="P257" s="225">
        <f t="shared" si="48"/>
        <v>0.14986022604908208</v>
      </c>
      <c r="Q257" s="230">
        <f t="shared" si="49"/>
        <v>43540.445800000001</v>
      </c>
      <c r="R257" s="229">
        <f t="shared" si="59"/>
        <v>2.4032425718132813E-8</v>
      </c>
      <c r="S257" s="229">
        <v>1</v>
      </c>
      <c r="T257" s="220">
        <f t="shared" si="50"/>
        <v>2.4032425718132813E-8</v>
      </c>
      <c r="V257" s="199">
        <f t="shared" si="53"/>
        <v>1.5502395207880881E-4</v>
      </c>
    </row>
    <row r="258" spans="1:22" s="175" customFormat="1" ht="12.95" customHeight="1" x14ac:dyDescent="0.2">
      <c r="A258" s="268" t="s">
        <v>953</v>
      </c>
      <c r="B258" s="269" t="s">
        <v>64</v>
      </c>
      <c r="C258" s="270">
        <v>59043.6754</v>
      </c>
      <c r="D258" s="271">
        <v>5.0000000000000001E-4</v>
      </c>
      <c r="E258" s="241">
        <f t="shared" si="46"/>
        <v>25661.343009546421</v>
      </c>
      <c r="F258" s="258">
        <f t="shared" si="58"/>
        <v>25661</v>
      </c>
      <c r="G258" s="228">
        <f t="shared" si="56"/>
        <v>0.16165570000157459</v>
      </c>
      <c r="H258" s="217"/>
      <c r="K258" s="175">
        <f t="shared" si="55"/>
        <v>0.16165570000157459</v>
      </c>
      <c r="O258" s="175">
        <f t="shared" ref="O258:O265" ca="1" si="60">+C$11+C$12*F258</f>
        <v>0.16740893749993055</v>
      </c>
      <c r="P258" s="225">
        <f t="shared" si="48"/>
        <v>0.16248938923941611</v>
      </c>
      <c r="Q258" s="230">
        <f t="shared" si="49"/>
        <v>44025.1754</v>
      </c>
      <c r="R258" s="229">
        <f t="shared" si="59"/>
        <v>6.950377452927792E-7</v>
      </c>
      <c r="S258" s="229">
        <v>1</v>
      </c>
      <c r="T258" s="220">
        <f t="shared" si="50"/>
        <v>6.950377452927792E-7</v>
      </c>
      <c r="V258" s="199">
        <f t="shared" si="53"/>
        <v>-8.3368923784152282E-4</v>
      </c>
    </row>
    <row r="259" spans="1:22" s="175" customFormat="1" ht="12.95" customHeight="1" x14ac:dyDescent="0.2">
      <c r="A259" s="245" t="s">
        <v>950</v>
      </c>
      <c r="B259" s="238"/>
      <c r="C259" s="239">
        <v>59339.8874</v>
      </c>
      <c r="D259" s="239">
        <v>2.0000000000000001E-4</v>
      </c>
      <c r="E259" s="241">
        <f t="shared" si="46"/>
        <v>26289.861173558402</v>
      </c>
      <c r="F259" s="258">
        <f t="shared" si="58"/>
        <v>26289.5</v>
      </c>
      <c r="G259" s="228">
        <f t="shared" si="56"/>
        <v>0.17021614999248413</v>
      </c>
      <c r="H259" s="217"/>
      <c r="K259" s="175">
        <f t="shared" si="55"/>
        <v>0.17021614999248413</v>
      </c>
      <c r="O259" s="175">
        <f t="shared" ca="1" si="60"/>
        <v>0.17533086827861358</v>
      </c>
      <c r="P259" s="225">
        <f t="shared" si="48"/>
        <v>0.17046036600439382</v>
      </c>
      <c r="Q259" s="230">
        <f t="shared" si="49"/>
        <v>44321.3874</v>
      </c>
      <c r="R259" s="229">
        <f t="shared" si="59"/>
        <v>5.9641460473072387E-8</v>
      </c>
      <c r="S259" s="229">
        <v>1</v>
      </c>
      <c r="T259" s="220">
        <f t="shared" si="50"/>
        <v>5.9641460473072387E-8</v>
      </c>
      <c r="V259" s="199">
        <f t="shared" si="53"/>
        <v>-2.44216011909687E-4</v>
      </c>
    </row>
    <row r="260" spans="1:22" s="175" customFormat="1" ht="12.95" customHeight="1" x14ac:dyDescent="0.2">
      <c r="A260" s="268" t="s">
        <v>954</v>
      </c>
      <c r="B260" s="269" t="s">
        <v>64</v>
      </c>
      <c r="C260" s="270">
        <v>59360.390200000002</v>
      </c>
      <c r="D260" s="271">
        <v>1.1000000000000001E-3</v>
      </c>
      <c r="E260" s="241">
        <f t="shared" si="46"/>
        <v>26333.365090391973</v>
      </c>
      <c r="F260" s="258">
        <f t="shared" si="58"/>
        <v>26333</v>
      </c>
      <c r="G260" s="228">
        <f t="shared" si="56"/>
        <v>0.17206209999858402</v>
      </c>
      <c r="H260" s="217"/>
      <c r="K260" s="175">
        <f t="shared" si="55"/>
        <v>0.17206209999858402</v>
      </c>
      <c r="O260" s="175">
        <f t="shared" ca="1" si="60"/>
        <v>0.17587916420362978</v>
      </c>
      <c r="P260" s="225">
        <f t="shared" si="48"/>
        <v>0.17101917195912991</v>
      </c>
      <c r="Q260" s="230">
        <f t="shared" si="49"/>
        <v>44341.890200000002</v>
      </c>
      <c r="R260" s="229">
        <f t="shared" si="59"/>
        <v>1.0876988954795836E-6</v>
      </c>
      <c r="S260" s="229">
        <v>1</v>
      </c>
      <c r="T260" s="220">
        <f t="shared" si="50"/>
        <v>1.0876988954795836E-6</v>
      </c>
      <c r="V260" s="199">
        <f t="shared" si="53"/>
        <v>1.0429280394541052E-3</v>
      </c>
    </row>
    <row r="261" spans="1:22" s="175" customFormat="1" ht="12.95" customHeight="1" x14ac:dyDescent="0.2">
      <c r="A261" s="272" t="s">
        <v>957</v>
      </c>
      <c r="B261" s="273" t="s">
        <v>60</v>
      </c>
      <c r="C261" s="274">
        <v>59363.756300000001</v>
      </c>
      <c r="D261" s="275">
        <v>2.9999999999999997E-4</v>
      </c>
      <c r="E261" s="241">
        <f t="shared" si="46"/>
        <v>26340.507457993153</v>
      </c>
      <c r="F261" s="276">
        <f t="shared" si="58"/>
        <v>26340</v>
      </c>
      <c r="G261" s="228">
        <f t="shared" si="56"/>
        <v>0.23915799999667797</v>
      </c>
      <c r="H261" s="217"/>
      <c r="K261" s="175">
        <f t="shared" si="55"/>
        <v>0.23915799999667797</v>
      </c>
      <c r="O261" s="175">
        <f t="shared" ca="1" si="60"/>
        <v>0.17596739573179335</v>
      </c>
      <c r="P261" s="225">
        <f t="shared" si="48"/>
        <v>0.17110918080281795</v>
      </c>
      <c r="Q261" s="230">
        <f t="shared" si="49"/>
        <v>44345.256300000001</v>
      </c>
      <c r="R261" s="229">
        <f t="shared" si="59"/>
        <v>4.6306417936786519E-3</v>
      </c>
      <c r="S261" s="229">
        <v>1</v>
      </c>
      <c r="T261" s="220">
        <f t="shared" si="50"/>
        <v>4.6306417936786519E-3</v>
      </c>
      <c r="V261" s="199">
        <f t="shared" si="53"/>
        <v>6.8048819193860022E-2</v>
      </c>
    </row>
    <row r="262" spans="1:22" s="175" customFormat="1" ht="12.95" customHeight="1" x14ac:dyDescent="0.2">
      <c r="A262" s="196" t="s">
        <v>952</v>
      </c>
      <c r="B262" s="277" t="s">
        <v>64</v>
      </c>
      <c r="C262" s="278">
        <v>59413.645299999996</v>
      </c>
      <c r="D262" s="278">
        <v>4.0000000000000002E-4</v>
      </c>
      <c r="E262" s="241">
        <f t="shared" si="46"/>
        <v>26446.364555897326</v>
      </c>
      <c r="F262" s="231">
        <f t="shared" si="58"/>
        <v>26446</v>
      </c>
      <c r="G262" s="228">
        <f t="shared" si="56"/>
        <v>0.17181019999406999</v>
      </c>
      <c r="H262" s="217"/>
      <c r="K262" s="175">
        <f t="shared" si="55"/>
        <v>0.17181019999406999</v>
      </c>
      <c r="O262" s="175">
        <f t="shared" ca="1" si="60"/>
        <v>0.17730347315826969</v>
      </c>
      <c r="P262" s="225">
        <f t="shared" si="48"/>
        <v>0.17247508746118231</v>
      </c>
      <c r="Q262" s="230">
        <f t="shared" si="49"/>
        <v>44395.145299999996</v>
      </c>
      <c r="R262" s="229">
        <f t="shared" si="59"/>
        <v>4.4207534392304165E-7</v>
      </c>
      <c r="S262" s="229">
        <v>1</v>
      </c>
      <c r="T262" s="220">
        <f t="shared" si="50"/>
        <v>4.4207534392304165E-7</v>
      </c>
      <c r="V262" s="199">
        <f t="shared" si="53"/>
        <v>-6.6488746711232394E-4</v>
      </c>
    </row>
    <row r="263" spans="1:22" s="175" customFormat="1" ht="12.95" customHeight="1" x14ac:dyDescent="0.2">
      <c r="A263" s="268" t="s">
        <v>955</v>
      </c>
      <c r="B263" s="269" t="s">
        <v>64</v>
      </c>
      <c r="C263" s="270">
        <v>59413.645299999996</v>
      </c>
      <c r="D263" s="271">
        <v>4.0000000000000002E-4</v>
      </c>
      <c r="E263" s="241">
        <f t="shared" si="46"/>
        <v>26446.364555897326</v>
      </c>
      <c r="F263" s="231">
        <f t="shared" si="58"/>
        <v>26446</v>
      </c>
      <c r="G263" s="228">
        <f t="shared" ref="G263:G265" si="61">C263-(C$7+F263*C$8)</f>
        <v>0.17181019999406999</v>
      </c>
      <c r="H263" s="217"/>
      <c r="K263" s="175">
        <f t="shared" si="55"/>
        <v>0.17181019999406999</v>
      </c>
      <c r="O263" s="175">
        <f t="shared" ca="1" si="60"/>
        <v>0.17730347315826969</v>
      </c>
      <c r="P263" s="225">
        <f t="shared" si="48"/>
        <v>0.17247508746118231</v>
      </c>
      <c r="Q263" s="230">
        <f t="shared" si="49"/>
        <v>44395.145299999996</v>
      </c>
      <c r="R263" s="229">
        <f t="shared" si="59"/>
        <v>4.4207534392304165E-7</v>
      </c>
      <c r="S263" s="229">
        <v>1</v>
      </c>
      <c r="T263" s="220">
        <f t="shared" si="50"/>
        <v>4.4207534392304165E-7</v>
      </c>
      <c r="V263" s="199">
        <f t="shared" si="53"/>
        <v>-6.6488746711232394E-4</v>
      </c>
    </row>
    <row r="264" spans="1:22" s="175" customFormat="1" ht="12.95" customHeight="1" x14ac:dyDescent="0.2">
      <c r="A264" s="268" t="s">
        <v>956</v>
      </c>
      <c r="B264" s="269" t="s">
        <v>64</v>
      </c>
      <c r="C264" s="270">
        <v>59733.656600000002</v>
      </c>
      <c r="D264" s="271">
        <v>4.0000000000000002E-4</v>
      </c>
      <c r="E264" s="241">
        <f t="shared" si="46"/>
        <v>27125.381323412115</v>
      </c>
      <c r="F264" s="231">
        <f t="shared" si="58"/>
        <v>27125</v>
      </c>
      <c r="G264" s="228">
        <f t="shared" si="61"/>
        <v>0.17971250000118744</v>
      </c>
      <c r="H264" s="217"/>
      <c r="K264" s="175">
        <f t="shared" si="55"/>
        <v>0.17971250000118744</v>
      </c>
      <c r="O264" s="175">
        <f t="shared" ca="1" si="60"/>
        <v>0.18586193139013249</v>
      </c>
      <c r="P264" s="225">
        <f t="shared" si="48"/>
        <v>0.18135436421909032</v>
      </c>
      <c r="Q264" s="230">
        <f t="shared" si="49"/>
        <v>44715.156600000002</v>
      </c>
      <c r="R264" s="229">
        <f t="shared" si="59"/>
        <v>2.6957181100298458E-6</v>
      </c>
      <c r="S264" s="229">
        <v>1</v>
      </c>
      <c r="T264" s="220">
        <f t="shared" si="50"/>
        <v>2.6957181100298458E-6</v>
      </c>
      <c r="V264" s="199">
        <f t="shared" si="53"/>
        <v>-1.6418642179028831E-3</v>
      </c>
    </row>
    <row r="265" spans="1:22" s="175" customFormat="1" ht="12.95" customHeight="1" x14ac:dyDescent="0.2">
      <c r="A265" s="268" t="s">
        <v>956</v>
      </c>
      <c r="B265" s="269" t="s">
        <v>64</v>
      </c>
      <c r="C265" s="270">
        <v>59768.533199999998</v>
      </c>
      <c r="D265" s="271">
        <v>1E-4</v>
      </c>
      <c r="E265" s="241">
        <f t="shared" si="46"/>
        <v>27199.38432328713</v>
      </c>
      <c r="F265" s="231">
        <f t="shared" si="58"/>
        <v>27199</v>
      </c>
      <c r="G265" s="228">
        <f t="shared" si="61"/>
        <v>0.18112629999086494</v>
      </c>
      <c r="H265" s="217"/>
      <c r="K265" s="175">
        <f t="shared" si="55"/>
        <v>0.18112629999086494</v>
      </c>
      <c r="O265" s="175">
        <f t="shared" ca="1" si="60"/>
        <v>0.18679466468786124</v>
      </c>
      <c r="P265" s="225">
        <f t="shared" si="48"/>
        <v>0.18233562497886449</v>
      </c>
      <c r="Q265" s="230">
        <f t="shared" si="49"/>
        <v>44750.033199999998</v>
      </c>
      <c r="R265" s="229">
        <f t="shared" si="59"/>
        <v>1.4624669266001235E-6</v>
      </c>
      <c r="S265" s="229">
        <v>1</v>
      </c>
      <c r="T265" s="220">
        <f t="shared" si="50"/>
        <v>1.4624669266001235E-6</v>
      </c>
      <c r="V265" s="199">
        <f t="shared" si="53"/>
        <v>-1.2093249879995549E-3</v>
      </c>
    </row>
    <row r="266" spans="1:22" s="175" customFormat="1" ht="12.95" customHeight="1" x14ac:dyDescent="0.2">
      <c r="A266" s="279" t="s">
        <v>958</v>
      </c>
      <c r="B266" s="280" t="s">
        <v>64</v>
      </c>
      <c r="C266" s="271">
        <v>60148.401100000003</v>
      </c>
      <c r="D266" s="271">
        <v>1E-4</v>
      </c>
      <c r="E266" s="241">
        <f t="shared" ref="E266" si="62">(C266-C$7)/C$8</f>
        <v>28005.407965391736</v>
      </c>
      <c r="F266" s="231">
        <f t="shared" si="58"/>
        <v>28005</v>
      </c>
      <c r="G266" s="228">
        <f t="shared" ref="G266" si="63">C266-(C$7+F266*C$8)</f>
        <v>0.19226850000268314</v>
      </c>
      <c r="H266" s="217"/>
      <c r="K266" s="175">
        <f t="shared" ref="K266" si="64">G266</f>
        <v>0.19226850000268314</v>
      </c>
      <c r="O266" s="175">
        <f t="shared" ref="O266" ca="1" si="65">+C$11+C$12*F266</f>
        <v>0.19695389493069101</v>
      </c>
      <c r="P266" s="225">
        <f t="shared" ref="P266" si="66">+D$11+D$12*F266+D$13*F266^2</f>
        <v>0.19319605882128038</v>
      </c>
      <c r="Q266" s="230">
        <f t="shared" ref="Q266" si="67">C266-15018.5</f>
        <v>45129.901100000003</v>
      </c>
      <c r="R266" s="229">
        <f t="shared" ref="R266" si="68">(G266-P266)^2</f>
        <v>8.6036536195750857E-7</v>
      </c>
      <c r="S266" s="229">
        <v>1</v>
      </c>
      <c r="T266" s="220">
        <f t="shared" ref="T266" si="69">R266*S266</f>
        <v>8.6036536195750857E-7</v>
      </c>
      <c r="V266" s="199">
        <f t="shared" ref="V266" si="70">+G266-P266</f>
        <v>-9.2755881859724054E-4</v>
      </c>
    </row>
    <row r="267" spans="1:22" s="175" customFormat="1" ht="12.95" customHeight="1" x14ac:dyDescent="0.2">
      <c r="A267" s="217"/>
      <c r="B267" s="238"/>
      <c r="C267" s="239"/>
      <c r="D267" s="239"/>
      <c r="G267" s="228"/>
    </row>
    <row r="268" spans="1:22" s="175" customFormat="1" ht="12.95" customHeight="1" x14ac:dyDescent="0.2">
      <c r="A268" s="217"/>
      <c r="B268" s="238"/>
      <c r="C268" s="239"/>
      <c r="D268" s="239"/>
      <c r="G268" s="228"/>
    </row>
    <row r="269" spans="1:22" s="175" customFormat="1" ht="12.95" customHeight="1" x14ac:dyDescent="0.2">
      <c r="A269" s="217"/>
      <c r="B269" s="238"/>
      <c r="C269" s="239"/>
      <c r="D269" s="239"/>
      <c r="G269" s="228"/>
    </row>
    <row r="270" spans="1:22" s="175" customFormat="1" ht="12.95" customHeight="1" x14ac:dyDescent="0.2">
      <c r="A270" s="217"/>
      <c r="B270" s="238"/>
      <c r="C270" s="239"/>
      <c r="D270" s="239"/>
      <c r="G270" s="228"/>
    </row>
    <row r="271" spans="1:22" s="175" customFormat="1" ht="12.95" customHeight="1" x14ac:dyDescent="0.2">
      <c r="A271" s="217"/>
      <c r="B271" s="238"/>
      <c r="C271" s="239"/>
      <c r="D271" s="239"/>
      <c r="G271" s="228"/>
    </row>
    <row r="272" spans="1:22" s="175" customFormat="1" ht="12.95" customHeight="1" x14ac:dyDescent="0.2">
      <c r="A272" s="217"/>
      <c r="B272" s="238"/>
      <c r="C272" s="239"/>
      <c r="D272" s="239"/>
      <c r="G272" s="228"/>
    </row>
    <row r="273" spans="1:7" s="175" customFormat="1" ht="12.95" customHeight="1" x14ac:dyDescent="0.2">
      <c r="A273" s="217"/>
      <c r="B273" s="238"/>
      <c r="C273" s="239"/>
      <c r="D273" s="239"/>
      <c r="G273" s="228"/>
    </row>
    <row r="274" spans="1:7" s="175" customFormat="1" ht="12.95" customHeight="1" x14ac:dyDescent="0.2">
      <c r="A274" s="217"/>
      <c r="B274" s="238"/>
      <c r="C274" s="239"/>
      <c r="D274" s="239"/>
      <c r="G274" s="228"/>
    </row>
    <row r="275" spans="1:7" s="175" customFormat="1" ht="12.95" customHeight="1" x14ac:dyDescent="0.2">
      <c r="A275" s="217"/>
      <c r="B275" s="238"/>
      <c r="C275" s="239"/>
      <c r="D275" s="239"/>
      <c r="G275" s="228"/>
    </row>
    <row r="276" spans="1:7" s="175" customFormat="1" ht="12.95" customHeight="1" x14ac:dyDescent="0.2">
      <c r="A276" s="217"/>
      <c r="B276" s="238"/>
      <c r="C276" s="239"/>
      <c r="D276" s="239"/>
      <c r="G276" s="178"/>
    </row>
    <row r="277" spans="1:7" s="175" customFormat="1" ht="12.95" customHeight="1" x14ac:dyDescent="0.2">
      <c r="A277" s="217"/>
      <c r="B277" s="238"/>
      <c r="C277" s="239"/>
      <c r="D277" s="239"/>
      <c r="G277" s="178"/>
    </row>
    <row r="278" spans="1:7" s="175" customFormat="1" ht="12.95" customHeight="1" x14ac:dyDescent="0.2">
      <c r="A278" s="217"/>
      <c r="B278" s="238"/>
      <c r="C278" s="239"/>
      <c r="D278" s="239"/>
      <c r="G278" s="178"/>
    </row>
    <row r="279" spans="1:7" s="175" customFormat="1" ht="12.95" customHeight="1" x14ac:dyDescent="0.2">
      <c r="A279" s="217"/>
      <c r="B279" s="238"/>
      <c r="C279" s="239"/>
      <c r="D279" s="239"/>
      <c r="G279" s="178"/>
    </row>
    <row r="280" spans="1:7" s="175" customFormat="1" ht="12.95" customHeight="1" x14ac:dyDescent="0.2">
      <c r="A280" s="217"/>
      <c r="B280" s="238"/>
      <c r="C280" s="239"/>
      <c r="D280" s="239"/>
      <c r="G280" s="178"/>
    </row>
    <row r="281" spans="1:7" s="175" customFormat="1" ht="12.95" customHeight="1" x14ac:dyDescent="0.2">
      <c r="A281" s="217"/>
      <c r="B281" s="238"/>
      <c r="C281" s="239"/>
      <c r="D281" s="239"/>
      <c r="G281" s="178"/>
    </row>
    <row r="282" spans="1:7" s="175" customFormat="1" ht="12.95" customHeight="1" x14ac:dyDescent="0.2">
      <c r="A282" s="217"/>
      <c r="B282" s="238"/>
      <c r="C282" s="239"/>
      <c r="D282" s="239"/>
      <c r="G282" s="178"/>
    </row>
    <row r="283" spans="1:7" s="175" customFormat="1" ht="12.95" customHeight="1" x14ac:dyDescent="0.2">
      <c r="A283" s="217"/>
      <c r="B283" s="238"/>
      <c r="C283" s="239"/>
      <c r="D283" s="239"/>
      <c r="G283" s="178"/>
    </row>
    <row r="284" spans="1:7" s="175" customFormat="1" ht="12.95" customHeight="1" x14ac:dyDescent="0.2">
      <c r="A284" s="217"/>
      <c r="B284" s="238"/>
      <c r="C284" s="239"/>
      <c r="D284" s="239"/>
      <c r="G284" s="178"/>
    </row>
    <row r="285" spans="1:7" s="175" customFormat="1" ht="12.95" customHeight="1" x14ac:dyDescent="0.2">
      <c r="A285" s="217"/>
      <c r="B285" s="238"/>
      <c r="C285" s="239"/>
      <c r="D285" s="239"/>
      <c r="G285" s="178"/>
    </row>
    <row r="286" spans="1:7" s="175" customFormat="1" ht="12.95" customHeight="1" x14ac:dyDescent="0.2">
      <c r="A286" s="217"/>
      <c r="B286" s="238"/>
      <c r="C286" s="239"/>
      <c r="D286" s="239"/>
      <c r="G286" s="178"/>
    </row>
    <row r="287" spans="1:7" s="175" customFormat="1" ht="12.95" customHeight="1" x14ac:dyDescent="0.2">
      <c r="A287" s="217"/>
      <c r="B287" s="238"/>
      <c r="C287" s="239"/>
      <c r="D287" s="239"/>
      <c r="G287" s="178"/>
    </row>
    <row r="288" spans="1:7" s="175" customFormat="1" ht="12.95" customHeight="1" x14ac:dyDescent="0.2">
      <c r="A288" s="217"/>
      <c r="B288" s="238"/>
      <c r="C288" s="239"/>
      <c r="D288" s="239"/>
      <c r="G288" s="178"/>
    </row>
    <row r="289" spans="1:7" s="175" customFormat="1" ht="12.95" customHeight="1" x14ac:dyDescent="0.2">
      <c r="A289" s="217"/>
      <c r="B289" s="238"/>
      <c r="C289" s="239"/>
      <c r="D289" s="239"/>
      <c r="G289" s="178"/>
    </row>
    <row r="290" spans="1:7" s="175" customFormat="1" ht="12.95" customHeight="1" x14ac:dyDescent="0.2">
      <c r="A290" s="217"/>
      <c r="B290" s="238"/>
      <c r="C290" s="239"/>
      <c r="D290" s="239"/>
      <c r="G290" s="178"/>
    </row>
    <row r="291" spans="1:7" s="175" customFormat="1" ht="12.95" customHeight="1" x14ac:dyDescent="0.2">
      <c r="A291" s="217"/>
      <c r="B291" s="238"/>
      <c r="C291" s="239"/>
      <c r="D291" s="239"/>
      <c r="G291" s="178"/>
    </row>
    <row r="292" spans="1:7" s="175" customFormat="1" ht="12.95" customHeight="1" x14ac:dyDescent="0.2">
      <c r="A292" s="217"/>
      <c r="B292" s="238"/>
      <c r="C292" s="239"/>
      <c r="D292" s="239"/>
      <c r="G292" s="178"/>
    </row>
    <row r="293" spans="1:7" s="175" customFormat="1" ht="12.95" customHeight="1" x14ac:dyDescent="0.2">
      <c r="A293" s="217"/>
      <c r="B293" s="238"/>
      <c r="C293" s="239"/>
      <c r="D293" s="239"/>
      <c r="G293" s="178"/>
    </row>
    <row r="294" spans="1:7" s="175" customFormat="1" ht="12.95" customHeight="1" x14ac:dyDescent="0.2">
      <c r="A294" s="217"/>
      <c r="B294" s="238"/>
      <c r="C294" s="239"/>
      <c r="D294" s="239"/>
      <c r="G294" s="178"/>
    </row>
    <row r="295" spans="1:7" s="175" customFormat="1" ht="12.95" customHeight="1" x14ac:dyDescent="0.2">
      <c r="A295" s="217"/>
      <c r="B295" s="238"/>
      <c r="C295" s="239"/>
      <c r="D295" s="239"/>
      <c r="G295" s="178"/>
    </row>
    <row r="296" spans="1:7" s="175" customFormat="1" ht="12.95" customHeight="1" x14ac:dyDescent="0.2">
      <c r="A296" s="217"/>
      <c r="B296" s="238"/>
      <c r="C296" s="239"/>
      <c r="D296" s="239"/>
      <c r="G296" s="178"/>
    </row>
    <row r="297" spans="1:7" s="175" customFormat="1" ht="12.95" customHeight="1" x14ac:dyDescent="0.2">
      <c r="A297" s="217"/>
      <c r="B297" s="238"/>
      <c r="C297" s="239"/>
      <c r="D297" s="239"/>
      <c r="G297" s="178"/>
    </row>
    <row r="298" spans="1:7" s="175" customFormat="1" ht="12.95" customHeight="1" x14ac:dyDescent="0.2">
      <c r="A298" s="217"/>
      <c r="B298" s="238"/>
      <c r="C298" s="239"/>
      <c r="D298" s="239"/>
      <c r="G298" s="178"/>
    </row>
    <row r="299" spans="1:7" s="175" customFormat="1" ht="12.95" customHeight="1" x14ac:dyDescent="0.2">
      <c r="A299" s="217"/>
      <c r="B299" s="238"/>
      <c r="C299" s="239"/>
      <c r="D299" s="239"/>
      <c r="G299" s="178"/>
    </row>
    <row r="300" spans="1:7" s="175" customFormat="1" ht="12.95" customHeight="1" x14ac:dyDescent="0.2">
      <c r="A300" s="217"/>
      <c r="B300" s="238"/>
      <c r="C300" s="239"/>
      <c r="D300" s="239"/>
      <c r="G300" s="178"/>
    </row>
    <row r="301" spans="1:7" s="175" customFormat="1" ht="12.95" customHeight="1" x14ac:dyDescent="0.2">
      <c r="A301" s="217"/>
      <c r="B301" s="238"/>
      <c r="C301" s="239"/>
      <c r="D301" s="239"/>
      <c r="G301" s="178"/>
    </row>
    <row r="302" spans="1:7" s="175" customFormat="1" ht="12.95" customHeight="1" x14ac:dyDescent="0.2">
      <c r="A302" s="217"/>
      <c r="B302" s="238"/>
      <c r="C302" s="239"/>
      <c r="D302" s="239"/>
      <c r="G302" s="178"/>
    </row>
    <row r="303" spans="1:7" s="175" customFormat="1" ht="12.95" customHeight="1" x14ac:dyDescent="0.2">
      <c r="A303" s="217"/>
      <c r="B303" s="238"/>
      <c r="C303" s="239"/>
      <c r="D303" s="239"/>
      <c r="G303" s="178"/>
    </row>
    <row r="304" spans="1:7" s="175" customFormat="1" ht="12.95" customHeight="1" x14ac:dyDescent="0.2">
      <c r="A304" s="217"/>
      <c r="B304" s="238"/>
      <c r="C304" s="239"/>
      <c r="D304" s="239"/>
      <c r="G304" s="178"/>
    </row>
    <row r="305" spans="1:7" s="175" customFormat="1" ht="12.95" customHeight="1" x14ac:dyDescent="0.2">
      <c r="A305" s="217"/>
      <c r="B305" s="238"/>
      <c r="C305" s="239"/>
      <c r="D305" s="239"/>
      <c r="G305" s="178"/>
    </row>
    <row r="306" spans="1:7" s="175" customFormat="1" ht="12.95" customHeight="1" x14ac:dyDescent="0.2">
      <c r="A306" s="217"/>
      <c r="B306" s="238"/>
      <c r="C306" s="239"/>
      <c r="D306" s="239"/>
      <c r="G306" s="178"/>
    </row>
    <row r="307" spans="1:7" s="175" customFormat="1" ht="12.95" customHeight="1" x14ac:dyDescent="0.2">
      <c r="A307" s="217"/>
      <c r="B307" s="238"/>
      <c r="C307" s="239"/>
      <c r="D307" s="239"/>
      <c r="G307" s="178"/>
    </row>
    <row r="308" spans="1:7" s="175" customFormat="1" ht="12.95" customHeight="1" x14ac:dyDescent="0.2">
      <c r="A308" s="217"/>
      <c r="B308" s="238"/>
      <c r="C308" s="239"/>
      <c r="D308" s="239"/>
      <c r="G308" s="178"/>
    </row>
    <row r="309" spans="1:7" s="175" customFormat="1" ht="12.95" customHeight="1" x14ac:dyDescent="0.2">
      <c r="A309" s="217"/>
      <c r="B309" s="238"/>
      <c r="C309" s="239"/>
      <c r="D309" s="239"/>
      <c r="G309" s="178"/>
    </row>
    <row r="310" spans="1:7" ht="12.95" customHeight="1" x14ac:dyDescent="0.2">
      <c r="A310" s="171"/>
      <c r="B310" s="123"/>
      <c r="C310" s="125"/>
      <c r="D310" s="125"/>
    </row>
    <row r="311" spans="1:7" ht="12.95" customHeight="1" x14ac:dyDescent="0.2">
      <c r="A311" s="171"/>
      <c r="B311" s="123"/>
      <c r="C311" s="125"/>
      <c r="D311" s="125"/>
    </row>
    <row r="312" spans="1:7" ht="12.95" customHeight="1" x14ac:dyDescent="0.2">
      <c r="A312" s="171"/>
      <c r="B312" s="123"/>
      <c r="C312" s="125"/>
      <c r="D312" s="125"/>
    </row>
    <row r="313" spans="1:7" ht="12.95" customHeight="1" x14ac:dyDescent="0.2">
      <c r="A313" s="171"/>
      <c r="B313" s="123"/>
      <c r="C313" s="125"/>
      <c r="D313" s="125"/>
    </row>
    <row r="314" spans="1:7" ht="12.95" customHeight="1" x14ac:dyDescent="0.2">
      <c r="A314" s="171"/>
      <c r="B314" s="123"/>
      <c r="C314" s="125"/>
      <c r="D314" s="125"/>
    </row>
    <row r="315" spans="1:7" ht="12.95" customHeight="1" x14ac:dyDescent="0.2">
      <c r="A315" s="171"/>
      <c r="B315" s="123"/>
      <c r="C315" s="125"/>
      <c r="D315" s="125"/>
    </row>
    <row r="316" spans="1:7" ht="12.95" customHeight="1" x14ac:dyDescent="0.2">
      <c r="A316" s="171"/>
      <c r="B316" s="123"/>
      <c r="C316" s="125"/>
      <c r="D316" s="125"/>
    </row>
    <row r="317" spans="1:7" ht="12.95" customHeight="1" x14ac:dyDescent="0.2">
      <c r="A317" s="171"/>
      <c r="B317" s="123"/>
      <c r="C317" s="125"/>
      <c r="D317" s="125"/>
    </row>
    <row r="318" spans="1:7" ht="12.95" customHeight="1" x14ac:dyDescent="0.2">
      <c r="A318" s="171"/>
      <c r="B318" s="123"/>
      <c r="C318" s="125"/>
      <c r="D318" s="171"/>
    </row>
    <row r="319" spans="1:7" ht="12.95" customHeight="1" x14ac:dyDescent="0.2">
      <c r="A319" s="171"/>
      <c r="B319" s="123"/>
      <c r="C319" s="125"/>
      <c r="D319" s="171"/>
    </row>
    <row r="320" spans="1:7" ht="12.95" customHeight="1" x14ac:dyDescent="0.2">
      <c r="A320" s="171"/>
      <c r="B320" s="123"/>
      <c r="C320" s="125"/>
      <c r="D320" s="171"/>
    </row>
    <row r="321" spans="1:4" ht="12.95" customHeight="1" x14ac:dyDescent="0.2">
      <c r="A321" s="171"/>
      <c r="B321" s="123"/>
      <c r="C321" s="171"/>
      <c r="D321" s="171"/>
    </row>
    <row r="322" spans="1:4" ht="12.95" customHeight="1" x14ac:dyDescent="0.2">
      <c r="A322" s="171"/>
      <c r="B322" s="123"/>
      <c r="C322" s="171"/>
      <c r="D322" s="171"/>
    </row>
    <row r="323" spans="1:4" ht="12.95" customHeight="1" x14ac:dyDescent="0.2">
      <c r="A323" s="171"/>
      <c r="B323" s="123"/>
      <c r="C323" s="171"/>
      <c r="D323" s="171"/>
    </row>
    <row r="324" spans="1:4" ht="12.95" customHeight="1" x14ac:dyDescent="0.2">
      <c r="A324" s="171"/>
      <c r="B324" s="123"/>
      <c r="C324" s="171"/>
      <c r="D324" s="171"/>
    </row>
    <row r="325" spans="1:4" ht="12.95" customHeight="1" x14ac:dyDescent="0.2">
      <c r="A325" s="171"/>
      <c r="B325" s="123"/>
      <c r="C325" s="171"/>
      <c r="D325" s="171"/>
    </row>
    <row r="326" spans="1:4" ht="12.95" customHeight="1" x14ac:dyDescent="0.2">
      <c r="A326" s="171"/>
      <c r="B326" s="123"/>
      <c r="C326" s="171"/>
      <c r="D326" s="171"/>
    </row>
    <row r="327" spans="1:4" ht="12.95" customHeight="1" x14ac:dyDescent="0.2">
      <c r="A327" s="171"/>
      <c r="B327" s="123"/>
      <c r="C327" s="171"/>
      <c r="D327" s="171"/>
    </row>
    <row r="328" spans="1:4" ht="12.95" customHeight="1" x14ac:dyDescent="0.2">
      <c r="A328" s="171"/>
      <c r="B328" s="123"/>
      <c r="C328" s="171"/>
      <c r="D328" s="171"/>
    </row>
    <row r="329" spans="1:4" ht="12.95" customHeight="1" x14ac:dyDescent="0.2">
      <c r="A329" s="171"/>
      <c r="B329" s="123"/>
      <c r="C329" s="171"/>
      <c r="D329" s="171"/>
    </row>
    <row r="330" spans="1:4" ht="12.95" customHeight="1" x14ac:dyDescent="0.2">
      <c r="A330" s="171"/>
      <c r="B330" s="123"/>
      <c r="C330" s="171"/>
      <c r="D330" s="171"/>
    </row>
    <row r="331" spans="1:4" ht="12.95" customHeight="1" x14ac:dyDescent="0.2">
      <c r="A331" s="171"/>
      <c r="B331" s="123"/>
      <c r="C331" s="171"/>
      <c r="D331" s="171"/>
    </row>
    <row r="332" spans="1:4" ht="12.95" customHeight="1" x14ac:dyDescent="0.2">
      <c r="A332" s="171"/>
      <c r="B332" s="123"/>
      <c r="C332" s="171"/>
      <c r="D332" s="171"/>
    </row>
    <row r="333" spans="1:4" ht="12.95" customHeight="1" x14ac:dyDescent="0.2">
      <c r="A333" s="171"/>
      <c r="B333" s="123"/>
      <c r="C333" s="171"/>
      <c r="D333" s="171"/>
    </row>
    <row r="334" spans="1:4" ht="12.95" customHeight="1" x14ac:dyDescent="0.2">
      <c r="A334" s="171"/>
      <c r="B334" s="123"/>
      <c r="C334" s="171"/>
      <c r="D334" s="171"/>
    </row>
    <row r="335" spans="1:4" ht="12.95" customHeight="1" x14ac:dyDescent="0.2">
      <c r="A335" s="171"/>
      <c r="B335" s="123"/>
      <c r="C335" s="171"/>
      <c r="D335" s="171"/>
    </row>
    <row r="336" spans="1:4" ht="12.95" customHeight="1" x14ac:dyDescent="0.2">
      <c r="A336" s="171"/>
      <c r="B336" s="123"/>
      <c r="C336" s="171"/>
      <c r="D336" s="171"/>
    </row>
    <row r="337" spans="1:4" ht="12.95" customHeight="1" x14ac:dyDescent="0.2">
      <c r="A337" s="171"/>
      <c r="B337" s="123"/>
      <c r="C337" s="171"/>
      <c r="D337" s="171"/>
    </row>
    <row r="338" spans="1:4" ht="12.95" customHeight="1" x14ac:dyDescent="0.2">
      <c r="A338" s="171"/>
      <c r="B338" s="123"/>
      <c r="C338" s="171"/>
      <c r="D338" s="171"/>
    </row>
    <row r="339" spans="1:4" ht="12.95" customHeight="1" x14ac:dyDescent="0.2">
      <c r="A339" s="171"/>
      <c r="B339" s="123"/>
      <c r="C339" s="171"/>
      <c r="D339" s="171"/>
    </row>
    <row r="340" spans="1:4" ht="12.95" customHeight="1" x14ac:dyDescent="0.2">
      <c r="A340" s="171"/>
      <c r="B340" s="123"/>
      <c r="C340" s="171"/>
      <c r="D340" s="171"/>
    </row>
    <row r="341" spans="1:4" ht="12.95" customHeight="1" x14ac:dyDescent="0.2">
      <c r="A341" s="171"/>
      <c r="B341" s="123"/>
      <c r="C341" s="171"/>
      <c r="D341" s="171"/>
    </row>
    <row r="342" spans="1:4" ht="12.95" customHeight="1" x14ac:dyDescent="0.2">
      <c r="A342" s="171"/>
      <c r="B342" s="123"/>
      <c r="C342" s="171"/>
      <c r="D342" s="171"/>
    </row>
    <row r="343" spans="1:4" ht="12.95" customHeight="1" x14ac:dyDescent="0.2">
      <c r="A343" s="171"/>
      <c r="B343" s="123"/>
      <c r="C343" s="171"/>
      <c r="D343" s="171"/>
    </row>
    <row r="344" spans="1:4" ht="12.95" customHeight="1" x14ac:dyDescent="0.2">
      <c r="A344" s="171"/>
      <c r="B344" s="123"/>
      <c r="C344" s="171"/>
      <c r="D344" s="171"/>
    </row>
    <row r="345" spans="1:4" ht="12.95" customHeight="1" x14ac:dyDescent="0.2">
      <c r="A345" s="171"/>
      <c r="B345" s="123"/>
      <c r="C345" s="171"/>
      <c r="D345" s="171"/>
    </row>
    <row r="346" spans="1:4" ht="12.95" customHeight="1" x14ac:dyDescent="0.2">
      <c r="A346" s="171"/>
      <c r="B346" s="123"/>
      <c r="C346" s="171"/>
      <c r="D346" s="171"/>
    </row>
    <row r="347" spans="1:4" ht="12.95" customHeight="1" x14ac:dyDescent="0.2">
      <c r="A347" s="171"/>
      <c r="B347" s="123"/>
      <c r="C347" s="171"/>
      <c r="D347" s="171"/>
    </row>
    <row r="348" spans="1:4" ht="12.95" customHeight="1" x14ac:dyDescent="0.2">
      <c r="A348" s="171"/>
      <c r="B348" s="123"/>
      <c r="C348" s="171"/>
      <c r="D348" s="171"/>
    </row>
    <row r="349" spans="1:4" ht="12.95" customHeight="1" x14ac:dyDescent="0.2">
      <c r="A349" s="171"/>
      <c r="B349" s="123"/>
      <c r="C349" s="171"/>
      <c r="D349" s="171"/>
    </row>
    <row r="350" spans="1:4" ht="12.95" customHeight="1" x14ac:dyDescent="0.2">
      <c r="A350" s="171"/>
      <c r="B350" s="123"/>
      <c r="C350" s="171"/>
      <c r="D350" s="171"/>
    </row>
    <row r="351" spans="1:4" ht="12.95" customHeight="1" x14ac:dyDescent="0.2">
      <c r="A351" s="171"/>
      <c r="B351" s="123"/>
      <c r="C351" s="171"/>
      <c r="D351" s="171"/>
    </row>
    <row r="352" spans="1:4" ht="12.95" customHeight="1" x14ac:dyDescent="0.2">
      <c r="A352" s="171"/>
      <c r="B352" s="123"/>
      <c r="C352" s="171"/>
      <c r="D352" s="171"/>
    </row>
    <row r="353" spans="1:4" ht="12.95" customHeight="1" x14ac:dyDescent="0.2">
      <c r="A353" s="171"/>
      <c r="B353" s="123"/>
      <c r="C353" s="171"/>
      <c r="D353" s="171"/>
    </row>
    <row r="354" spans="1:4" ht="12.95" customHeight="1" x14ac:dyDescent="0.2">
      <c r="A354" s="171"/>
      <c r="B354" s="123"/>
      <c r="C354" s="171"/>
      <c r="D354" s="171"/>
    </row>
    <row r="355" spans="1:4" ht="12.95" customHeight="1" x14ac:dyDescent="0.2">
      <c r="A355" s="171"/>
      <c r="B355" s="123"/>
      <c r="C355" s="171"/>
      <c r="D355" s="171"/>
    </row>
    <row r="356" spans="1:4" ht="12.95" customHeight="1" x14ac:dyDescent="0.2">
      <c r="A356" s="171"/>
      <c r="B356" s="123"/>
      <c r="C356" s="171"/>
      <c r="D356" s="171"/>
    </row>
    <row r="357" spans="1:4" ht="12.95" customHeight="1" x14ac:dyDescent="0.2">
      <c r="A357" s="171"/>
      <c r="B357" s="123"/>
      <c r="C357" s="171"/>
      <c r="D357" s="171"/>
    </row>
    <row r="358" spans="1:4" ht="12.95" customHeight="1" x14ac:dyDescent="0.2">
      <c r="A358" s="171"/>
      <c r="B358" s="123"/>
      <c r="C358" s="171"/>
      <c r="D358" s="171"/>
    </row>
    <row r="359" spans="1:4" ht="12.95" customHeight="1" x14ac:dyDescent="0.2">
      <c r="A359" s="171"/>
      <c r="B359" s="123"/>
      <c r="C359" s="171"/>
      <c r="D359" s="171"/>
    </row>
    <row r="360" spans="1:4" ht="12.95" customHeight="1" x14ac:dyDescent="0.2">
      <c r="A360" s="171"/>
      <c r="B360" s="123"/>
      <c r="C360" s="171"/>
      <c r="D360" s="171"/>
    </row>
    <row r="361" spans="1:4" ht="12.95" customHeight="1" x14ac:dyDescent="0.2">
      <c r="A361" s="171"/>
      <c r="B361" s="123"/>
      <c r="C361" s="171"/>
      <c r="D361" s="171"/>
    </row>
    <row r="362" spans="1:4" ht="12.95" customHeight="1" x14ac:dyDescent="0.2">
      <c r="A362" s="171"/>
      <c r="B362" s="123"/>
      <c r="C362" s="171"/>
      <c r="D362" s="171"/>
    </row>
    <row r="363" spans="1:4" ht="12.95" customHeight="1" x14ac:dyDescent="0.2">
      <c r="A363" s="171"/>
      <c r="B363" s="123"/>
      <c r="C363" s="171"/>
      <c r="D363" s="171"/>
    </row>
    <row r="364" spans="1:4" ht="12.95" customHeight="1" x14ac:dyDescent="0.2">
      <c r="A364" s="171"/>
      <c r="B364" s="123"/>
      <c r="C364" s="171"/>
      <c r="D364" s="171"/>
    </row>
    <row r="365" spans="1:4" ht="12.95" customHeight="1" x14ac:dyDescent="0.2">
      <c r="A365" s="171"/>
      <c r="B365" s="123"/>
      <c r="C365" s="171"/>
      <c r="D365" s="171"/>
    </row>
    <row r="366" spans="1:4" ht="12.95" customHeight="1" x14ac:dyDescent="0.2">
      <c r="A366" s="171"/>
      <c r="B366" s="123"/>
      <c r="C366" s="171"/>
      <c r="D366" s="171"/>
    </row>
    <row r="367" spans="1:4" ht="12.95" customHeight="1" x14ac:dyDescent="0.2">
      <c r="A367" s="171"/>
      <c r="B367" s="123"/>
      <c r="C367" s="171"/>
      <c r="D367" s="171"/>
    </row>
    <row r="368" spans="1:4" ht="12.95" customHeight="1" x14ac:dyDescent="0.2">
      <c r="A368" s="171"/>
      <c r="B368" s="123"/>
      <c r="C368" s="171"/>
      <c r="D368" s="171"/>
    </row>
    <row r="369" spans="1:4" ht="12.95" customHeight="1" x14ac:dyDescent="0.2">
      <c r="A369" s="171"/>
      <c r="B369" s="123"/>
      <c r="C369" s="171"/>
      <c r="D369" s="171"/>
    </row>
    <row r="370" spans="1:4" ht="12.95" customHeight="1" x14ac:dyDescent="0.2">
      <c r="A370" s="171"/>
      <c r="B370" s="123"/>
      <c r="C370" s="171"/>
      <c r="D370" s="171"/>
    </row>
    <row r="371" spans="1:4" ht="12.95" customHeight="1" x14ac:dyDescent="0.2">
      <c r="A371" s="171"/>
      <c r="B371" s="123"/>
      <c r="C371" s="171"/>
      <c r="D371" s="171"/>
    </row>
    <row r="372" spans="1:4" ht="12.95" customHeight="1" x14ac:dyDescent="0.2">
      <c r="A372" s="171"/>
      <c r="B372" s="123"/>
      <c r="C372" s="171"/>
      <c r="D372" s="171"/>
    </row>
    <row r="373" spans="1:4" ht="12.95" customHeight="1" x14ac:dyDescent="0.2">
      <c r="A373" s="171"/>
      <c r="B373" s="123"/>
      <c r="C373" s="171"/>
      <c r="D373" s="171"/>
    </row>
    <row r="374" spans="1:4" ht="12.95" customHeight="1" x14ac:dyDescent="0.2">
      <c r="A374" s="171"/>
      <c r="B374" s="123"/>
      <c r="C374" s="171"/>
      <c r="D374" s="171"/>
    </row>
    <row r="375" spans="1:4" ht="12.95" customHeight="1" x14ac:dyDescent="0.2">
      <c r="A375" s="171"/>
      <c r="B375" s="123"/>
      <c r="C375" s="171"/>
      <c r="D375" s="171"/>
    </row>
    <row r="376" spans="1:4" ht="12.95" customHeight="1" x14ac:dyDescent="0.2">
      <c r="A376" s="171"/>
      <c r="B376" s="123"/>
      <c r="C376" s="171"/>
      <c r="D376" s="171"/>
    </row>
    <row r="377" spans="1:4" ht="12.95" customHeight="1" x14ac:dyDescent="0.2">
      <c r="A377" s="171"/>
      <c r="B377" s="123"/>
      <c r="C377" s="171"/>
      <c r="D377" s="171"/>
    </row>
    <row r="378" spans="1:4" ht="12.95" customHeight="1" x14ac:dyDescent="0.2">
      <c r="A378" s="171"/>
      <c r="B378" s="123"/>
      <c r="C378" s="171"/>
      <c r="D378" s="171"/>
    </row>
    <row r="379" spans="1:4" ht="12.95" customHeight="1" x14ac:dyDescent="0.2">
      <c r="A379" s="171"/>
      <c r="B379" s="123"/>
      <c r="C379" s="171"/>
      <c r="D379" s="171"/>
    </row>
    <row r="380" spans="1:4" ht="12.95" customHeight="1" x14ac:dyDescent="0.2">
      <c r="A380" s="171"/>
      <c r="B380" s="123"/>
      <c r="C380" s="171"/>
      <c r="D380" s="171"/>
    </row>
    <row r="381" spans="1:4" ht="12.95" customHeight="1" x14ac:dyDescent="0.2">
      <c r="A381" s="171"/>
      <c r="B381" s="123"/>
      <c r="C381" s="171"/>
      <c r="D381" s="171"/>
    </row>
    <row r="382" spans="1:4" ht="12.95" customHeight="1" x14ac:dyDescent="0.2">
      <c r="A382" s="171"/>
      <c r="B382" s="123"/>
      <c r="C382" s="171"/>
      <c r="D382" s="171"/>
    </row>
    <row r="383" spans="1:4" ht="12.95" customHeight="1" x14ac:dyDescent="0.2">
      <c r="A383" s="171"/>
      <c r="B383" s="123"/>
      <c r="C383" s="171"/>
      <c r="D383" s="171"/>
    </row>
    <row r="384" spans="1:4" ht="12.95" customHeight="1" x14ac:dyDescent="0.2">
      <c r="A384" s="171"/>
      <c r="B384" s="123"/>
      <c r="C384" s="171"/>
      <c r="D384" s="171"/>
    </row>
    <row r="385" spans="1:4" ht="12.95" customHeight="1" x14ac:dyDescent="0.2">
      <c r="A385" s="171"/>
      <c r="B385" s="123"/>
      <c r="C385" s="171"/>
      <c r="D385" s="171"/>
    </row>
    <row r="386" spans="1:4" ht="12.95" customHeight="1" x14ac:dyDescent="0.2">
      <c r="A386" s="171"/>
      <c r="B386" s="123"/>
      <c r="C386" s="171"/>
      <c r="D386" s="171"/>
    </row>
    <row r="387" spans="1:4" ht="12.95" customHeight="1" x14ac:dyDescent="0.2">
      <c r="A387" s="171"/>
      <c r="B387" s="123"/>
      <c r="C387" s="171"/>
      <c r="D387" s="171"/>
    </row>
    <row r="388" spans="1:4" ht="12.95" customHeight="1" x14ac:dyDescent="0.2">
      <c r="A388" s="171"/>
      <c r="B388" s="123"/>
      <c r="C388" s="171"/>
      <c r="D388" s="171"/>
    </row>
    <row r="389" spans="1:4" ht="12.95" customHeight="1" x14ac:dyDescent="0.2">
      <c r="A389" s="171"/>
      <c r="B389" s="123"/>
      <c r="C389" s="171"/>
      <c r="D389" s="171"/>
    </row>
    <row r="390" spans="1:4" ht="12.95" customHeight="1" x14ac:dyDescent="0.2">
      <c r="A390" s="171"/>
      <c r="B390" s="123"/>
      <c r="C390" s="171"/>
      <c r="D390" s="171"/>
    </row>
    <row r="391" spans="1:4" ht="12.95" customHeight="1" x14ac:dyDescent="0.2">
      <c r="A391" s="171"/>
      <c r="B391" s="123"/>
      <c r="C391" s="171"/>
      <c r="D391" s="171"/>
    </row>
    <row r="392" spans="1:4" ht="12.95" customHeight="1" x14ac:dyDescent="0.2">
      <c r="A392" s="171"/>
      <c r="B392" s="123"/>
      <c r="C392" s="171"/>
      <c r="D392" s="171"/>
    </row>
    <row r="393" spans="1:4" ht="12.95" customHeight="1" x14ac:dyDescent="0.2">
      <c r="A393" s="171"/>
      <c r="B393" s="123"/>
      <c r="C393" s="171"/>
      <c r="D393" s="171"/>
    </row>
    <row r="394" spans="1:4" ht="12.95" customHeight="1" x14ac:dyDescent="0.2">
      <c r="A394" s="171"/>
      <c r="B394" s="123"/>
      <c r="C394" s="171"/>
      <c r="D394" s="171"/>
    </row>
    <row r="395" spans="1:4" ht="12.95" customHeight="1" x14ac:dyDescent="0.2">
      <c r="A395" s="171"/>
      <c r="B395" s="123"/>
      <c r="C395" s="171"/>
      <c r="D395" s="171"/>
    </row>
    <row r="396" spans="1:4" ht="12.95" customHeight="1" x14ac:dyDescent="0.2">
      <c r="A396" s="171"/>
      <c r="B396" s="123"/>
      <c r="C396" s="171"/>
      <c r="D396" s="171"/>
    </row>
    <row r="397" spans="1:4" ht="12.95" customHeight="1" x14ac:dyDescent="0.2">
      <c r="A397" s="171"/>
      <c r="B397" s="123"/>
      <c r="C397" s="171"/>
      <c r="D397" s="171"/>
    </row>
    <row r="398" spans="1:4" ht="12.95" customHeight="1" x14ac:dyDescent="0.2">
      <c r="A398" s="171"/>
      <c r="B398" s="123"/>
      <c r="C398" s="171"/>
      <c r="D398" s="171"/>
    </row>
    <row r="399" spans="1:4" ht="12.95" customHeight="1" x14ac:dyDescent="0.2">
      <c r="A399" s="171"/>
      <c r="B399" s="123"/>
      <c r="C399" s="171"/>
      <c r="D399" s="171"/>
    </row>
    <row r="400" spans="1:4" ht="12.95" customHeight="1" x14ac:dyDescent="0.2">
      <c r="A400" s="171"/>
      <c r="B400" s="123"/>
      <c r="C400" s="171"/>
      <c r="D400" s="171"/>
    </row>
    <row r="401" spans="1:4" ht="12.95" customHeight="1" x14ac:dyDescent="0.2">
      <c r="A401" s="171"/>
      <c r="B401" s="123"/>
      <c r="C401" s="171"/>
      <c r="D401" s="171"/>
    </row>
    <row r="402" spans="1:4" ht="12.95" customHeight="1" x14ac:dyDescent="0.2">
      <c r="A402" s="171"/>
      <c r="B402" s="123"/>
      <c r="C402" s="171"/>
      <c r="D402" s="171"/>
    </row>
    <row r="403" spans="1:4" ht="12.95" customHeight="1" x14ac:dyDescent="0.2">
      <c r="A403" s="171"/>
      <c r="B403" s="123"/>
      <c r="C403" s="171"/>
      <c r="D403" s="171"/>
    </row>
    <row r="404" spans="1:4" ht="12.95" customHeight="1" x14ac:dyDescent="0.2">
      <c r="A404" s="171"/>
      <c r="B404" s="123"/>
      <c r="C404" s="171"/>
      <c r="D404" s="171"/>
    </row>
    <row r="405" spans="1:4" ht="12.95" customHeight="1" x14ac:dyDescent="0.2">
      <c r="A405" s="171"/>
      <c r="B405" s="123"/>
      <c r="C405" s="171"/>
      <c r="D405" s="171"/>
    </row>
    <row r="406" spans="1:4" ht="12.95" customHeight="1" x14ac:dyDescent="0.2">
      <c r="A406" s="171"/>
      <c r="B406" s="123"/>
      <c r="C406" s="171"/>
      <c r="D406" s="171"/>
    </row>
    <row r="407" spans="1:4" ht="12.95" customHeight="1" x14ac:dyDescent="0.2">
      <c r="A407" s="171"/>
      <c r="B407" s="123"/>
      <c r="C407" s="171"/>
      <c r="D407" s="171"/>
    </row>
    <row r="408" spans="1:4" ht="12.95" customHeight="1" x14ac:dyDescent="0.2">
      <c r="A408" s="171"/>
      <c r="B408" s="123"/>
      <c r="C408" s="171"/>
      <c r="D408" s="171"/>
    </row>
    <row r="409" spans="1:4" ht="12.95" customHeight="1" x14ac:dyDescent="0.2">
      <c r="A409" s="171"/>
      <c r="B409" s="123"/>
      <c r="C409" s="171"/>
      <c r="D409" s="171"/>
    </row>
    <row r="410" spans="1:4" ht="12.95" customHeight="1" x14ac:dyDescent="0.2">
      <c r="A410" s="171"/>
      <c r="B410" s="123"/>
      <c r="C410" s="171"/>
      <c r="D410" s="171"/>
    </row>
    <row r="411" spans="1:4" ht="12.95" customHeight="1" x14ac:dyDescent="0.2">
      <c r="A411" s="171"/>
      <c r="B411" s="123"/>
      <c r="C411" s="171"/>
      <c r="D411" s="171"/>
    </row>
    <row r="412" spans="1:4" ht="12.95" customHeight="1" x14ac:dyDescent="0.2">
      <c r="A412" s="171"/>
      <c r="B412" s="123"/>
      <c r="C412" s="171"/>
      <c r="D412" s="171"/>
    </row>
    <row r="413" spans="1:4" ht="12.95" customHeight="1" x14ac:dyDescent="0.2">
      <c r="A413" s="171"/>
      <c r="B413" s="123"/>
      <c r="C413" s="171"/>
      <c r="D413" s="171"/>
    </row>
    <row r="414" spans="1:4" ht="12.95" customHeight="1" x14ac:dyDescent="0.2">
      <c r="A414" s="171"/>
      <c r="B414" s="123"/>
      <c r="C414" s="171"/>
      <c r="D414" s="171"/>
    </row>
    <row r="415" spans="1:4" ht="12.95" customHeight="1" x14ac:dyDescent="0.2">
      <c r="A415" s="171"/>
      <c r="B415" s="123"/>
      <c r="C415" s="171"/>
      <c r="D415" s="171"/>
    </row>
    <row r="416" spans="1:4" ht="12.95" customHeight="1" x14ac:dyDescent="0.2">
      <c r="A416" s="171"/>
      <c r="B416" s="123"/>
      <c r="C416" s="171"/>
      <c r="D416" s="171"/>
    </row>
    <row r="417" spans="1:4" ht="12.95" customHeight="1" x14ac:dyDescent="0.2">
      <c r="A417" s="171"/>
      <c r="B417" s="123"/>
      <c r="C417" s="171"/>
      <c r="D417" s="171"/>
    </row>
    <row r="418" spans="1:4" ht="12.95" customHeight="1" x14ac:dyDescent="0.2">
      <c r="A418" s="171"/>
      <c r="B418" s="123"/>
      <c r="C418" s="171"/>
      <c r="D418" s="171"/>
    </row>
    <row r="419" spans="1:4" ht="12.95" customHeight="1" x14ac:dyDescent="0.2">
      <c r="A419" s="171"/>
      <c r="B419" s="123"/>
      <c r="C419" s="171"/>
      <c r="D419" s="171"/>
    </row>
    <row r="420" spans="1:4" ht="12.95" customHeight="1" x14ac:dyDescent="0.2">
      <c r="A420" s="171"/>
      <c r="B420" s="123"/>
      <c r="C420" s="171"/>
      <c r="D420" s="171"/>
    </row>
    <row r="421" spans="1:4" ht="12.95" customHeight="1" x14ac:dyDescent="0.2">
      <c r="A421" s="171"/>
      <c r="B421" s="123"/>
      <c r="C421" s="171"/>
      <c r="D421" s="171"/>
    </row>
    <row r="422" spans="1:4" ht="12.95" customHeight="1" x14ac:dyDescent="0.2">
      <c r="A422" s="171"/>
      <c r="B422" s="123"/>
      <c r="C422" s="171"/>
      <c r="D422" s="171"/>
    </row>
    <row r="423" spans="1:4" ht="12.95" customHeight="1" x14ac:dyDescent="0.2">
      <c r="A423" s="171"/>
      <c r="B423" s="123"/>
      <c r="C423" s="171"/>
      <c r="D423" s="171"/>
    </row>
    <row r="424" spans="1:4" ht="12.95" customHeight="1" x14ac:dyDescent="0.2">
      <c r="A424" s="171"/>
      <c r="B424" s="123"/>
      <c r="C424" s="171"/>
      <c r="D424" s="171"/>
    </row>
    <row r="425" spans="1:4" ht="12.95" customHeight="1" x14ac:dyDescent="0.2">
      <c r="A425" s="171"/>
      <c r="B425" s="123"/>
      <c r="C425" s="171"/>
      <c r="D425" s="171"/>
    </row>
    <row r="426" spans="1:4" ht="12.95" customHeight="1" x14ac:dyDescent="0.2">
      <c r="A426" s="171"/>
      <c r="B426" s="123"/>
      <c r="C426" s="171"/>
      <c r="D426" s="171"/>
    </row>
    <row r="427" spans="1:4" ht="12.95" customHeight="1" x14ac:dyDescent="0.2">
      <c r="A427" s="171"/>
      <c r="B427" s="123"/>
      <c r="C427" s="171"/>
      <c r="D427" s="171"/>
    </row>
    <row r="428" spans="1:4" ht="12.95" customHeight="1" x14ac:dyDescent="0.2">
      <c r="A428" s="171"/>
      <c r="B428" s="123"/>
      <c r="C428" s="171"/>
      <c r="D428" s="171"/>
    </row>
    <row r="429" spans="1:4" ht="12.95" customHeight="1" x14ac:dyDescent="0.2">
      <c r="A429" s="171"/>
      <c r="B429" s="123"/>
      <c r="C429" s="171"/>
      <c r="D429" s="171"/>
    </row>
    <row r="430" spans="1:4" ht="12.95" customHeight="1" x14ac:dyDescent="0.2">
      <c r="A430" s="171"/>
      <c r="B430" s="123"/>
      <c r="C430" s="171"/>
      <c r="D430" s="171"/>
    </row>
    <row r="431" spans="1:4" ht="12.95" customHeight="1" x14ac:dyDescent="0.2">
      <c r="A431" s="171"/>
      <c r="B431" s="123"/>
      <c r="C431" s="171"/>
      <c r="D431" s="171"/>
    </row>
    <row r="432" spans="1:4" ht="12.95" customHeight="1" x14ac:dyDescent="0.2">
      <c r="A432" s="171"/>
      <c r="B432" s="123"/>
      <c r="C432" s="171"/>
      <c r="D432" s="171"/>
    </row>
    <row r="433" spans="1:4" ht="12.95" customHeight="1" x14ac:dyDescent="0.2">
      <c r="A433" s="171"/>
      <c r="B433" s="123"/>
      <c r="C433" s="171"/>
      <c r="D433" s="171"/>
    </row>
    <row r="434" spans="1:4" ht="12.95" customHeight="1" x14ac:dyDescent="0.2">
      <c r="A434" s="171"/>
      <c r="B434" s="123"/>
      <c r="C434" s="171"/>
      <c r="D434" s="171"/>
    </row>
    <row r="435" spans="1:4" ht="12.95" customHeight="1" x14ac:dyDescent="0.2">
      <c r="A435" s="171"/>
      <c r="B435" s="123"/>
      <c r="C435" s="171"/>
      <c r="D435" s="171"/>
    </row>
    <row r="436" spans="1:4" ht="12.95" customHeight="1" x14ac:dyDescent="0.2">
      <c r="A436" s="171"/>
      <c r="B436" s="123"/>
      <c r="C436" s="171"/>
      <c r="D436" s="171"/>
    </row>
    <row r="437" spans="1:4" ht="12.95" customHeight="1" x14ac:dyDescent="0.2">
      <c r="A437" s="171"/>
      <c r="B437" s="123"/>
      <c r="C437" s="171"/>
      <c r="D437" s="171"/>
    </row>
    <row r="438" spans="1:4" ht="12.95" customHeight="1" x14ac:dyDescent="0.2">
      <c r="A438" s="171"/>
      <c r="B438" s="123"/>
      <c r="C438" s="171"/>
      <c r="D438" s="171"/>
    </row>
    <row r="439" spans="1:4" ht="12.95" customHeight="1" x14ac:dyDescent="0.2">
      <c r="A439" s="171"/>
      <c r="B439" s="123"/>
      <c r="C439" s="171"/>
      <c r="D439" s="171"/>
    </row>
    <row r="440" spans="1:4" ht="12.95" customHeight="1" x14ac:dyDescent="0.2">
      <c r="A440" s="171"/>
      <c r="B440" s="123"/>
      <c r="C440" s="171"/>
      <c r="D440" s="171"/>
    </row>
    <row r="441" spans="1:4" ht="12.95" customHeight="1" x14ac:dyDescent="0.2">
      <c r="A441" s="171"/>
      <c r="B441" s="123"/>
      <c r="C441" s="171"/>
      <c r="D441" s="171"/>
    </row>
    <row r="442" spans="1:4" ht="12.95" customHeight="1" x14ac:dyDescent="0.2">
      <c r="A442" s="171"/>
      <c r="B442" s="123"/>
      <c r="C442" s="171"/>
      <c r="D442" s="171"/>
    </row>
    <row r="443" spans="1:4" ht="12.95" customHeight="1" x14ac:dyDescent="0.2">
      <c r="A443" s="171"/>
      <c r="B443" s="123"/>
      <c r="C443" s="171"/>
      <c r="D443" s="171"/>
    </row>
    <row r="444" spans="1:4" ht="12.95" customHeight="1" x14ac:dyDescent="0.2">
      <c r="A444" s="171"/>
      <c r="B444" s="123"/>
      <c r="C444" s="171"/>
      <c r="D444" s="171"/>
    </row>
    <row r="445" spans="1:4" ht="12.95" customHeight="1" x14ac:dyDescent="0.2">
      <c r="A445" s="171"/>
      <c r="B445" s="123"/>
      <c r="C445" s="171"/>
      <c r="D445" s="171"/>
    </row>
    <row r="446" spans="1:4" ht="12.95" customHeight="1" x14ac:dyDescent="0.2">
      <c r="A446" s="171"/>
      <c r="B446" s="123"/>
      <c r="C446" s="171"/>
      <c r="D446" s="171"/>
    </row>
    <row r="447" spans="1:4" ht="12.95" customHeight="1" x14ac:dyDescent="0.2">
      <c r="A447" s="171"/>
      <c r="B447" s="123"/>
      <c r="C447" s="171"/>
      <c r="D447" s="171"/>
    </row>
  </sheetData>
  <sortState xmlns:xlrd2="http://schemas.microsoft.com/office/spreadsheetml/2017/richdata2" ref="A21:V268">
    <sortCondition ref="C21:C268"/>
  </sortState>
  <phoneticPr fontId="10" type="noConversion"/>
  <hyperlinks>
    <hyperlink ref="H395" r:id="rId1" display="http://vsolj.cetus-net.org/bulletin.html" xr:uid="{00000000-0004-0000-0000-000000000000}"/>
    <hyperlink ref="H388" r:id="rId2" display="http://vsolj.cetus-net.org/bulletin.html" xr:uid="{00000000-0004-0000-0000-000001000000}"/>
    <hyperlink ref="H64597" r:id="rId3" display="http://vsolj.cetus-net.org/bulletin.html" xr:uid="{00000000-0004-0000-0000-000002000000}"/>
    <hyperlink ref="H64590" r:id="rId4" display="https://www.aavso.org/ejaavso" xr:uid="{00000000-0004-0000-0000-000003000000}"/>
    <hyperlink ref="AP741" r:id="rId5" display="http://cdsbib.u-strasbg.fr/cgi-bin/cdsbib?1990RMxAA..21..381G" xr:uid="{00000000-0004-0000-0000-000004000000}"/>
    <hyperlink ref="AP745" r:id="rId6" display="http://cdsbib.u-strasbg.fr/cgi-bin/cdsbib?1990RMxAA..21..381G" xr:uid="{00000000-0004-0000-0000-000005000000}"/>
    <hyperlink ref="AP744" r:id="rId7" display="http://cdsbib.u-strasbg.fr/cgi-bin/cdsbib?1990RMxAA..21..381G" xr:uid="{00000000-0004-0000-0000-000006000000}"/>
    <hyperlink ref="AP725" r:id="rId8" display="http://cdsbib.u-strasbg.fr/cgi-bin/cdsbib?1990RMxAA..21..381G" xr:uid="{00000000-0004-0000-0000-000007000000}"/>
    <hyperlink ref="I64597" r:id="rId9" display="http://vsolj.cetus-net.org/bulletin.html" xr:uid="{00000000-0004-0000-0000-000008000000}"/>
    <hyperlink ref="AQ881" r:id="rId10" display="http://cdsbib.u-strasbg.fr/cgi-bin/cdsbib?1990RMxAA..21..381G" xr:uid="{00000000-0004-0000-0000-000009000000}"/>
    <hyperlink ref="AQ55647" r:id="rId11" display="http://cdsbib.u-strasbg.fr/cgi-bin/cdsbib?1990RMxAA..21..381G" xr:uid="{00000000-0004-0000-0000-00000A000000}"/>
    <hyperlink ref="AQ882" r:id="rId12" display="http://cdsbib.u-strasbg.fr/cgi-bin/cdsbib?1990RMxAA..21..381G" xr:uid="{00000000-0004-0000-0000-00000B000000}"/>
    <hyperlink ref="H64594" r:id="rId13" display="https://www.aavso.org/ejaavso" xr:uid="{00000000-0004-0000-0000-00000C000000}"/>
    <hyperlink ref="H1767" r:id="rId14" display="http://vsolj.cetus-net.org/bulletin.html" xr:uid="{00000000-0004-0000-0000-00000D000000}"/>
    <hyperlink ref="AP3011" r:id="rId15" display="http://cdsbib.u-strasbg.fr/cgi-bin/cdsbib?1990RMxAA..21..381G" xr:uid="{00000000-0004-0000-0000-00000E000000}"/>
    <hyperlink ref="AP3014" r:id="rId16" display="http://cdsbib.u-strasbg.fr/cgi-bin/cdsbib?1990RMxAA..21..381G" xr:uid="{00000000-0004-0000-0000-00000F000000}"/>
    <hyperlink ref="AP3012" r:id="rId17" display="http://cdsbib.u-strasbg.fr/cgi-bin/cdsbib?1990RMxAA..21..381G" xr:uid="{00000000-0004-0000-0000-000010000000}"/>
    <hyperlink ref="AP2996" r:id="rId18" display="http://cdsbib.u-strasbg.fr/cgi-bin/cdsbib?1990RMxAA..21..381G" xr:uid="{00000000-0004-0000-0000-000011000000}"/>
    <hyperlink ref="I1767" r:id="rId19" display="http://vsolj.cetus-net.org/bulletin.html" xr:uid="{00000000-0004-0000-0000-000012000000}"/>
    <hyperlink ref="AQ3225" r:id="rId20" display="http://cdsbib.u-strasbg.fr/cgi-bin/cdsbib?1990RMxAA..21..381G" xr:uid="{00000000-0004-0000-0000-000013000000}"/>
    <hyperlink ref="AQ65462" r:id="rId21" display="http://cdsbib.u-strasbg.fr/cgi-bin/cdsbib?1990RMxAA..21..381G" xr:uid="{00000000-0004-0000-0000-000014000000}"/>
    <hyperlink ref="AQ3229" r:id="rId22" display="http://cdsbib.u-strasbg.fr/cgi-bin/cdsbib?1990RMxAA..21..381G" xr:uid="{00000000-0004-0000-0000-000015000000}"/>
    <hyperlink ref="H64381" r:id="rId23" display="http://vsolj.cetus-net.org/bulletin.html" xr:uid="{00000000-0004-0000-0000-000016000000}"/>
    <hyperlink ref="H64374" r:id="rId24" display="https://www.aavso.org/ejaavso" xr:uid="{00000000-0004-0000-0000-000017000000}"/>
    <hyperlink ref="I64381" r:id="rId25" display="http://vsolj.cetus-net.org/bulletin.html" xr:uid="{00000000-0004-0000-0000-000018000000}"/>
    <hyperlink ref="AQ58032" r:id="rId26" display="http://cdsbib.u-strasbg.fr/cgi-bin/cdsbib?1990RMxAA..21..381G" xr:uid="{00000000-0004-0000-0000-000019000000}"/>
    <hyperlink ref="H64378" r:id="rId27" display="https://www.aavso.org/ejaavso" xr:uid="{00000000-0004-0000-0000-00001A000000}"/>
    <hyperlink ref="AP5396" r:id="rId28" display="http://cdsbib.u-strasbg.fr/cgi-bin/cdsbib?1990RMxAA..21..381G" xr:uid="{00000000-0004-0000-0000-00001B000000}"/>
    <hyperlink ref="AP5399" r:id="rId29" display="http://cdsbib.u-strasbg.fr/cgi-bin/cdsbib?1990RMxAA..21..381G" xr:uid="{00000000-0004-0000-0000-00001C000000}"/>
    <hyperlink ref="AP5397" r:id="rId30" display="http://cdsbib.u-strasbg.fr/cgi-bin/cdsbib?1990RMxAA..21..381G" xr:uid="{00000000-0004-0000-0000-00001D000000}"/>
    <hyperlink ref="AP5381" r:id="rId31" display="http://cdsbib.u-strasbg.fr/cgi-bin/cdsbib?1990RMxAA..21..381G" xr:uid="{00000000-0004-0000-0000-00001E000000}"/>
    <hyperlink ref="AQ5610" r:id="rId32" display="http://cdsbib.u-strasbg.fr/cgi-bin/cdsbib?1990RMxAA..21..381G" xr:uid="{00000000-0004-0000-0000-00001F000000}"/>
    <hyperlink ref="AQ5614" r:id="rId33" display="http://cdsbib.u-strasbg.fr/cgi-bin/cdsbib?1990RMxAA..21..381G" xr:uid="{00000000-0004-0000-0000-000020000000}"/>
    <hyperlink ref="AQ65294" r:id="rId34" display="http://cdsbib.u-strasbg.fr/cgi-bin/cdsbib?1990RMxAA..21..381G" xr:uid="{00000000-0004-0000-0000-000021000000}"/>
    <hyperlink ref="I2502" r:id="rId35" display="http://vsolj.cetus-net.org/bulletin.html" xr:uid="{00000000-0004-0000-0000-000022000000}"/>
    <hyperlink ref="H2502" r:id="rId36" display="http://vsolj.cetus-net.org/bulletin.html" xr:uid="{00000000-0004-0000-0000-000023000000}"/>
    <hyperlink ref="AQ419" r:id="rId37" display="http://cdsbib.u-strasbg.fr/cgi-bin/cdsbib?1990RMxAA..21..381G" xr:uid="{00000000-0004-0000-0000-000024000000}"/>
    <hyperlink ref="AQ418" r:id="rId38" display="http://cdsbib.u-strasbg.fr/cgi-bin/cdsbib?1990RMxAA..21..381G" xr:uid="{00000000-0004-0000-0000-000025000000}"/>
    <hyperlink ref="AP3672" r:id="rId39" display="http://cdsbib.u-strasbg.fr/cgi-bin/cdsbib?1990RMxAA..21..381G" xr:uid="{00000000-0004-0000-0000-000026000000}"/>
    <hyperlink ref="AP3690" r:id="rId40" display="http://cdsbib.u-strasbg.fr/cgi-bin/cdsbib?1990RMxAA..21..381G" xr:uid="{00000000-0004-0000-0000-000027000000}"/>
    <hyperlink ref="AP3691" r:id="rId41" display="http://cdsbib.u-strasbg.fr/cgi-bin/cdsbib?1990RMxAA..21..381G" xr:uid="{00000000-0004-0000-0000-000028000000}"/>
    <hyperlink ref="AP3687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7DF8-85EE-4821-9CCE-AA3A66F1ED83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AI901"/>
  <sheetViews>
    <sheetView workbookViewId="0">
      <selection activeCell="C44" sqref="C44"/>
    </sheetView>
  </sheetViews>
  <sheetFormatPr defaultRowHeight="12.75" x14ac:dyDescent="0.2"/>
  <cols>
    <col min="2" max="2" width="10.7109375" customWidth="1"/>
    <col min="5" max="5" width="12.5703125" customWidth="1"/>
    <col min="6" max="6" width="10.140625" customWidth="1"/>
    <col min="14" max="14" width="10.7109375" customWidth="1"/>
  </cols>
  <sheetData>
    <row r="1" spans="1:35" ht="18.75" thickBot="1" x14ac:dyDescent="0.25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I1" s="25"/>
      <c r="J1" s="25"/>
      <c r="K1" s="25"/>
      <c r="L1" s="25"/>
      <c r="M1" s="75" t="s">
        <v>87</v>
      </c>
      <c r="N1" s="25" t="s">
        <v>88</v>
      </c>
      <c r="O1" s="25">
        <f ca="1">H18*J18-I18*I18</f>
        <v>6843.4096578288591</v>
      </c>
      <c r="P1" s="25" t="s">
        <v>181</v>
      </c>
      <c r="Q1" s="25"/>
      <c r="R1" s="25"/>
      <c r="S1" s="25"/>
      <c r="T1" s="25"/>
      <c r="U1" s="100" t="s">
        <v>145</v>
      </c>
      <c r="V1" s="101" t="s">
        <v>152</v>
      </c>
      <c r="W1" s="25"/>
      <c r="X1" s="25"/>
      <c r="Y1" s="25"/>
      <c r="Z1" s="25"/>
      <c r="AA1" s="25">
        <v>1</v>
      </c>
      <c r="AB1" s="25" t="s">
        <v>89</v>
      </c>
      <c r="AC1" s="25"/>
      <c r="AD1" s="25"/>
      <c r="AE1" s="25"/>
      <c r="AF1" s="25"/>
      <c r="AG1" s="25"/>
      <c r="AH1" s="25"/>
      <c r="AI1" s="25"/>
    </row>
    <row r="2" spans="1:3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75" t="s">
        <v>90</v>
      </c>
      <c r="N2" s="25" t="s">
        <v>91</v>
      </c>
      <c r="O2" s="25">
        <f ca="1">+F18*J18-H18*I18</f>
        <v>12850.965055859211</v>
      </c>
      <c r="P2" s="25" t="s">
        <v>182</v>
      </c>
      <c r="Q2" s="25"/>
      <c r="R2" s="25"/>
      <c r="S2" s="25"/>
      <c r="T2" s="25"/>
      <c r="U2" s="25">
        <v>0</v>
      </c>
      <c r="V2" s="25">
        <f t="shared" ref="V2:V20" ca="1" si="0">+E$4+E$5*U2+E$6*U2^2</f>
        <v>1.3217976054974759E-3</v>
      </c>
      <c r="W2" s="25"/>
      <c r="X2" s="25"/>
      <c r="Y2" s="25"/>
      <c r="Z2" s="25"/>
      <c r="AA2" s="25">
        <v>2</v>
      </c>
      <c r="AB2" s="25" t="s">
        <v>92</v>
      </c>
      <c r="AC2" s="25"/>
      <c r="AD2" s="25"/>
      <c r="AE2" s="25"/>
      <c r="AF2" s="25"/>
      <c r="AG2" s="25"/>
      <c r="AH2" s="25"/>
      <c r="AI2" s="25"/>
    </row>
    <row r="3" spans="1:35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76" t="s">
        <v>98</v>
      </c>
      <c r="I3" s="25"/>
      <c r="J3" s="25"/>
      <c r="K3" s="25"/>
      <c r="L3" s="25"/>
      <c r="M3" s="75" t="s">
        <v>99</v>
      </c>
      <c r="N3" s="25" t="s">
        <v>100</v>
      </c>
      <c r="O3" s="25">
        <f ca="1">+F18*I18-H18*H18</f>
        <v>5049.5403790219789</v>
      </c>
      <c r="P3" s="25" t="s">
        <v>183</v>
      </c>
      <c r="Q3" s="25"/>
      <c r="R3" s="25"/>
      <c r="S3" s="25"/>
      <c r="T3" s="25"/>
      <c r="U3" s="25">
        <v>0.1</v>
      </c>
      <c r="V3" s="25">
        <f t="shared" ca="1" si="0"/>
        <v>1.6042894881944671E-3</v>
      </c>
      <c r="W3" s="25"/>
      <c r="X3" s="25"/>
      <c r="Y3" s="25"/>
      <c r="Z3" s="25"/>
      <c r="AA3" s="25">
        <v>3</v>
      </c>
      <c r="AB3" s="25" t="s">
        <v>101</v>
      </c>
      <c r="AC3" s="25"/>
      <c r="AD3" s="25"/>
      <c r="AE3" s="25"/>
      <c r="AF3" s="25"/>
      <c r="AG3" s="25"/>
      <c r="AH3" s="25"/>
      <c r="AI3" s="25"/>
    </row>
    <row r="4" spans="1:35" x14ac:dyDescent="0.2">
      <c r="A4" s="25" t="s">
        <v>102</v>
      </c>
      <c r="B4" s="25" t="s">
        <v>103</v>
      </c>
      <c r="C4" s="25"/>
      <c r="D4" s="77" t="s">
        <v>104</v>
      </c>
      <c r="E4" s="78">
        <f ca="1">(G18*O1-K18*O2+L18*O3)/O7</f>
        <v>1.3217976054974759E-3</v>
      </c>
      <c r="F4" s="79">
        <f ca="1">+E7/O7*O18</f>
        <v>3.0049431075483116E-4</v>
      </c>
      <c r="G4" s="80">
        <f>+B18</f>
        <v>1</v>
      </c>
      <c r="H4" s="106">
        <f ca="1">ABS(F4/E4)</f>
        <v>0.22733761167749744</v>
      </c>
      <c r="I4" s="25"/>
      <c r="J4" s="25"/>
      <c r="K4" s="25"/>
      <c r="L4" s="25"/>
      <c r="M4" s="75" t="s">
        <v>105</v>
      </c>
      <c r="N4" s="25" t="s">
        <v>106</v>
      </c>
      <c r="O4" s="25">
        <f ca="1">+C18*J18-H18*H18</f>
        <v>45930.386625328749</v>
      </c>
      <c r="P4" s="25" t="s">
        <v>184</v>
      </c>
      <c r="Q4" s="25"/>
      <c r="R4" s="25"/>
      <c r="S4" s="25"/>
      <c r="T4" s="25"/>
      <c r="U4" s="25">
        <v>0.2</v>
      </c>
      <c r="V4" s="25">
        <f t="shared" ca="1" si="0"/>
        <v>2.3730457647854445E-3</v>
      </c>
      <c r="W4" s="25"/>
      <c r="X4" s="25"/>
      <c r="Y4" s="25"/>
      <c r="Z4" s="25"/>
      <c r="AA4" s="25">
        <v>4</v>
      </c>
      <c r="AB4" s="25" t="s">
        <v>107</v>
      </c>
      <c r="AC4" s="25"/>
      <c r="AD4" s="25"/>
      <c r="AE4" s="25"/>
      <c r="AF4" s="25"/>
      <c r="AG4" s="25"/>
      <c r="AH4" s="25"/>
      <c r="AI4" s="25"/>
    </row>
    <row r="5" spans="1:35" x14ac:dyDescent="0.2">
      <c r="A5" s="25" t="s">
        <v>108</v>
      </c>
      <c r="B5" s="81">
        <v>40323</v>
      </c>
      <c r="C5" s="25"/>
      <c r="D5" s="82" t="s">
        <v>109</v>
      </c>
      <c r="E5" s="83">
        <f ca="1">+(-G18*O2+K18*O4-L18*O5)/O7</f>
        <v>3.9359685749998114E-4</v>
      </c>
      <c r="F5" s="84">
        <f ca="1">P18*E7/O7</f>
        <v>7.7833737683141724E-4</v>
      </c>
      <c r="G5" s="85">
        <f>+B18/A18</f>
        <v>1E-4</v>
      </c>
      <c r="H5" s="106">
        <f ca="1">ABS(F5/E5)</f>
        <v>1.9774989611837908</v>
      </c>
      <c r="I5" s="25"/>
      <c r="J5" s="25"/>
      <c r="K5" s="25"/>
      <c r="L5" s="25"/>
      <c r="M5" s="75" t="s">
        <v>110</v>
      </c>
      <c r="N5" s="25" t="s">
        <v>111</v>
      </c>
      <c r="O5" s="25">
        <f ca="1">+C18*I18-F18*H18</f>
        <v>22064.298836762973</v>
      </c>
      <c r="P5" s="25" t="s">
        <v>185</v>
      </c>
      <c r="Q5" s="25"/>
      <c r="R5" s="25"/>
      <c r="S5" s="25"/>
      <c r="T5" s="25"/>
      <c r="U5" s="25">
        <v>0.3</v>
      </c>
      <c r="V5" s="25">
        <f t="shared" ca="1" si="0"/>
        <v>3.6280664352704075E-3</v>
      </c>
      <c r="W5" s="25"/>
      <c r="X5" s="25"/>
      <c r="Y5" s="25"/>
      <c r="Z5" s="25"/>
      <c r="AA5" s="25">
        <v>5</v>
      </c>
      <c r="AB5" s="25" t="s">
        <v>112</v>
      </c>
      <c r="AC5" s="25"/>
      <c r="AD5" s="25"/>
      <c r="AE5" s="25"/>
      <c r="AF5" s="25"/>
      <c r="AG5" s="25"/>
      <c r="AH5" s="25"/>
      <c r="AI5" s="25"/>
    </row>
    <row r="6" spans="1:35" ht="13.5" thickBot="1" x14ac:dyDescent="0.25">
      <c r="A6" s="25"/>
      <c r="B6" s="25"/>
      <c r="C6" s="25"/>
      <c r="D6" s="86" t="s">
        <v>113</v>
      </c>
      <c r="E6" s="87">
        <f ca="1">+(G18*O3-K18*O5+L18*O6)/O7</f>
        <v>2.4313219694699302E-2</v>
      </c>
      <c r="F6" s="88">
        <f ca="1">Q18*E7/O7</f>
        <v>3.854452119591676E-4</v>
      </c>
      <c r="G6" s="89">
        <f>+B18/A18^2</f>
        <v>1E-8</v>
      </c>
      <c r="H6" s="106">
        <f ca="1">ABS(F6/E6)</f>
        <v>1.5853318351053327E-2</v>
      </c>
      <c r="I6" s="25"/>
      <c r="J6" s="25"/>
      <c r="K6" s="25"/>
      <c r="L6" s="25"/>
      <c r="M6" s="90" t="s">
        <v>114</v>
      </c>
      <c r="N6" s="91" t="s">
        <v>115</v>
      </c>
      <c r="O6" s="91">
        <f ca="1">+C18*H18-F18*F18</f>
        <v>11268.951201209682</v>
      </c>
      <c r="P6" s="25" t="s">
        <v>186</v>
      </c>
      <c r="Q6" s="25"/>
      <c r="R6" s="25"/>
      <c r="S6" s="25"/>
      <c r="T6" s="25"/>
      <c r="U6" s="25">
        <v>0.4</v>
      </c>
      <c r="V6" s="25">
        <f t="shared" ca="1" si="0"/>
        <v>5.369351499649358E-3</v>
      </c>
      <c r="W6" s="25"/>
      <c r="X6" s="25"/>
      <c r="Y6" s="25"/>
      <c r="Z6" s="25"/>
      <c r="AA6" s="25">
        <v>6</v>
      </c>
      <c r="AB6" s="25" t="s">
        <v>116</v>
      </c>
      <c r="AC6" s="25"/>
      <c r="AD6" s="25"/>
      <c r="AE6" s="25"/>
      <c r="AF6" s="25"/>
      <c r="AG6" s="25"/>
      <c r="AH6" s="25"/>
      <c r="AI6" s="25"/>
    </row>
    <row r="7" spans="1:35" x14ac:dyDescent="0.2">
      <c r="A7" s="25"/>
      <c r="B7" s="25"/>
      <c r="C7" s="25"/>
      <c r="D7" s="61" t="s">
        <v>117</v>
      </c>
      <c r="E7" s="93">
        <f ca="1">SQRT(N18/(B15-3))</f>
        <v>1.6431765455242183E-3</v>
      </c>
      <c r="F7" s="25"/>
      <c r="G7" s="94" t="e">
        <f>+#REF!</f>
        <v>#REF!</v>
      </c>
      <c r="H7" s="25"/>
      <c r="I7" s="25"/>
      <c r="J7" s="25"/>
      <c r="K7" s="25"/>
      <c r="L7" s="25"/>
      <c r="M7" s="75" t="s">
        <v>118</v>
      </c>
      <c r="N7" s="25" t="s">
        <v>119</v>
      </c>
      <c r="O7" s="25">
        <f ca="1">+C18*O1-F18*O2+H18*O3</f>
        <v>204617.4476084027</v>
      </c>
      <c r="P7" s="25"/>
      <c r="Q7" s="25"/>
      <c r="R7" s="25"/>
      <c r="S7" s="25"/>
      <c r="T7" s="25"/>
      <c r="U7" s="25">
        <v>0.5</v>
      </c>
      <c r="V7" s="25">
        <f t="shared" ca="1" si="0"/>
        <v>7.596900957922292E-3</v>
      </c>
      <c r="W7" s="25"/>
      <c r="X7" s="25"/>
      <c r="Y7" s="25"/>
      <c r="Z7" s="25"/>
      <c r="AA7" s="25">
        <v>7</v>
      </c>
      <c r="AB7" s="25" t="s">
        <v>120</v>
      </c>
      <c r="AC7" s="25"/>
      <c r="AD7" s="25"/>
      <c r="AE7" s="25"/>
      <c r="AF7" s="25"/>
      <c r="AG7" s="25"/>
      <c r="AH7" s="25"/>
      <c r="AI7" s="25"/>
    </row>
    <row r="8" spans="1:35" x14ac:dyDescent="0.2">
      <c r="A8" s="92">
        <v>21</v>
      </c>
      <c r="B8" s="25" t="s">
        <v>124</v>
      </c>
      <c r="C8" s="116">
        <v>21</v>
      </c>
      <c r="D8" s="61" t="s">
        <v>174</v>
      </c>
      <c r="E8" s="25"/>
      <c r="F8" s="108">
        <f ca="1">CORREL(INDIRECT(E12):INDIRECT(E13),INDIRECT(M12):INDIRECT(M13))</f>
        <v>0.99891036101070452</v>
      </c>
      <c r="G8" s="93"/>
      <c r="H8" s="25"/>
      <c r="I8" s="25"/>
      <c r="J8" s="25"/>
      <c r="K8" s="94"/>
      <c r="L8" s="25"/>
      <c r="M8" s="25"/>
      <c r="N8" s="25"/>
      <c r="O8" s="25"/>
      <c r="P8" s="25"/>
      <c r="Q8" s="25"/>
      <c r="R8" s="25"/>
      <c r="S8" s="25"/>
      <c r="T8" s="25"/>
      <c r="U8" s="25">
        <v>0.6</v>
      </c>
      <c r="V8" s="25">
        <f t="shared" ca="1" si="0"/>
        <v>1.0310714810089213E-2</v>
      </c>
      <c r="W8" s="25"/>
      <c r="X8" s="25"/>
      <c r="Y8" s="25"/>
      <c r="Z8" s="25"/>
      <c r="AA8" s="25">
        <v>8</v>
      </c>
      <c r="AB8" s="25" t="s">
        <v>121</v>
      </c>
      <c r="AC8" s="25"/>
      <c r="AD8" s="25"/>
      <c r="AE8" s="25"/>
      <c r="AF8" s="25"/>
      <c r="AG8" s="25"/>
      <c r="AH8" s="25"/>
      <c r="AI8" s="25"/>
    </row>
    <row r="9" spans="1:35" x14ac:dyDescent="0.2">
      <c r="A9" s="92">
        <f>20+COUNT(A21:A1396)</f>
        <v>173</v>
      </c>
      <c r="B9" s="25" t="s">
        <v>126</v>
      </c>
      <c r="C9" s="116">
        <f>A9</f>
        <v>173</v>
      </c>
      <c r="D9" s="25"/>
      <c r="E9" s="109">
        <f ca="1">E6*G6</f>
        <v>2.4313219694699304E-10</v>
      </c>
      <c r="F9" s="110">
        <f ca="1">H6</f>
        <v>1.5853318351053327E-2</v>
      </c>
      <c r="G9" s="111">
        <f ca="1">F8</f>
        <v>0.99891036101070452</v>
      </c>
      <c r="H9" s="25"/>
      <c r="I9" s="25"/>
      <c r="J9" s="25"/>
      <c r="K9" s="94"/>
      <c r="L9" s="25"/>
      <c r="M9" s="25"/>
      <c r="N9" s="25"/>
      <c r="O9" s="25"/>
      <c r="P9" s="25"/>
      <c r="Q9" s="25"/>
      <c r="R9" s="25"/>
      <c r="S9" s="25"/>
      <c r="T9" s="25"/>
      <c r="U9" s="25">
        <v>0.7</v>
      </c>
      <c r="V9" s="25">
        <f t="shared" ca="1" si="0"/>
        <v>1.3510793056150119E-2</v>
      </c>
      <c r="W9" s="25"/>
      <c r="X9" s="25"/>
      <c r="Y9" s="25"/>
      <c r="Z9" s="25"/>
      <c r="AA9" s="25">
        <v>9</v>
      </c>
      <c r="AB9" s="25" t="s">
        <v>64</v>
      </c>
      <c r="AC9" s="25"/>
      <c r="AD9" s="25"/>
      <c r="AE9" s="25"/>
      <c r="AF9" s="25"/>
      <c r="AG9" s="25"/>
      <c r="AH9" s="25"/>
      <c r="AI9" s="25"/>
    </row>
    <row r="10" spans="1:35" x14ac:dyDescent="0.2">
      <c r="A10" s="25" t="s">
        <v>6</v>
      </c>
      <c r="B10" s="59">
        <f>'Active 1'!C8</f>
        <v>0.47128629999999999</v>
      </c>
      <c r="C10" s="25"/>
      <c r="D10" s="25" t="s">
        <v>175</v>
      </c>
      <c r="E10" s="25">
        <f ca="1">2*E9*365.2422/B10</f>
        <v>3.7685007395187608E-7</v>
      </c>
      <c r="F10">
        <f ca="1">+F9*E10</f>
        <v>5.9743241929770805E-9</v>
      </c>
      <c r="G10" s="25" t="s">
        <v>176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v>0.8</v>
      </c>
      <c r="V10" s="25">
        <f t="shared" ca="1" si="0"/>
        <v>1.7197135696105016E-2</v>
      </c>
      <c r="W10" s="25"/>
      <c r="X10" s="25"/>
      <c r="Y10" s="25"/>
      <c r="Z10" s="25"/>
      <c r="AA10" s="25">
        <v>10</v>
      </c>
      <c r="AB10" s="25" t="s">
        <v>122</v>
      </c>
      <c r="AC10" s="25"/>
      <c r="AD10" s="25"/>
      <c r="AE10" s="25"/>
      <c r="AF10" s="25"/>
      <c r="AG10" s="25"/>
      <c r="AH10" s="25"/>
      <c r="AI10" s="25"/>
    </row>
    <row r="11" spans="1:3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>
        <v>0.9</v>
      </c>
      <c r="V11" s="25">
        <f t="shared" ca="1" si="0"/>
        <v>2.1369742729953893E-2</v>
      </c>
      <c r="W11" s="25"/>
      <c r="X11" s="25"/>
      <c r="Y11" s="25"/>
      <c r="Z11" s="25"/>
      <c r="AA11" s="25">
        <v>11</v>
      </c>
      <c r="AB11" s="25" t="s">
        <v>123</v>
      </c>
      <c r="AC11" s="25"/>
      <c r="AD11" s="25"/>
      <c r="AE11" s="25"/>
      <c r="AF11" s="25"/>
      <c r="AG11" s="25"/>
      <c r="AH11" s="25"/>
      <c r="AI11" s="25"/>
    </row>
    <row r="12" spans="1:35" x14ac:dyDescent="0.2">
      <c r="A12" s="25"/>
      <c r="B12" s="25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5"/>
      <c r="S12" s="25"/>
      <c r="T12" s="25"/>
      <c r="U12" s="25">
        <v>1</v>
      </c>
      <c r="V12" s="25">
        <f t="shared" ca="1" si="0"/>
        <v>2.602861415769676E-2</v>
      </c>
      <c r="W12" s="25"/>
      <c r="X12" s="25"/>
      <c r="Y12" s="25"/>
      <c r="Z12" s="25"/>
      <c r="AA12" s="25">
        <v>12</v>
      </c>
      <c r="AB12" s="25" t="s">
        <v>125</v>
      </c>
      <c r="AC12" s="25"/>
      <c r="AD12" s="25"/>
      <c r="AE12" s="25"/>
      <c r="AF12" s="25"/>
      <c r="AG12" s="25"/>
      <c r="AH12" s="25"/>
      <c r="AI12" s="25"/>
    </row>
    <row r="13" spans="1:35" x14ac:dyDescent="0.2">
      <c r="A13" s="25"/>
      <c r="B13" s="25"/>
      <c r="C13" s="5" t="str">
        <f t="shared" si="1"/>
        <v>C173</v>
      </c>
      <c r="D13" s="5" t="str">
        <f t="shared" si="1"/>
        <v>D173</v>
      </c>
      <c r="E13" s="5" t="str">
        <f t="shared" si="1"/>
        <v>E173</v>
      </c>
      <c r="F13" s="5" t="str">
        <f t="shared" si="1"/>
        <v>F173</v>
      </c>
      <c r="G13" s="5" t="str">
        <f t="shared" si="1"/>
        <v>G173</v>
      </c>
      <c r="H13" s="5" t="str">
        <f t="shared" si="1"/>
        <v>H173</v>
      </c>
      <c r="I13" s="5" t="str">
        <f t="shared" si="1"/>
        <v>I173</v>
      </c>
      <c r="J13" s="5" t="str">
        <f t="shared" si="1"/>
        <v>J173</v>
      </c>
      <c r="K13" s="5" t="str">
        <f t="shared" si="1"/>
        <v>K173</v>
      </c>
      <c r="L13" s="5" t="str">
        <f t="shared" si="1"/>
        <v>L173</v>
      </c>
      <c r="M13" s="5" t="str">
        <f t="shared" si="1"/>
        <v>M173</v>
      </c>
      <c r="N13" s="5" t="str">
        <f t="shared" si="1"/>
        <v>N173</v>
      </c>
      <c r="O13" s="5" t="str">
        <f t="shared" si="1"/>
        <v>O173</v>
      </c>
      <c r="P13" s="5" t="str">
        <f t="shared" si="1"/>
        <v>P173</v>
      </c>
      <c r="Q13" s="5" t="str">
        <f t="shared" si="1"/>
        <v>Q173</v>
      </c>
      <c r="R13" s="25"/>
      <c r="S13" s="25"/>
      <c r="T13" s="25"/>
      <c r="U13" s="25">
        <v>1.1000000000000001</v>
      </c>
      <c r="V13" s="25">
        <f t="shared" ca="1" si="0"/>
        <v>3.1173749979333615E-2</v>
      </c>
      <c r="W13" s="25"/>
      <c r="X13" s="25"/>
      <c r="Y13" s="25"/>
      <c r="Z13" s="25"/>
      <c r="AA13" s="25">
        <v>13</v>
      </c>
      <c r="AB13" s="25" t="s">
        <v>127</v>
      </c>
      <c r="AC13" s="25"/>
      <c r="AD13" s="25"/>
      <c r="AE13" s="25"/>
      <c r="AF13" s="25"/>
      <c r="AG13" s="25"/>
      <c r="AH13" s="25"/>
      <c r="AI13" s="25"/>
    </row>
    <row r="14" spans="1:35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>
        <v>1.2</v>
      </c>
      <c r="V14" s="25">
        <f t="shared" ca="1" si="0"/>
        <v>3.6805150194864446E-2</v>
      </c>
      <c r="W14" s="25"/>
      <c r="X14" s="25"/>
      <c r="Y14" s="25"/>
      <c r="Z14" s="25"/>
      <c r="AA14" s="25">
        <v>14</v>
      </c>
      <c r="AB14" s="25" t="s">
        <v>128</v>
      </c>
      <c r="AC14" s="25"/>
      <c r="AD14" s="25"/>
      <c r="AE14" s="25"/>
      <c r="AF14" s="25"/>
      <c r="AG14" s="25"/>
      <c r="AH14" s="25"/>
      <c r="AI14" s="25"/>
    </row>
    <row r="15" spans="1:35" x14ac:dyDescent="0.2">
      <c r="A15" s="61" t="s">
        <v>132</v>
      </c>
      <c r="B15" s="61">
        <f>C9-C8+1</f>
        <v>153</v>
      </c>
      <c r="C15" s="5" t="str">
        <f t="shared" ref="C15:Q15" si="3">VLOOKUP(C16,$AA1:$AB20,2,FALSE)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25"/>
      <c r="S15" s="25"/>
      <c r="T15" s="25"/>
      <c r="U15" s="25">
        <v>1.3</v>
      </c>
      <c r="V15" s="25">
        <f t="shared" ca="1" si="0"/>
        <v>4.2922814804289278E-2</v>
      </c>
      <c r="W15" s="25"/>
      <c r="X15" s="25"/>
      <c r="Y15" s="25"/>
      <c r="Z15" s="25"/>
      <c r="AA15" s="25">
        <v>15</v>
      </c>
      <c r="AB15" s="25" t="s">
        <v>129</v>
      </c>
      <c r="AC15" s="25"/>
      <c r="AD15" s="25"/>
      <c r="AE15" s="25"/>
      <c r="AF15" s="25"/>
      <c r="AG15" s="25"/>
      <c r="AH15" s="25"/>
      <c r="AI15" s="25"/>
    </row>
    <row r="16" spans="1:35" x14ac:dyDescent="0.2">
      <c r="A16" s="5"/>
      <c r="B16" s="2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5"/>
      <c r="S16" s="25"/>
      <c r="T16" s="25"/>
      <c r="U16" s="25">
        <v>1.4</v>
      </c>
      <c r="V16" s="25">
        <f t="shared" ca="1" si="0"/>
        <v>4.9526743807608076E-2</v>
      </c>
      <c r="W16" s="25"/>
      <c r="X16" s="25"/>
      <c r="Y16" s="25"/>
      <c r="Z16" s="25"/>
      <c r="AA16" s="25">
        <v>16</v>
      </c>
      <c r="AB16" s="25" t="s">
        <v>130</v>
      </c>
      <c r="AC16" s="25"/>
      <c r="AD16" s="25"/>
      <c r="AE16" s="25"/>
      <c r="AF16" s="25"/>
      <c r="AG16" s="25"/>
      <c r="AH16" s="25"/>
      <c r="AI16" s="25"/>
    </row>
    <row r="17" spans="1:35" x14ac:dyDescent="0.2">
      <c r="A17" s="61" t="s">
        <v>131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v>1.5</v>
      </c>
      <c r="V17" s="25">
        <f t="shared" ca="1" si="0"/>
        <v>5.6616937204820875E-2</v>
      </c>
      <c r="W17" s="25"/>
      <c r="X17" s="25"/>
      <c r="Y17" s="25"/>
      <c r="Z17" s="25"/>
      <c r="AA17" s="25">
        <v>17</v>
      </c>
      <c r="AB17" s="25" t="s">
        <v>133</v>
      </c>
      <c r="AC17" s="25"/>
      <c r="AD17" s="25"/>
      <c r="AE17" s="25"/>
      <c r="AF17" s="25"/>
      <c r="AG17" s="25"/>
      <c r="AH17" s="25"/>
      <c r="AI17" s="25"/>
    </row>
    <row r="18" spans="1:35" x14ac:dyDescent="0.2">
      <c r="A18" s="96">
        <v>10000</v>
      </c>
      <c r="B18" s="96">
        <v>1</v>
      </c>
      <c r="C18" s="25">
        <f ca="1">SUM(INDIRECT(C12):INDIRECT(C13))</f>
        <v>150.30000000000001</v>
      </c>
      <c r="D18" s="117">
        <f ca="1">SUM(INDIRECT(D12):INDIRECT(D13))</f>
        <v>168.11700000000002</v>
      </c>
      <c r="E18" s="117">
        <f ca="1">SUM(INDIRECT(E12):INDIRECT(E13))</f>
        <v>6.6159111159940949</v>
      </c>
      <c r="F18" s="61">
        <f ca="1">SUM(INDIRECT(F12):INDIRECT(F13))</f>
        <v>163.24282500000007</v>
      </c>
      <c r="G18" s="61">
        <f ca="1">SUM(INDIRECT(G12):INDIRECT(G13))</f>
        <v>6.3965741410072949</v>
      </c>
      <c r="H18" s="61">
        <f ca="1">SUM(INDIRECT(H12):INDIRECT(H13))</f>
        <v>252.27658759274999</v>
      </c>
      <c r="I18" s="61">
        <f ca="1">SUM(INDIRECT(I12):INDIRECT(I13))</f>
        <v>420.80267250008944</v>
      </c>
      <c r="J18" s="61">
        <f ca="1">SUM(INDIRECT(J12):INDIRECT(J13))</f>
        <v>729.03435311225019</v>
      </c>
      <c r="K18" s="61">
        <f ca="1">SUM(INDIRECT(K12):INDIRECT(K13))</f>
        <v>10.546137071908191</v>
      </c>
      <c r="L18" s="61">
        <f ca="1">SUM(INDIRECT(L12):INDIRECT(L13))</f>
        <v>18.224257591127802</v>
      </c>
      <c r="M18" s="25"/>
      <c r="N18" s="25">
        <f ca="1">SUM(INDIRECT(N12):INDIRECT(N13))</f>
        <v>4.0500437396413552E-4</v>
      </c>
      <c r="O18" s="25">
        <f ca="1">SQRT(SUM(INDIRECT(O12):INDIRECT(O13)))</f>
        <v>37419.216489536673</v>
      </c>
      <c r="P18" s="25">
        <f ca="1">SQRT(SUM(INDIRECT(P12):INDIRECT(P13)))</f>
        <v>96922.882607635664</v>
      </c>
      <c r="Q18" s="25">
        <f ca="1">SQRT(SUM(INDIRECT(Q12):INDIRECT(Q13)))</f>
        <v>47997.773385210618</v>
      </c>
      <c r="R18" s="25"/>
      <c r="S18" s="25"/>
      <c r="T18" s="25"/>
      <c r="U18" s="25">
        <v>1.6</v>
      </c>
      <c r="V18" s="25">
        <f t="shared" ca="1" si="0"/>
        <v>6.4193394995927675E-2</v>
      </c>
      <c r="W18" s="25"/>
      <c r="X18" s="25"/>
      <c r="Y18" s="25"/>
      <c r="Z18" s="25"/>
      <c r="AA18" s="25">
        <v>18</v>
      </c>
      <c r="AB18" s="25" t="s">
        <v>135</v>
      </c>
      <c r="AC18" s="25"/>
      <c r="AD18" s="25"/>
      <c r="AE18" s="25"/>
      <c r="AF18" s="25"/>
      <c r="AG18" s="25"/>
      <c r="AH18" s="25"/>
      <c r="AI18" s="25"/>
    </row>
    <row r="19" spans="1:35" x14ac:dyDescent="0.2">
      <c r="A19" s="97" t="s">
        <v>136</v>
      </c>
      <c r="B19" s="25"/>
      <c r="C19" s="25"/>
      <c r="D19" s="25"/>
      <c r="E19" s="25"/>
      <c r="F19" s="98" t="s">
        <v>137</v>
      </c>
      <c r="G19" s="98" t="s">
        <v>138</v>
      </c>
      <c r="H19" s="98" t="s">
        <v>139</v>
      </c>
      <c r="I19" s="98" t="s">
        <v>140</v>
      </c>
      <c r="J19" s="98" t="s">
        <v>141</v>
      </c>
      <c r="K19" s="98" t="s">
        <v>142</v>
      </c>
      <c r="L19" s="98" t="s">
        <v>143</v>
      </c>
      <c r="M19" s="99"/>
      <c r="N19" s="99"/>
      <c r="O19" s="99"/>
      <c r="P19" s="99"/>
      <c r="Q19" s="99"/>
      <c r="R19" s="25"/>
      <c r="S19" s="25"/>
      <c r="T19" s="25"/>
      <c r="U19" s="25">
        <v>1.7</v>
      </c>
      <c r="V19" s="25">
        <f t="shared" ca="1" si="0"/>
        <v>7.225611718092842E-2</v>
      </c>
      <c r="W19" s="25"/>
      <c r="X19" s="25"/>
      <c r="Y19" s="25"/>
      <c r="Z19" s="25"/>
      <c r="AA19" s="25">
        <v>19</v>
      </c>
      <c r="AB19" s="25" t="s">
        <v>144</v>
      </c>
      <c r="AC19" s="25"/>
      <c r="AD19" s="25"/>
      <c r="AE19" s="25"/>
      <c r="AF19" s="25"/>
      <c r="AG19" s="25"/>
      <c r="AH19" s="25"/>
      <c r="AI19" s="25"/>
    </row>
    <row r="20" spans="1:35" ht="15" thickBot="1" x14ac:dyDescent="0.25">
      <c r="A20" s="100" t="s">
        <v>145</v>
      </c>
      <c r="B20" s="100" t="s">
        <v>146</v>
      </c>
      <c r="C20" s="100" t="s">
        <v>177</v>
      </c>
      <c r="D20" s="100" t="s">
        <v>145</v>
      </c>
      <c r="E20" s="100" t="s">
        <v>146</v>
      </c>
      <c r="F20" s="100" t="s">
        <v>178</v>
      </c>
      <c r="G20" s="100" t="s">
        <v>179</v>
      </c>
      <c r="H20" s="100" t="s">
        <v>187</v>
      </c>
      <c r="I20" s="100" t="s">
        <v>188</v>
      </c>
      <c r="J20" s="100" t="s">
        <v>189</v>
      </c>
      <c r="K20" s="100" t="s">
        <v>180</v>
      </c>
      <c r="L20" s="100" t="s">
        <v>190</v>
      </c>
      <c r="M20" s="101" t="s">
        <v>152</v>
      </c>
      <c r="N20" s="100" t="s">
        <v>153</v>
      </c>
      <c r="O20" s="100" t="s">
        <v>154</v>
      </c>
      <c r="P20" s="100" t="s">
        <v>155</v>
      </c>
      <c r="Q20" s="100" t="s">
        <v>156</v>
      </c>
      <c r="R20" s="76" t="s">
        <v>157</v>
      </c>
      <c r="S20" s="25"/>
      <c r="T20" s="25"/>
      <c r="U20" s="25">
        <v>1.8</v>
      </c>
      <c r="V20" s="25">
        <f t="shared" ca="1" si="0"/>
        <v>8.080510375982318E-2</v>
      </c>
      <c r="W20" s="25"/>
      <c r="X20" s="25"/>
      <c r="Y20" s="25"/>
      <c r="Z20" s="25"/>
      <c r="AA20" s="25">
        <v>20</v>
      </c>
      <c r="AB20" s="25" t="s">
        <v>158</v>
      </c>
      <c r="AC20" s="25"/>
      <c r="AD20" s="25"/>
      <c r="AE20" s="25"/>
      <c r="AF20" s="25"/>
      <c r="AG20" s="25"/>
      <c r="AH20" s="25"/>
      <c r="AI20" s="25"/>
    </row>
    <row r="21" spans="1:35" x14ac:dyDescent="0.2">
      <c r="A21" s="102">
        <v>17003</v>
      </c>
      <c r="B21" s="102">
        <v>7.134109999606153E-2</v>
      </c>
      <c r="C21" s="102">
        <v>0.1</v>
      </c>
      <c r="D21" s="103">
        <f t="shared" ref="D21:E35" si="4">A21/A$18</f>
        <v>1.7002999999999999</v>
      </c>
      <c r="E21" s="103">
        <f t="shared" si="4"/>
        <v>7.134109999606153E-2</v>
      </c>
      <c r="F21" s="92">
        <f t="shared" ref="F21:G35" si="5">$C21*D21</f>
        <v>0.17003000000000001</v>
      </c>
      <c r="G21" s="92">
        <f t="shared" si="5"/>
        <v>7.1341099996061535E-3</v>
      </c>
      <c r="H21" s="92">
        <f t="shared" ref="H21:H35" si="6">C21*D21*D21</f>
        <v>0.28910200899999999</v>
      </c>
      <c r="I21" s="92">
        <f t="shared" ref="I21:I35" si="7">C21*D21*D21*D21</f>
        <v>0.49156014590269997</v>
      </c>
      <c r="J21" s="92">
        <f t="shared" ref="J21:J35" si="8">C21*D21*D21*D21*D21</f>
        <v>0.83579971607836068</v>
      </c>
      <c r="K21" s="92">
        <f t="shared" ref="K21:K35" si="9">C21*E21*D21</f>
        <v>1.2130127232330342E-2</v>
      </c>
      <c r="L21" s="92">
        <f t="shared" ref="L21:L35" si="10">C21*E21*D21*D21</f>
        <v>2.062485533313128E-2</v>
      </c>
      <c r="M21" s="92">
        <f t="shared" ref="M21:M34" ca="1" si="11">+E$4+E$5*D21+E$6*D21^2</f>
        <v>7.2281036932264023E-2</v>
      </c>
      <c r="N21" s="92">
        <f t="shared" ref="N21:N35" ca="1" si="12">C21*(M21-E21)^2</f>
        <v>8.8348144403772914E-8</v>
      </c>
      <c r="O21" s="112">
        <f t="shared" ref="O21:O35" ca="1" si="13">(C21*O$1-O$2*F21+O$3*H21)^2</f>
        <v>1670.8763623584696</v>
      </c>
      <c r="P21" s="92">
        <f t="shared" ref="P21:P35" ca="1" si="14">(-C21*O$2+O$4*F21-O$5*H21)^2</f>
        <v>21203.440325955802</v>
      </c>
      <c r="Q21" s="92">
        <f t="shared" ref="Q21:Q35" ca="1" si="15">+(C21*O$3-F21*O$5+H21*O$6)^2</f>
        <v>126.28676165138269</v>
      </c>
      <c r="R21" s="25">
        <f t="shared" ref="R21:R34" ca="1" si="16">+E21-M21</f>
        <v>-9.3993693620249286E-4</v>
      </c>
      <c r="S21" s="25"/>
      <c r="T21" s="25"/>
      <c r="U21" s="25">
        <v>1.9</v>
      </c>
      <c r="V21" s="25">
        <f ca="1">+E$4+E$5*U21+E$6*U21^2</f>
        <v>8.9840354732611913E-2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x14ac:dyDescent="0.2">
      <c r="A22" s="102">
        <v>17824</v>
      </c>
      <c r="B22" s="102">
        <v>8.0788799998117611E-2</v>
      </c>
      <c r="C22" s="102">
        <v>0.1</v>
      </c>
      <c r="D22" s="103">
        <f t="shared" si="4"/>
        <v>1.7824</v>
      </c>
      <c r="E22" s="103">
        <f t="shared" si="4"/>
        <v>8.0788799998117611E-2</v>
      </c>
      <c r="F22" s="92">
        <f t="shared" si="5"/>
        <v>0.17824000000000001</v>
      </c>
      <c r="G22" s="92">
        <f t="shared" si="5"/>
        <v>8.0788799998117618E-3</v>
      </c>
      <c r="H22" s="92">
        <f t="shared" si="6"/>
        <v>0.31769497600000002</v>
      </c>
      <c r="I22" s="92">
        <f t="shared" si="7"/>
        <v>0.56625952522239997</v>
      </c>
      <c r="J22" s="92">
        <f t="shared" si="8"/>
        <v>1.0093009777564057</v>
      </c>
      <c r="K22" s="92">
        <f t="shared" si="9"/>
        <v>1.4399795711664484E-2</v>
      </c>
      <c r="L22" s="92">
        <f t="shared" si="10"/>
        <v>2.5666195876470777E-2</v>
      </c>
      <c r="M22" s="92">
        <f t="shared" ca="1" si="11"/>
        <v>7.9265222118207662E-2</v>
      </c>
      <c r="N22" s="92">
        <f t="shared" ca="1" si="12"/>
        <v>2.3212895561508938E-7</v>
      </c>
      <c r="O22" s="112">
        <f t="shared" ca="1" si="13"/>
        <v>4.0057470589754471</v>
      </c>
      <c r="P22" s="92">
        <f t="shared" ca="1" si="14"/>
        <v>11703.189967632177</v>
      </c>
      <c r="Q22" s="92">
        <f t="shared" ca="1" si="15"/>
        <v>23196.080337440992</v>
      </c>
      <c r="R22" s="25">
        <f t="shared" ca="1" si="16"/>
        <v>1.5235778799099486E-3</v>
      </c>
      <c r="S22" s="25"/>
      <c r="T22" s="25"/>
      <c r="U22" s="25">
        <v>2</v>
      </c>
      <c r="V22" s="25">
        <f ca="1">+E$4+E$5*U22+E$6*U22^2</f>
        <v>9.9361870099294647E-2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x14ac:dyDescent="0.2">
      <c r="A23" s="102">
        <v>19330.5</v>
      </c>
      <c r="B23" s="102">
        <v>9.1577849991153926E-2</v>
      </c>
      <c r="C23" s="102">
        <v>0.1</v>
      </c>
      <c r="D23" s="103">
        <f t="shared" si="4"/>
        <v>1.9330499999999999</v>
      </c>
      <c r="E23" s="103">
        <f t="shared" si="4"/>
        <v>9.1577849991153926E-2</v>
      </c>
      <c r="F23" s="92">
        <f t="shared" si="5"/>
        <v>0.193305</v>
      </c>
      <c r="G23" s="92">
        <f t="shared" si="5"/>
        <v>9.1577849991153933E-3</v>
      </c>
      <c r="H23" s="92">
        <f t="shared" si="6"/>
        <v>0.37366823025000001</v>
      </c>
      <c r="I23" s="92">
        <f t="shared" si="7"/>
        <v>0.72231937248476252</v>
      </c>
      <c r="J23" s="92">
        <f t="shared" si="8"/>
        <v>1.3962794629816702</v>
      </c>
      <c r="K23" s="92">
        <f t="shared" si="9"/>
        <v>1.7702456292540011E-2</v>
      </c>
      <c r="L23" s="92">
        <f t="shared" si="10"/>
        <v>3.4219733136294471E-2</v>
      </c>
      <c r="M23" s="92">
        <f t="shared" ca="1" si="11"/>
        <v>9.2933417760865139E-2</v>
      </c>
      <c r="N23" s="92">
        <f t="shared" ca="1" si="12"/>
        <v>1.8375639782798334E-7</v>
      </c>
      <c r="O23" s="112">
        <f t="shared" ca="1" si="13"/>
        <v>7575.6104264064688</v>
      </c>
      <c r="P23" s="92">
        <f t="shared" ca="1" si="14"/>
        <v>424127.36616515584</v>
      </c>
      <c r="Q23" s="92">
        <f t="shared" ca="1" si="15"/>
        <v>203097.86368717052</v>
      </c>
      <c r="R23" s="25">
        <f t="shared" ca="1" si="16"/>
        <v>-1.3555677697112134E-3</v>
      </c>
      <c r="S23" s="25"/>
      <c r="T23" s="25"/>
      <c r="U23" s="25">
        <v>2.1</v>
      </c>
      <c r="V23" s="25">
        <f ca="1">+E$4+E$5*U23+E$6*U23^2</f>
        <v>0.10936964985987137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x14ac:dyDescent="0.2">
      <c r="A24" s="102">
        <v>-1468.5</v>
      </c>
      <c r="B24" s="102">
        <v>-2.6845000684261322E-4</v>
      </c>
      <c r="C24" s="102">
        <v>1</v>
      </c>
      <c r="D24" s="103">
        <f t="shared" si="4"/>
        <v>-0.14685000000000001</v>
      </c>
      <c r="E24" s="103">
        <f t="shared" si="4"/>
        <v>-2.6845000684261322E-4</v>
      </c>
      <c r="F24" s="92">
        <f t="shared" si="5"/>
        <v>-0.14685000000000001</v>
      </c>
      <c r="G24" s="92">
        <f t="shared" si="5"/>
        <v>-2.6845000684261322E-4</v>
      </c>
      <c r="H24" s="92">
        <f t="shared" si="6"/>
        <v>2.1564922500000003E-2</v>
      </c>
      <c r="I24" s="92">
        <f t="shared" si="7"/>
        <v>-3.1668088691250008E-3</v>
      </c>
      <c r="J24" s="92">
        <f t="shared" si="8"/>
        <v>4.6504588243100639E-4</v>
      </c>
      <c r="K24" s="92">
        <f t="shared" si="9"/>
        <v>3.9421883504837752E-5</v>
      </c>
      <c r="L24" s="92">
        <f t="shared" si="10"/>
        <v>-5.7891035926854238E-6</v>
      </c>
      <c r="M24" s="92">
        <f t="shared" ca="1" si="11"/>
        <v>1.7883106054152678E-3</v>
      </c>
      <c r="N24" s="92">
        <f t="shared" ca="1" si="12"/>
        <v>4.2302642161354141E-6</v>
      </c>
      <c r="O24" s="112">
        <f t="shared" ca="1" si="13"/>
        <v>78136173.718736589</v>
      </c>
      <c r="P24" s="92">
        <f t="shared" ca="1" si="14"/>
        <v>402871423.80688453</v>
      </c>
      <c r="Q24" s="92">
        <f t="shared" ca="1" si="15"/>
        <v>72806913.358349785</v>
      </c>
      <c r="R24" s="25">
        <f t="shared" ca="1" si="16"/>
        <v>-2.056760612257881E-3</v>
      </c>
      <c r="S24" s="25"/>
      <c r="T24" s="25"/>
      <c r="U24" s="25">
        <v>2.2000000000000002</v>
      </c>
      <c r="V24" s="25">
        <f ca="1">+E$4+E$5*U24+E$6*U24^2</f>
        <v>0.11986369401434208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x14ac:dyDescent="0.2">
      <c r="A25" s="102">
        <v>-715</v>
      </c>
      <c r="B25" s="102">
        <v>1.7044999985955656E-3</v>
      </c>
      <c r="C25" s="102">
        <v>1</v>
      </c>
      <c r="D25" s="103">
        <f t="shared" si="4"/>
        <v>-7.1499999999999994E-2</v>
      </c>
      <c r="E25" s="103">
        <f t="shared" si="4"/>
        <v>1.7044999985955656E-3</v>
      </c>
      <c r="F25" s="92">
        <f t="shared" si="5"/>
        <v>-7.1499999999999994E-2</v>
      </c>
      <c r="G25" s="92">
        <f t="shared" si="5"/>
        <v>1.7044999985955656E-3</v>
      </c>
      <c r="H25" s="92">
        <f t="shared" si="6"/>
        <v>5.1122499999999987E-3</v>
      </c>
      <c r="I25" s="92">
        <f t="shared" si="7"/>
        <v>-3.6552587499999987E-4</v>
      </c>
      <c r="J25" s="92">
        <f t="shared" si="8"/>
        <v>2.6135100062499989E-5</v>
      </c>
      <c r="K25" s="92">
        <f t="shared" si="9"/>
        <v>-1.2187174989958293E-4</v>
      </c>
      <c r="L25" s="92">
        <f t="shared" si="10"/>
        <v>8.7138301178201788E-6</v>
      </c>
      <c r="M25" s="92">
        <f t="shared" ca="1" si="11"/>
        <v>1.4179506875704538E-3</v>
      </c>
      <c r="N25" s="92">
        <f t="shared" ca="1" si="12"/>
        <v>8.2110507648966255E-8</v>
      </c>
      <c r="O25" s="112">
        <f t="shared" ca="1" si="13"/>
        <v>60654005.853673413</v>
      </c>
      <c r="P25" s="92">
        <f t="shared" ca="1" si="14"/>
        <v>263990547.01938862</v>
      </c>
      <c r="Q25" s="92">
        <f t="shared" ca="1" si="15"/>
        <v>44685848.358364329</v>
      </c>
      <c r="R25" s="25">
        <f t="shared" ca="1" si="16"/>
        <v>2.8654931102511179E-4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x14ac:dyDescent="0.2">
      <c r="A26" s="102">
        <v>-713</v>
      </c>
      <c r="B26" s="102">
        <v>1.3190000026952475E-4</v>
      </c>
      <c r="C26" s="102">
        <v>1</v>
      </c>
      <c r="D26" s="103">
        <f t="shared" si="4"/>
        <v>-7.1300000000000002E-2</v>
      </c>
      <c r="E26" s="103">
        <f t="shared" si="4"/>
        <v>1.3190000026952475E-4</v>
      </c>
      <c r="F26" s="92">
        <f t="shared" si="5"/>
        <v>-7.1300000000000002E-2</v>
      </c>
      <c r="G26" s="92">
        <f t="shared" si="5"/>
        <v>1.3190000026952475E-4</v>
      </c>
      <c r="H26" s="92">
        <f t="shared" si="6"/>
        <v>5.0836900000000001E-3</v>
      </c>
      <c r="I26" s="92">
        <f t="shared" si="7"/>
        <v>-3.6246709700000004E-4</v>
      </c>
      <c r="J26" s="92">
        <f t="shared" si="8"/>
        <v>2.5843904016100005E-5</v>
      </c>
      <c r="K26" s="92">
        <f t="shared" si="9"/>
        <v>-9.404470019217115E-6</v>
      </c>
      <c r="L26" s="92">
        <f t="shared" si="10"/>
        <v>6.705387123701803E-7</v>
      </c>
      <c r="M26" s="92">
        <f t="shared" ca="1" si="11"/>
        <v>1.4173350213874732E-3</v>
      </c>
      <c r="N26" s="92">
        <f t="shared" ca="1" si="12"/>
        <v>1.6523431935165005E-6</v>
      </c>
      <c r="O26" s="112">
        <f t="shared" ca="1" si="13"/>
        <v>60611733.234382302</v>
      </c>
      <c r="P26" s="92">
        <f t="shared" ca="1" si="14"/>
        <v>263671659.25061211</v>
      </c>
      <c r="Q26" s="92">
        <f t="shared" ca="1" si="15"/>
        <v>44622570.214782141</v>
      </c>
      <c r="R26" s="25">
        <f t="shared" ca="1" si="16"/>
        <v>-1.2854350211179485E-3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x14ac:dyDescent="0.2">
      <c r="A27" s="102">
        <v>0</v>
      </c>
      <c r="B27" s="102">
        <v>-1.0000000038417056E-3</v>
      </c>
      <c r="C27" s="102">
        <v>1</v>
      </c>
      <c r="D27" s="103">
        <f t="shared" si="4"/>
        <v>0</v>
      </c>
      <c r="E27" s="103">
        <f t="shared" si="4"/>
        <v>-1.0000000038417056E-3</v>
      </c>
      <c r="F27" s="92">
        <f t="shared" si="5"/>
        <v>0</v>
      </c>
      <c r="G27" s="92">
        <f t="shared" si="5"/>
        <v>-1.0000000038417056E-3</v>
      </c>
      <c r="H27" s="92">
        <f t="shared" si="6"/>
        <v>0</v>
      </c>
      <c r="I27" s="92">
        <f t="shared" si="7"/>
        <v>0</v>
      </c>
      <c r="J27" s="92">
        <f t="shared" si="8"/>
        <v>0</v>
      </c>
      <c r="K27" s="92">
        <f t="shared" si="9"/>
        <v>0</v>
      </c>
      <c r="L27" s="92">
        <f t="shared" si="10"/>
        <v>0</v>
      </c>
      <c r="M27" s="92">
        <f t="shared" ca="1" si="11"/>
        <v>1.3217976054974759E-3</v>
      </c>
      <c r="N27" s="92">
        <f t="shared" ca="1" si="12"/>
        <v>5.3907441387331389E-6</v>
      </c>
      <c r="O27" s="112">
        <f t="shared" ca="1" si="13"/>
        <v>46832255.744865298</v>
      </c>
      <c r="P27" s="92">
        <f t="shared" ca="1" si="14"/>
        <v>165147302.86691454</v>
      </c>
      <c r="Q27" s="92">
        <f t="shared" ca="1" si="15"/>
        <v>25497858.039373431</v>
      </c>
      <c r="R27" s="25">
        <f t="shared" ca="1" si="16"/>
        <v>-2.3217976093391816E-3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x14ac:dyDescent="0.2">
      <c r="A28" s="102">
        <v>87</v>
      </c>
      <c r="B28" s="102">
        <v>8.9189999562222511E-4</v>
      </c>
      <c r="C28" s="102">
        <v>1</v>
      </c>
      <c r="D28" s="103">
        <f t="shared" si="4"/>
        <v>8.6999999999999994E-3</v>
      </c>
      <c r="E28" s="103">
        <f t="shared" si="4"/>
        <v>8.9189999562222511E-4</v>
      </c>
      <c r="F28" s="92">
        <f t="shared" si="5"/>
        <v>8.6999999999999994E-3</v>
      </c>
      <c r="G28" s="92">
        <f t="shared" si="5"/>
        <v>8.9189999562222511E-4</v>
      </c>
      <c r="H28" s="92">
        <f t="shared" si="6"/>
        <v>7.5689999999999989E-5</v>
      </c>
      <c r="I28" s="92">
        <f t="shared" si="7"/>
        <v>6.585029999999999E-7</v>
      </c>
      <c r="J28" s="92">
        <f t="shared" si="8"/>
        <v>5.7289760999999986E-9</v>
      </c>
      <c r="K28" s="92">
        <f t="shared" si="9"/>
        <v>7.7595299619133579E-6</v>
      </c>
      <c r="L28" s="92">
        <f t="shared" si="10"/>
        <v>6.750791066864621E-8</v>
      </c>
      <c r="M28" s="92">
        <f t="shared" ca="1" si="11"/>
        <v>1.3270621657564177E-3</v>
      </c>
      <c r="N28" s="92">
        <f t="shared" ca="1" si="12"/>
        <v>1.8936611431589995E-7</v>
      </c>
      <c r="O28" s="112">
        <f t="shared" ca="1" si="13"/>
        <v>45319668.646498509</v>
      </c>
      <c r="P28" s="92">
        <f t="shared" ca="1" si="14"/>
        <v>155078223.64713898</v>
      </c>
      <c r="Q28" s="92">
        <f t="shared" ca="1" si="15"/>
        <v>23604380.213876795</v>
      </c>
      <c r="R28" s="25">
        <f t="shared" ca="1" si="16"/>
        <v>-4.3516217013419255E-4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x14ac:dyDescent="0.2">
      <c r="A29" s="102">
        <v>116.5</v>
      </c>
      <c r="B29" s="102">
        <v>2.2460499967564829E-3</v>
      </c>
      <c r="C29" s="102">
        <v>1</v>
      </c>
      <c r="D29" s="103">
        <f t="shared" si="4"/>
        <v>1.1650000000000001E-2</v>
      </c>
      <c r="E29" s="103">
        <f t="shared" si="4"/>
        <v>2.2460499967564829E-3</v>
      </c>
      <c r="F29" s="92">
        <f t="shared" si="5"/>
        <v>1.1650000000000001E-2</v>
      </c>
      <c r="G29" s="92">
        <f t="shared" si="5"/>
        <v>2.2460499967564829E-3</v>
      </c>
      <c r="H29" s="92">
        <f t="shared" si="6"/>
        <v>1.3572250000000002E-4</v>
      </c>
      <c r="I29" s="92">
        <f t="shared" si="7"/>
        <v>1.5811671250000003E-6</v>
      </c>
      <c r="J29" s="92">
        <f t="shared" si="8"/>
        <v>1.8420597006250005E-8</v>
      </c>
      <c r="K29" s="92">
        <f t="shared" si="9"/>
        <v>2.6166482462213026E-5</v>
      </c>
      <c r="L29" s="92">
        <f t="shared" si="10"/>
        <v>3.0483952068478175E-7</v>
      </c>
      <c r="M29" s="92">
        <f t="shared" ca="1" si="11"/>
        <v>1.3296828598473645E-3</v>
      </c>
      <c r="N29" s="92">
        <f t="shared" ca="1" si="12"/>
        <v>8.3972872960701484E-7</v>
      </c>
      <c r="O29" s="112">
        <f t="shared" ca="1" si="13"/>
        <v>44814740.336045749</v>
      </c>
      <c r="P29" s="92">
        <f t="shared" ca="1" si="14"/>
        <v>151754574.66975322</v>
      </c>
      <c r="Q29" s="92">
        <f t="shared" ca="1" si="15"/>
        <v>22982634.930366565</v>
      </c>
      <c r="R29" s="25">
        <f t="shared" ca="1" si="16"/>
        <v>9.1636713690911834E-4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x14ac:dyDescent="0.2">
      <c r="A30" s="102">
        <v>764</v>
      </c>
      <c r="B30" s="102">
        <v>2.6679999427869916E-4</v>
      </c>
      <c r="C30" s="102">
        <v>1</v>
      </c>
      <c r="D30" s="103">
        <f t="shared" si="4"/>
        <v>7.6399999999999996E-2</v>
      </c>
      <c r="E30" s="103">
        <f t="shared" si="4"/>
        <v>2.6679999427869916E-4</v>
      </c>
      <c r="F30" s="92">
        <f t="shared" si="5"/>
        <v>7.6399999999999996E-2</v>
      </c>
      <c r="G30" s="92">
        <f t="shared" si="5"/>
        <v>2.6679999427869916E-4</v>
      </c>
      <c r="H30" s="92">
        <f t="shared" si="6"/>
        <v>5.8369599999999995E-3</v>
      </c>
      <c r="I30" s="92">
        <f t="shared" si="7"/>
        <v>4.4594374399999992E-4</v>
      </c>
      <c r="J30" s="92">
        <f t="shared" si="8"/>
        <v>3.4070102041599993E-5</v>
      </c>
      <c r="K30" s="92">
        <f t="shared" si="9"/>
        <v>2.0383519562892615E-5</v>
      </c>
      <c r="L30" s="92">
        <f t="shared" si="10"/>
        <v>1.5573008946049958E-6</v>
      </c>
      <c r="M30" s="92">
        <f t="shared" ca="1" si="11"/>
        <v>1.4937836962396465E-3</v>
      </c>
      <c r="N30" s="92">
        <f t="shared" ca="1" si="12"/>
        <v>1.5054890048777908E-6</v>
      </c>
      <c r="O30" s="112">
        <f t="shared" ca="1" si="13"/>
        <v>34704704.481524132</v>
      </c>
      <c r="P30" s="92">
        <f t="shared" ca="1" si="14"/>
        <v>89693627.135692194</v>
      </c>
      <c r="Q30" s="92">
        <f t="shared" ca="1" si="15"/>
        <v>11762186.102462184</v>
      </c>
      <c r="R30" s="25">
        <f t="shared" ca="1" si="16"/>
        <v>-1.2269837019609473E-3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x14ac:dyDescent="0.2">
      <c r="A31" s="102">
        <v>790.5</v>
      </c>
      <c r="B31" s="102">
        <v>3.5798499957309105E-3</v>
      </c>
      <c r="C31" s="102">
        <v>1</v>
      </c>
      <c r="D31" s="103">
        <f t="shared" si="4"/>
        <v>7.9049999999999995E-2</v>
      </c>
      <c r="E31" s="103">
        <f t="shared" si="4"/>
        <v>3.5798499957309105E-3</v>
      </c>
      <c r="F31" s="92">
        <f t="shared" si="5"/>
        <v>7.9049999999999995E-2</v>
      </c>
      <c r="G31" s="92">
        <f t="shared" si="5"/>
        <v>3.5798499957309105E-3</v>
      </c>
      <c r="H31" s="92">
        <f t="shared" si="6"/>
        <v>6.2489024999999995E-3</v>
      </c>
      <c r="I31" s="92">
        <f t="shared" si="7"/>
        <v>4.9397574262499992E-4</v>
      </c>
      <c r="J31" s="92">
        <f t="shared" si="8"/>
        <v>3.904878245450624E-5</v>
      </c>
      <c r="K31" s="92">
        <f t="shared" si="9"/>
        <v>2.8298714216252845E-4</v>
      </c>
      <c r="L31" s="92">
        <f t="shared" si="10"/>
        <v>2.2370133587947871E-5</v>
      </c>
      <c r="M31" s="92">
        <f t="shared" ca="1" si="11"/>
        <v>1.504842376416105E-3</v>
      </c>
      <c r="N31" s="92">
        <f t="shared" ca="1" si="12"/>
        <v>4.3056566202144966E-6</v>
      </c>
      <c r="O31" s="112">
        <f t="shared" ca="1" si="13"/>
        <v>34328993.699458145</v>
      </c>
      <c r="P31" s="92">
        <f t="shared" ca="1" si="14"/>
        <v>87573018.299308077</v>
      </c>
      <c r="Q31" s="92">
        <f t="shared" ca="1" si="15"/>
        <v>11395864.502221925</v>
      </c>
      <c r="R31" s="25">
        <f t="shared" ca="1" si="16"/>
        <v>2.0750076193148054E-3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">
      <c r="A32" s="102">
        <v>790.5</v>
      </c>
      <c r="B32" s="102">
        <v>4.2798499925993383E-3</v>
      </c>
      <c r="C32" s="102">
        <v>1</v>
      </c>
      <c r="D32" s="103">
        <f t="shared" si="4"/>
        <v>7.9049999999999995E-2</v>
      </c>
      <c r="E32" s="103">
        <f t="shared" si="4"/>
        <v>4.2798499925993383E-3</v>
      </c>
      <c r="F32" s="92">
        <f t="shared" si="5"/>
        <v>7.9049999999999995E-2</v>
      </c>
      <c r="G32" s="92">
        <f t="shared" si="5"/>
        <v>4.2798499925993383E-3</v>
      </c>
      <c r="H32" s="92">
        <f t="shared" si="6"/>
        <v>6.2489024999999995E-3</v>
      </c>
      <c r="I32" s="92">
        <f t="shared" si="7"/>
        <v>4.9397574262499992E-4</v>
      </c>
      <c r="J32" s="92">
        <f t="shared" si="8"/>
        <v>3.904878245450624E-5</v>
      </c>
      <c r="K32" s="92">
        <f t="shared" si="9"/>
        <v>3.3832214191497766E-4</v>
      </c>
      <c r="L32" s="92">
        <f t="shared" si="10"/>
        <v>2.6744365318378982E-5</v>
      </c>
      <c r="M32" s="92">
        <f t="shared" ca="1" si="11"/>
        <v>1.504842376416105E-3</v>
      </c>
      <c r="N32" s="92">
        <f t="shared" ca="1" si="12"/>
        <v>7.7006672698749516E-6</v>
      </c>
      <c r="O32" s="112">
        <f t="shared" ca="1" si="13"/>
        <v>34328993.699458145</v>
      </c>
      <c r="P32" s="92">
        <f t="shared" ca="1" si="14"/>
        <v>87573018.299308077</v>
      </c>
      <c r="Q32" s="92">
        <f t="shared" ca="1" si="15"/>
        <v>11395864.502221925</v>
      </c>
      <c r="R32" s="25">
        <f t="shared" ca="1" si="16"/>
        <v>2.7750076161832333E-3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x14ac:dyDescent="0.2">
      <c r="A33" s="102">
        <v>790.5</v>
      </c>
      <c r="B33" s="102">
        <v>4.9798499967437238E-3</v>
      </c>
      <c r="C33" s="102">
        <v>1</v>
      </c>
      <c r="D33" s="103">
        <f t="shared" si="4"/>
        <v>7.9049999999999995E-2</v>
      </c>
      <c r="E33" s="103">
        <f t="shared" si="4"/>
        <v>4.9798499967437238E-3</v>
      </c>
      <c r="F33" s="92">
        <f t="shared" si="5"/>
        <v>7.9049999999999995E-2</v>
      </c>
      <c r="G33" s="92">
        <f t="shared" si="5"/>
        <v>4.9798499967437238E-3</v>
      </c>
      <c r="H33" s="92">
        <f t="shared" si="6"/>
        <v>6.2489024999999995E-3</v>
      </c>
      <c r="I33" s="92">
        <f t="shared" si="7"/>
        <v>4.9397574262499992E-4</v>
      </c>
      <c r="J33" s="92">
        <f t="shared" si="8"/>
        <v>3.904878245450624E-5</v>
      </c>
      <c r="K33" s="92">
        <f t="shared" si="9"/>
        <v>3.9365714224259135E-4</v>
      </c>
      <c r="L33" s="92">
        <f t="shared" si="10"/>
        <v>3.1118597094276843E-5</v>
      </c>
      <c r="M33" s="92">
        <f t="shared" ca="1" si="11"/>
        <v>1.504842376416105E-3</v>
      </c>
      <c r="N33" s="92">
        <f t="shared" ca="1" si="12"/>
        <v>1.207567796133502E-5</v>
      </c>
      <c r="O33" s="112">
        <f t="shared" ca="1" si="13"/>
        <v>34328993.699458145</v>
      </c>
      <c r="P33" s="92">
        <f t="shared" ca="1" si="14"/>
        <v>87573018.299308077</v>
      </c>
      <c r="Q33" s="92">
        <f t="shared" ca="1" si="15"/>
        <v>11395864.502221925</v>
      </c>
      <c r="R33" s="25">
        <f t="shared" ca="1" si="16"/>
        <v>3.4750076203276187E-3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x14ac:dyDescent="0.2">
      <c r="A34" s="102">
        <v>793.5</v>
      </c>
      <c r="B34" s="102">
        <v>1.3209499957156368E-3</v>
      </c>
      <c r="C34" s="102">
        <v>1</v>
      </c>
      <c r="D34" s="103">
        <f t="shared" si="4"/>
        <v>7.9350000000000004E-2</v>
      </c>
      <c r="E34" s="103">
        <f t="shared" si="4"/>
        <v>1.3209499957156368E-3</v>
      </c>
      <c r="F34" s="92">
        <f t="shared" si="5"/>
        <v>7.9350000000000004E-2</v>
      </c>
      <c r="G34" s="92">
        <f t="shared" si="5"/>
        <v>1.3209499957156368E-3</v>
      </c>
      <c r="H34" s="92">
        <f t="shared" si="6"/>
        <v>6.2964225000000009E-3</v>
      </c>
      <c r="I34" s="92">
        <f t="shared" si="7"/>
        <v>4.996211253750001E-4</v>
      </c>
      <c r="J34" s="92">
        <f t="shared" si="8"/>
        <v>3.9644936298506258E-5</v>
      </c>
      <c r="K34" s="92">
        <f t="shared" si="9"/>
        <v>1.0481738216003578E-4</v>
      </c>
      <c r="L34" s="92">
        <f t="shared" si="10"/>
        <v>8.3172592743988393E-6</v>
      </c>
      <c r="M34" s="92">
        <f t="shared" ca="1" si="11"/>
        <v>1.5061158196732472E-3</v>
      </c>
      <c r="N34" s="92">
        <f t="shared" ca="1" si="12"/>
        <v>3.4286382361900772E-8</v>
      </c>
      <c r="O34" s="112">
        <f t="shared" ca="1" si="13"/>
        <v>34286641.583790362</v>
      </c>
      <c r="P34" s="92">
        <f t="shared" ca="1" si="14"/>
        <v>87334912.912414208</v>
      </c>
      <c r="Q34" s="92">
        <f t="shared" ca="1" si="15"/>
        <v>11354826.49469175</v>
      </c>
      <c r="R34" s="25">
        <f t="shared" ca="1" si="16"/>
        <v>-1.8516582395761041E-4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">
      <c r="A35" s="102">
        <v>793.5</v>
      </c>
      <c r="B35" s="102">
        <v>1.4209499931894243E-3</v>
      </c>
      <c r="C35" s="102">
        <v>1</v>
      </c>
      <c r="D35" s="103">
        <f t="shared" si="4"/>
        <v>7.9350000000000004E-2</v>
      </c>
      <c r="E35" s="103">
        <f t="shared" si="4"/>
        <v>1.4209499931894243E-3</v>
      </c>
      <c r="F35" s="92">
        <f t="shared" si="5"/>
        <v>7.9350000000000004E-2</v>
      </c>
      <c r="G35" s="92">
        <f t="shared" si="5"/>
        <v>1.4209499931894243E-3</v>
      </c>
      <c r="H35" s="92">
        <f t="shared" si="6"/>
        <v>6.2964225000000009E-3</v>
      </c>
      <c r="I35" s="92">
        <f t="shared" si="7"/>
        <v>4.996211253750001E-4</v>
      </c>
      <c r="J35" s="92">
        <f t="shared" si="8"/>
        <v>3.9644936298506258E-5</v>
      </c>
      <c r="K35" s="92">
        <f t="shared" si="9"/>
        <v>1.1275238195958082E-4</v>
      </c>
      <c r="L35" s="92">
        <f t="shared" si="10"/>
        <v>8.9469015084927384E-6</v>
      </c>
      <c r="M35" s="92">
        <f t="shared" ref="M35:M95" ca="1" si="17">+E$4+E$5*D35+E$6*D35^2</f>
        <v>1.5061158196732472E-3</v>
      </c>
      <c r="N35" s="92">
        <f t="shared" ca="1" si="12"/>
        <v>7.2532180006726299E-9</v>
      </c>
      <c r="O35" s="112">
        <f t="shared" ca="1" si="13"/>
        <v>34286641.583790362</v>
      </c>
      <c r="P35" s="92">
        <f t="shared" ca="1" si="14"/>
        <v>87334912.912414208</v>
      </c>
      <c r="Q35" s="92">
        <f t="shared" ca="1" si="15"/>
        <v>11354826.49469175</v>
      </c>
      <c r="R35" s="25">
        <f t="shared" ref="R35:R95" ca="1" si="18">+E35-M35</f>
        <v>-8.5165826483822897E-5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">
      <c r="A36" s="102">
        <v>800</v>
      </c>
      <c r="B36" s="102">
        <v>5.5999999312916771E-4</v>
      </c>
      <c r="C36" s="102">
        <v>1</v>
      </c>
      <c r="D36" s="103">
        <f t="shared" ref="D36:E96" si="19">A36/A$18</f>
        <v>0.08</v>
      </c>
      <c r="E36" s="103">
        <f t="shared" si="19"/>
        <v>5.5999999312916771E-4</v>
      </c>
      <c r="F36" s="92">
        <f t="shared" ref="F36:G96" si="20">$C36*D36</f>
        <v>0.08</v>
      </c>
      <c r="G36" s="92">
        <f t="shared" si="20"/>
        <v>5.5999999312916771E-4</v>
      </c>
      <c r="H36" s="92">
        <f t="shared" ref="H36:H96" si="21">C36*D36*D36</f>
        <v>6.4000000000000003E-3</v>
      </c>
      <c r="I36" s="92">
        <f t="shared" ref="I36:I96" si="22">C36*D36*D36*D36</f>
        <v>5.1200000000000009E-4</v>
      </c>
      <c r="J36" s="92">
        <f t="shared" ref="J36:J96" si="23">C36*D36*D36*D36*D36</f>
        <v>4.0960000000000008E-5</v>
      </c>
      <c r="K36" s="92">
        <f t="shared" ref="K36:K96" si="24">C36*E36*D36</f>
        <v>4.4799999450333417E-5</v>
      </c>
      <c r="L36" s="92">
        <f t="shared" ref="L36:L96" si="25">C36*E36*D36*D36</f>
        <v>3.5839999560266732E-6</v>
      </c>
      <c r="M36" s="92">
        <f t="shared" ca="1" si="17"/>
        <v>1.50888996014355E-3</v>
      </c>
      <c r="N36" s="92">
        <f t="shared" ref="N36:N96" ca="1" si="26">C36*(M36-E36)^2</f>
        <v>9.0039216950055545E-7</v>
      </c>
      <c r="O36" s="112">
        <f t="shared" ref="O36:O96" ca="1" si="27">(C36*O$1-O$2*F36+O$3*H36)^2</f>
        <v>34195004.812689446</v>
      </c>
      <c r="P36" s="92">
        <f t="shared" ref="P36:P96" ca="1" si="28">(-C36*O$2+O$4*F36-O$5*H36)^2</f>
        <v>86820383.78170222</v>
      </c>
      <c r="Q36" s="92">
        <f t="shared" ref="Q36:Q96" ca="1" si="29">+(C36*O$3-F36*O$5+H36*O$6)^2</f>
        <v>11266211.471642578</v>
      </c>
      <c r="R36" s="25">
        <f t="shared" ca="1" si="18"/>
        <v>-9.4888996701438227E-4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x14ac:dyDescent="0.2">
      <c r="A37" s="102">
        <v>802</v>
      </c>
      <c r="B37" s="102">
        <v>1.0873999999603257E-3</v>
      </c>
      <c r="C37" s="102">
        <v>1</v>
      </c>
      <c r="D37" s="103">
        <f t="shared" si="19"/>
        <v>8.0199999999999994E-2</v>
      </c>
      <c r="E37" s="103">
        <f t="shared" si="19"/>
        <v>1.0873999999603257E-3</v>
      </c>
      <c r="F37" s="92">
        <f t="shared" si="20"/>
        <v>8.0199999999999994E-2</v>
      </c>
      <c r="G37" s="92">
        <f t="shared" si="20"/>
        <v>1.0873999999603257E-3</v>
      </c>
      <c r="H37" s="92">
        <f t="shared" si="21"/>
        <v>6.4320399999999991E-3</v>
      </c>
      <c r="I37" s="92">
        <f t="shared" si="22"/>
        <v>5.1584960799999993E-4</v>
      </c>
      <c r="J37" s="92">
        <f t="shared" si="23"/>
        <v>4.1371138561599993E-5</v>
      </c>
      <c r="K37" s="92">
        <f t="shared" si="24"/>
        <v>8.7209479996818115E-5</v>
      </c>
      <c r="L37" s="92">
        <f t="shared" si="25"/>
        <v>6.994200295744812E-6</v>
      </c>
      <c r="M37" s="92">
        <f t="shared" ca="1" si="17"/>
        <v>1.5097476750740681E-3</v>
      </c>
      <c r="N37" s="92">
        <f t="shared" ca="1" si="26"/>
        <v>1.7837755867398337E-7</v>
      </c>
      <c r="O37" s="112">
        <f t="shared" ca="1" si="27"/>
        <v>34166843.587838337</v>
      </c>
      <c r="P37" s="92">
        <f t="shared" ca="1" si="28"/>
        <v>86662442.790324628</v>
      </c>
      <c r="Q37" s="92">
        <f t="shared" ca="1" si="29"/>
        <v>11239027.994170275</v>
      </c>
      <c r="R37" s="25">
        <f t="shared" ca="1" si="18"/>
        <v>-4.2234767511374247E-4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">
      <c r="A38" s="102">
        <v>804</v>
      </c>
      <c r="B38" s="102">
        <v>5.1479999092407525E-4</v>
      </c>
      <c r="C38" s="102">
        <v>1</v>
      </c>
      <c r="D38" s="103">
        <f t="shared" si="19"/>
        <v>8.0399999999999999E-2</v>
      </c>
      <c r="E38" s="103">
        <f t="shared" si="19"/>
        <v>5.1479999092407525E-4</v>
      </c>
      <c r="F38" s="92">
        <f t="shared" si="20"/>
        <v>8.0399999999999999E-2</v>
      </c>
      <c r="G38" s="92">
        <f t="shared" si="20"/>
        <v>5.1479999092407525E-4</v>
      </c>
      <c r="H38" s="92">
        <f t="shared" si="21"/>
        <v>6.46416E-3</v>
      </c>
      <c r="I38" s="92">
        <f t="shared" si="22"/>
        <v>5.1971846399999995E-4</v>
      </c>
      <c r="J38" s="92">
        <f t="shared" si="23"/>
        <v>4.1785364505599993E-5</v>
      </c>
      <c r="K38" s="92">
        <f t="shared" si="24"/>
        <v>4.1389919270295647E-5</v>
      </c>
      <c r="L38" s="92">
        <f t="shared" si="25"/>
        <v>3.3277495093317699E-6</v>
      </c>
      <c r="M38" s="92">
        <f t="shared" ca="1" si="17"/>
        <v>1.5106073350621618E-3</v>
      </c>
      <c r="N38" s="92">
        <f t="shared" ca="1" si="26"/>
        <v>9.9163226663934948E-7</v>
      </c>
      <c r="O38" s="112">
        <f t="shared" ca="1" si="27"/>
        <v>34138698.68440292</v>
      </c>
      <c r="P38" s="92">
        <f t="shared" ca="1" si="28"/>
        <v>86504678.424941406</v>
      </c>
      <c r="Q38" s="92">
        <f t="shared" ca="1" si="29"/>
        <v>11211883.388205448</v>
      </c>
      <c r="R38" s="25">
        <f t="shared" ca="1" si="18"/>
        <v>-9.9580734413808655E-4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">
      <c r="A39" s="102">
        <v>856.5</v>
      </c>
      <c r="B39" s="102">
        <v>8.3924998762086034E-5</v>
      </c>
      <c r="C39" s="102">
        <v>1</v>
      </c>
      <c r="D39" s="103">
        <f t="shared" si="19"/>
        <v>8.5650000000000004E-2</v>
      </c>
      <c r="E39" s="103">
        <f t="shared" si="19"/>
        <v>8.3924998762086034E-5</v>
      </c>
      <c r="F39" s="92">
        <f t="shared" si="20"/>
        <v>8.5650000000000004E-2</v>
      </c>
      <c r="G39" s="92">
        <f t="shared" si="20"/>
        <v>8.3924998762086034E-5</v>
      </c>
      <c r="H39" s="92">
        <f t="shared" si="21"/>
        <v>7.3359225000000005E-3</v>
      </c>
      <c r="I39" s="92">
        <f t="shared" si="22"/>
        <v>6.2832176212500009E-4</v>
      </c>
      <c r="J39" s="92">
        <f t="shared" si="23"/>
        <v>5.381575892600626E-5</v>
      </c>
      <c r="K39" s="92">
        <f t="shared" si="24"/>
        <v>7.1881761439726687E-6</v>
      </c>
      <c r="L39" s="92">
        <f t="shared" si="25"/>
        <v>6.1566728673125912E-7</v>
      </c>
      <c r="M39" s="92">
        <f t="shared" ca="1" si="17"/>
        <v>1.5338690717481372E-3</v>
      </c>
      <c r="N39" s="92">
        <f t="shared" ca="1" si="26"/>
        <v>2.1023378147873793E-6</v>
      </c>
      <c r="O39" s="112">
        <f t="shared" ca="1" si="27"/>
        <v>33405712.789569169</v>
      </c>
      <c r="P39" s="92">
        <f t="shared" ca="1" si="28"/>
        <v>82426233.240096629</v>
      </c>
      <c r="Q39" s="92">
        <f t="shared" ca="1" si="29"/>
        <v>10513166.425780009</v>
      </c>
      <c r="R39" s="25">
        <f t="shared" ca="1" si="18"/>
        <v>-1.4499440729860511E-3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">
      <c r="A40" s="102">
        <v>882</v>
      </c>
      <c r="B40" s="102">
        <v>1.5834000005270354E-3</v>
      </c>
      <c r="C40" s="102">
        <v>1</v>
      </c>
      <c r="D40" s="103">
        <f t="shared" si="19"/>
        <v>8.8200000000000001E-2</v>
      </c>
      <c r="E40" s="103">
        <f t="shared" si="19"/>
        <v>1.5834000005270354E-3</v>
      </c>
      <c r="F40" s="92">
        <f t="shared" si="20"/>
        <v>8.8200000000000001E-2</v>
      </c>
      <c r="G40" s="92">
        <f t="shared" si="20"/>
        <v>1.5834000005270354E-3</v>
      </c>
      <c r="H40" s="92">
        <f t="shared" si="21"/>
        <v>7.7792399999999998E-3</v>
      </c>
      <c r="I40" s="92">
        <f t="shared" si="22"/>
        <v>6.8612896799999997E-4</v>
      </c>
      <c r="J40" s="92">
        <f t="shared" si="23"/>
        <v>6.0516574977599998E-5</v>
      </c>
      <c r="K40" s="92">
        <f t="shared" si="24"/>
        <v>1.3965588004648453E-4</v>
      </c>
      <c r="L40" s="92">
        <f t="shared" si="25"/>
        <v>1.2317648620099936E-5</v>
      </c>
      <c r="M40" s="92">
        <f t="shared" ca="1" si="17"/>
        <v>1.5456512195067668E-3</v>
      </c>
      <c r="N40" s="92">
        <f t="shared" ca="1" si="26"/>
        <v>1.4249704685161934E-9</v>
      </c>
      <c r="O40" s="112">
        <f t="shared" ca="1" si="27"/>
        <v>33053716.037104949</v>
      </c>
      <c r="P40" s="92">
        <f t="shared" ca="1" si="28"/>
        <v>80488681.260331169</v>
      </c>
      <c r="Q40" s="92">
        <f t="shared" ca="1" si="29"/>
        <v>10183330.446355537</v>
      </c>
      <c r="R40" s="25">
        <f t="shared" ca="1" si="18"/>
        <v>3.7748781020268633E-5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">
      <c r="A41" s="102">
        <v>882</v>
      </c>
      <c r="B41" s="102">
        <v>1.7834000027505681E-3</v>
      </c>
      <c r="C41" s="102">
        <v>1</v>
      </c>
      <c r="D41" s="103">
        <f t="shared" si="19"/>
        <v>8.8200000000000001E-2</v>
      </c>
      <c r="E41" s="103">
        <f t="shared" si="19"/>
        <v>1.7834000027505681E-3</v>
      </c>
      <c r="F41" s="92">
        <f t="shared" si="20"/>
        <v>8.8200000000000001E-2</v>
      </c>
      <c r="G41" s="92">
        <f t="shared" si="20"/>
        <v>1.7834000027505681E-3</v>
      </c>
      <c r="H41" s="92">
        <f t="shared" si="21"/>
        <v>7.7792399999999998E-3</v>
      </c>
      <c r="I41" s="92">
        <f t="shared" si="22"/>
        <v>6.8612896799999997E-4</v>
      </c>
      <c r="J41" s="92">
        <f t="shared" si="23"/>
        <v>6.0516574977599998E-5</v>
      </c>
      <c r="K41" s="92">
        <f t="shared" si="24"/>
        <v>1.5729588024260011E-4</v>
      </c>
      <c r="L41" s="92">
        <f t="shared" si="25"/>
        <v>1.387349663739733E-5</v>
      </c>
      <c r="M41" s="92">
        <f t="shared" ca="1" si="17"/>
        <v>1.5456512195067668E-3</v>
      </c>
      <c r="N41" s="92">
        <f t="shared" ca="1" si="26"/>
        <v>5.6524483933908004E-8</v>
      </c>
      <c r="O41" s="112">
        <f t="shared" ca="1" si="27"/>
        <v>33053716.037104949</v>
      </c>
      <c r="P41" s="92">
        <f t="shared" ca="1" si="28"/>
        <v>80488681.260331169</v>
      </c>
      <c r="Q41" s="92">
        <f t="shared" ca="1" si="29"/>
        <v>10183330.446355537</v>
      </c>
      <c r="R41" s="25">
        <f t="shared" ca="1" si="18"/>
        <v>2.3774878324380128E-4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x14ac:dyDescent="0.2">
      <c r="A42" s="102">
        <v>882</v>
      </c>
      <c r="B42" s="102">
        <v>9.8710000020219013E-4</v>
      </c>
      <c r="C42" s="102">
        <v>1</v>
      </c>
      <c r="D42" s="103">
        <f t="shared" si="19"/>
        <v>8.8200000000000001E-2</v>
      </c>
      <c r="E42" s="103">
        <f t="shared" si="19"/>
        <v>9.8710000020219013E-4</v>
      </c>
      <c r="F42" s="92">
        <f t="shared" si="20"/>
        <v>8.8200000000000001E-2</v>
      </c>
      <c r="G42" s="92">
        <f t="shared" si="20"/>
        <v>9.8710000020219013E-4</v>
      </c>
      <c r="H42" s="92">
        <f t="shared" si="21"/>
        <v>7.7792399999999998E-3</v>
      </c>
      <c r="I42" s="92">
        <f t="shared" si="22"/>
        <v>6.8612896799999997E-4</v>
      </c>
      <c r="J42" s="92">
        <f t="shared" si="23"/>
        <v>6.0516574977599998E-5</v>
      </c>
      <c r="K42" s="92">
        <f t="shared" si="24"/>
        <v>8.7062220017833163E-5</v>
      </c>
      <c r="L42" s="92">
        <f t="shared" si="25"/>
        <v>7.6788878055728848E-6</v>
      </c>
      <c r="M42" s="92">
        <f t="shared" ca="1" si="17"/>
        <v>1.5456512195067668E-3</v>
      </c>
      <c r="N42" s="92">
        <f t="shared" ca="1" si="26"/>
        <v>3.1197946458662932E-7</v>
      </c>
      <c r="O42" s="112">
        <f t="shared" ca="1" si="27"/>
        <v>33053716.037104949</v>
      </c>
      <c r="P42" s="92">
        <f t="shared" ca="1" si="28"/>
        <v>80488681.260331169</v>
      </c>
      <c r="Q42" s="92">
        <f t="shared" ca="1" si="29"/>
        <v>10183330.446355537</v>
      </c>
      <c r="R42" s="25">
        <f t="shared" ca="1" si="18"/>
        <v>-5.5855121930457668E-4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">
      <c r="A43" s="102">
        <v>882</v>
      </c>
      <c r="B43" s="102">
        <v>2.2833999973954633E-3</v>
      </c>
      <c r="C43" s="102">
        <v>1</v>
      </c>
      <c r="D43" s="103">
        <f t="shared" si="19"/>
        <v>8.8200000000000001E-2</v>
      </c>
      <c r="E43" s="103">
        <f t="shared" si="19"/>
        <v>2.2833999973954633E-3</v>
      </c>
      <c r="F43" s="92">
        <f t="shared" si="20"/>
        <v>8.8200000000000001E-2</v>
      </c>
      <c r="G43" s="92">
        <f t="shared" si="20"/>
        <v>2.2833999973954633E-3</v>
      </c>
      <c r="H43" s="92">
        <f t="shared" si="21"/>
        <v>7.7792399999999998E-3</v>
      </c>
      <c r="I43" s="92">
        <f t="shared" si="22"/>
        <v>6.8612896799999997E-4</v>
      </c>
      <c r="J43" s="92">
        <f t="shared" si="23"/>
        <v>6.0516574977599998E-5</v>
      </c>
      <c r="K43" s="92">
        <f t="shared" si="24"/>
        <v>2.0139587977027987E-4</v>
      </c>
      <c r="L43" s="92">
        <f t="shared" si="25"/>
        <v>1.7763116595738685E-5</v>
      </c>
      <c r="M43" s="92">
        <f t="shared" ca="1" si="17"/>
        <v>1.5456512195067668E-3</v>
      </c>
      <c r="N43" s="92">
        <f t="shared" ca="1" si="26"/>
        <v>5.442732592762652E-7</v>
      </c>
      <c r="O43" s="112">
        <f t="shared" ca="1" si="27"/>
        <v>33053716.037104949</v>
      </c>
      <c r="P43" s="92">
        <f t="shared" ca="1" si="28"/>
        <v>80488681.260331169</v>
      </c>
      <c r="Q43" s="92">
        <f t="shared" ca="1" si="29"/>
        <v>10183330.446355537</v>
      </c>
      <c r="R43" s="25">
        <f t="shared" ca="1" si="18"/>
        <v>7.3774877788869648E-4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x14ac:dyDescent="0.2">
      <c r="A44" s="102">
        <v>884</v>
      </c>
      <c r="B44" s="102">
        <v>6.1079999431967735E-4</v>
      </c>
      <c r="C44" s="102">
        <v>1</v>
      </c>
      <c r="D44" s="103">
        <f t="shared" si="19"/>
        <v>8.8400000000000006E-2</v>
      </c>
      <c r="E44" s="103">
        <f t="shared" si="19"/>
        <v>6.1079999431967735E-4</v>
      </c>
      <c r="F44" s="92">
        <f t="shared" si="20"/>
        <v>8.8400000000000006E-2</v>
      </c>
      <c r="G44" s="92">
        <f t="shared" si="20"/>
        <v>6.1079999431967735E-4</v>
      </c>
      <c r="H44" s="92">
        <f t="shared" si="21"/>
        <v>7.8145600000000016E-3</v>
      </c>
      <c r="I44" s="92">
        <f t="shared" si="22"/>
        <v>6.9080710400000022E-4</v>
      </c>
      <c r="J44" s="92">
        <f t="shared" si="23"/>
        <v>6.1067347993600017E-5</v>
      </c>
      <c r="K44" s="92">
        <f t="shared" si="24"/>
        <v>5.3994719497859483E-5</v>
      </c>
      <c r="L44" s="92">
        <f t="shared" si="25"/>
        <v>4.7731332036107789E-6</v>
      </c>
      <c r="M44" s="92">
        <f t="shared" ca="1" si="17"/>
        <v>1.5465886817978836E-3</v>
      </c>
      <c r="N44" s="92">
        <f t="shared" ca="1" si="26"/>
        <v>8.7570046761218389E-7</v>
      </c>
      <c r="O44" s="112">
        <f t="shared" ca="1" si="27"/>
        <v>33026219.214833543</v>
      </c>
      <c r="P44" s="92">
        <f t="shared" ca="1" si="28"/>
        <v>80337908.512200326</v>
      </c>
      <c r="Q44" s="92">
        <f t="shared" ca="1" si="29"/>
        <v>10157722.785065591</v>
      </c>
      <c r="R44" s="25">
        <f t="shared" ca="1" si="18"/>
        <v>-9.357886874782062E-4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">
      <c r="A45" s="102">
        <v>884</v>
      </c>
      <c r="B45" s="102">
        <v>1.1147999975946732E-3</v>
      </c>
      <c r="C45" s="102">
        <v>1</v>
      </c>
      <c r="D45" s="103">
        <f t="shared" si="19"/>
        <v>8.8400000000000006E-2</v>
      </c>
      <c r="E45" s="103">
        <f t="shared" si="19"/>
        <v>1.1147999975946732E-3</v>
      </c>
      <c r="F45" s="92">
        <f t="shared" si="20"/>
        <v>8.8400000000000006E-2</v>
      </c>
      <c r="G45" s="92">
        <f t="shared" si="20"/>
        <v>1.1147999975946732E-3</v>
      </c>
      <c r="H45" s="92">
        <f t="shared" si="21"/>
        <v>7.8145600000000016E-3</v>
      </c>
      <c r="I45" s="92">
        <f t="shared" si="22"/>
        <v>6.9080710400000022E-4</v>
      </c>
      <c r="J45" s="92">
        <f t="shared" si="23"/>
        <v>6.1067347993600017E-5</v>
      </c>
      <c r="K45" s="92">
        <f t="shared" si="24"/>
        <v>9.8548319787369117E-5</v>
      </c>
      <c r="L45" s="92">
        <f t="shared" si="25"/>
        <v>8.7116714692034307E-6</v>
      </c>
      <c r="M45" s="92">
        <f t="shared" ca="1" si="17"/>
        <v>1.5465886817978836E-3</v>
      </c>
      <c r="N45" s="92">
        <f t="shared" ca="1" si="26"/>
        <v>1.8644146780593972E-7</v>
      </c>
      <c r="O45" s="112">
        <f t="shared" ca="1" si="27"/>
        <v>33026219.214833543</v>
      </c>
      <c r="P45" s="92">
        <f t="shared" ca="1" si="28"/>
        <v>80337908.512200326</v>
      </c>
      <c r="Q45" s="92">
        <f t="shared" ca="1" si="29"/>
        <v>10157722.785065591</v>
      </c>
      <c r="R45" s="25">
        <f t="shared" ca="1" si="18"/>
        <v>-4.3178868420321037E-4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x14ac:dyDescent="0.2">
      <c r="A46" s="102">
        <v>884</v>
      </c>
      <c r="B46" s="102">
        <v>3.410799996345304E-3</v>
      </c>
      <c r="C46" s="102">
        <v>1</v>
      </c>
      <c r="D46" s="103">
        <f t="shared" si="19"/>
        <v>8.8400000000000006E-2</v>
      </c>
      <c r="E46" s="103">
        <f t="shared" si="19"/>
        <v>3.410799996345304E-3</v>
      </c>
      <c r="F46" s="92">
        <f t="shared" si="20"/>
        <v>8.8400000000000006E-2</v>
      </c>
      <c r="G46" s="92">
        <f t="shared" si="20"/>
        <v>3.410799996345304E-3</v>
      </c>
      <c r="H46" s="92">
        <f t="shared" si="21"/>
        <v>7.8145600000000016E-3</v>
      </c>
      <c r="I46" s="92">
        <f t="shared" si="22"/>
        <v>6.9080710400000022E-4</v>
      </c>
      <c r="J46" s="92">
        <f t="shared" si="23"/>
        <v>6.1067347993600017E-5</v>
      </c>
      <c r="K46" s="92">
        <f t="shared" si="24"/>
        <v>3.0151471967692489E-4</v>
      </c>
      <c r="L46" s="92">
        <f t="shared" si="25"/>
        <v>2.6653901219440163E-5</v>
      </c>
      <c r="M46" s="92">
        <f t="shared" ca="1" si="17"/>
        <v>1.5465886817978836E-3</v>
      </c>
      <c r="N46" s="92">
        <f t="shared" ca="1" si="26"/>
        <v>3.4752838252866212E-6</v>
      </c>
      <c r="O46" s="112">
        <f t="shared" ca="1" si="27"/>
        <v>33026219.214833543</v>
      </c>
      <c r="P46" s="92">
        <f t="shared" ca="1" si="28"/>
        <v>80337908.512200326</v>
      </c>
      <c r="Q46" s="92">
        <f t="shared" ca="1" si="29"/>
        <v>10157722.785065591</v>
      </c>
      <c r="R46" s="25">
        <f t="shared" ca="1" si="18"/>
        <v>1.8642113145474204E-3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x14ac:dyDescent="0.2">
      <c r="A47" s="102">
        <v>909.5</v>
      </c>
      <c r="B47" s="102">
        <v>1.7101499979617074E-3</v>
      </c>
      <c r="C47" s="102">
        <v>1</v>
      </c>
      <c r="D47" s="103">
        <f t="shared" si="19"/>
        <v>9.0950000000000003E-2</v>
      </c>
      <c r="E47" s="103">
        <f t="shared" si="19"/>
        <v>1.7101499979617074E-3</v>
      </c>
      <c r="F47" s="92">
        <f t="shared" si="20"/>
        <v>9.0950000000000003E-2</v>
      </c>
      <c r="G47" s="92">
        <f t="shared" si="20"/>
        <v>1.7101499979617074E-3</v>
      </c>
      <c r="H47" s="92">
        <f t="shared" si="21"/>
        <v>8.2719025000000009E-3</v>
      </c>
      <c r="I47" s="92">
        <f t="shared" si="22"/>
        <v>7.5232953237500014E-4</v>
      </c>
      <c r="J47" s="92">
        <f t="shared" si="23"/>
        <v>6.8424370969506261E-5</v>
      </c>
      <c r="K47" s="92">
        <f t="shared" si="24"/>
        <v>1.555381423146173E-4</v>
      </c>
      <c r="L47" s="92">
        <f t="shared" si="25"/>
        <v>1.4146194043514444E-5</v>
      </c>
      <c r="M47" s="92">
        <f t="shared" ca="1" si="17"/>
        <v>1.5587118224627316E-3</v>
      </c>
      <c r="N47" s="92">
        <f t="shared" ca="1" si="26"/>
        <v>2.2933520998458613E-8</v>
      </c>
      <c r="O47" s="112">
        <f t="shared" ca="1" si="27"/>
        <v>32677042.510545619</v>
      </c>
      <c r="P47" s="92">
        <f t="shared" ca="1" si="28"/>
        <v>78430686.475174665</v>
      </c>
      <c r="Q47" s="92">
        <f t="shared" ca="1" si="29"/>
        <v>9834546.5864548739</v>
      </c>
      <c r="R47" s="25">
        <f t="shared" ca="1" si="18"/>
        <v>1.5143817549897586E-4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x14ac:dyDescent="0.2">
      <c r="A48" s="102">
        <v>909.5</v>
      </c>
      <c r="B48" s="102">
        <v>1.2179749974166043E-3</v>
      </c>
      <c r="C48" s="102">
        <v>1</v>
      </c>
      <c r="D48" s="103">
        <f t="shared" si="19"/>
        <v>9.0950000000000003E-2</v>
      </c>
      <c r="E48" s="103">
        <f t="shared" si="19"/>
        <v>1.2179749974166043E-3</v>
      </c>
      <c r="F48" s="92">
        <f t="shared" si="20"/>
        <v>9.0950000000000003E-2</v>
      </c>
      <c r="G48" s="92">
        <f t="shared" si="20"/>
        <v>1.2179749974166043E-3</v>
      </c>
      <c r="H48" s="92">
        <f t="shared" si="21"/>
        <v>8.2719025000000009E-3</v>
      </c>
      <c r="I48" s="92">
        <f t="shared" si="22"/>
        <v>7.5232953237500014E-4</v>
      </c>
      <c r="J48" s="92">
        <f t="shared" si="23"/>
        <v>6.8424370969506261E-5</v>
      </c>
      <c r="K48" s="92">
        <f t="shared" si="24"/>
        <v>1.1077482601504016E-4</v>
      </c>
      <c r="L48" s="92">
        <f t="shared" si="25"/>
        <v>1.0074970426067903E-5</v>
      </c>
      <c r="M48" s="92">
        <f t="shared" ca="1" si="17"/>
        <v>1.5587118224627316E-3</v>
      </c>
      <c r="N48" s="92">
        <f t="shared" ca="1" si="26"/>
        <v>1.1610158394251512E-7</v>
      </c>
      <c r="O48" s="112">
        <f t="shared" ca="1" si="27"/>
        <v>32677042.510545619</v>
      </c>
      <c r="P48" s="92">
        <f t="shared" ca="1" si="28"/>
        <v>78430686.475174665</v>
      </c>
      <c r="Q48" s="92">
        <f t="shared" ca="1" si="29"/>
        <v>9834546.5864548739</v>
      </c>
      <c r="R48" s="25">
        <f t="shared" ca="1" si="18"/>
        <v>-3.4073682504612724E-4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x14ac:dyDescent="0.2">
      <c r="A49" s="102">
        <v>909.5</v>
      </c>
      <c r="B49" s="102">
        <v>2.2101499998825602E-3</v>
      </c>
      <c r="C49" s="102">
        <v>1</v>
      </c>
      <c r="D49" s="103">
        <f t="shared" si="19"/>
        <v>9.0950000000000003E-2</v>
      </c>
      <c r="E49" s="103">
        <f t="shared" si="19"/>
        <v>2.2101499998825602E-3</v>
      </c>
      <c r="F49" s="92">
        <f t="shared" si="20"/>
        <v>9.0950000000000003E-2</v>
      </c>
      <c r="G49" s="92">
        <f t="shared" si="20"/>
        <v>2.2101499998825602E-3</v>
      </c>
      <c r="H49" s="92">
        <f t="shared" si="21"/>
        <v>8.2719025000000009E-3</v>
      </c>
      <c r="I49" s="92">
        <f t="shared" si="22"/>
        <v>7.5232953237500014E-4</v>
      </c>
      <c r="J49" s="92">
        <f t="shared" si="23"/>
        <v>6.8424370969506261E-5</v>
      </c>
      <c r="K49" s="92">
        <f t="shared" si="24"/>
        <v>2.0101314248931887E-4</v>
      </c>
      <c r="L49" s="92">
        <f t="shared" si="25"/>
        <v>1.8282145309403553E-5</v>
      </c>
      <c r="M49" s="92">
        <f t="shared" ca="1" si="17"/>
        <v>1.5587118224627316E-3</v>
      </c>
      <c r="N49" s="92">
        <f t="shared" ca="1" si="26"/>
        <v>4.2437169900006819E-7</v>
      </c>
      <c r="O49" s="112">
        <f t="shared" ca="1" si="27"/>
        <v>32677042.510545619</v>
      </c>
      <c r="P49" s="92">
        <f t="shared" ca="1" si="28"/>
        <v>78430686.475174665</v>
      </c>
      <c r="Q49" s="92">
        <f t="shared" ca="1" si="29"/>
        <v>9834546.5864548739</v>
      </c>
      <c r="R49" s="25">
        <f t="shared" ca="1" si="18"/>
        <v>6.5143817741982867E-4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x14ac:dyDescent="0.2">
      <c r="A50" s="102">
        <v>909.5</v>
      </c>
      <c r="B50" s="102">
        <v>2.4101499948301353E-3</v>
      </c>
      <c r="C50" s="102">
        <v>1</v>
      </c>
      <c r="D50" s="103">
        <f t="shared" si="19"/>
        <v>9.0950000000000003E-2</v>
      </c>
      <c r="E50" s="103">
        <f t="shared" si="19"/>
        <v>2.4101499948301353E-3</v>
      </c>
      <c r="F50" s="92">
        <f t="shared" si="20"/>
        <v>9.0950000000000003E-2</v>
      </c>
      <c r="G50" s="92">
        <f t="shared" si="20"/>
        <v>2.4101499948301353E-3</v>
      </c>
      <c r="H50" s="92">
        <f t="shared" si="21"/>
        <v>8.2719025000000009E-3</v>
      </c>
      <c r="I50" s="92">
        <f t="shared" si="22"/>
        <v>7.5232953237500014E-4</v>
      </c>
      <c r="J50" s="92">
        <f t="shared" si="23"/>
        <v>6.8424370969506261E-5</v>
      </c>
      <c r="K50" s="92">
        <f t="shared" si="24"/>
        <v>2.192031420298008E-4</v>
      </c>
      <c r="L50" s="92">
        <f t="shared" si="25"/>
        <v>1.9936525767610384E-5</v>
      </c>
      <c r="M50" s="92">
        <f t="shared" ca="1" si="17"/>
        <v>1.5587118224627316E-3</v>
      </c>
      <c r="N50" s="92">
        <f t="shared" ca="1" si="26"/>
        <v>7.2494696136434469E-7</v>
      </c>
      <c r="O50" s="112">
        <f t="shared" ca="1" si="27"/>
        <v>32677042.510545619</v>
      </c>
      <c r="P50" s="92">
        <f t="shared" ca="1" si="28"/>
        <v>78430686.475174665</v>
      </c>
      <c r="Q50" s="92">
        <f t="shared" ca="1" si="29"/>
        <v>9834546.5864548739</v>
      </c>
      <c r="R50" s="25">
        <f t="shared" ca="1" si="18"/>
        <v>8.514381723674037E-4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x14ac:dyDescent="0.2">
      <c r="A51" s="102">
        <v>1498</v>
      </c>
      <c r="B51" s="102">
        <v>4.225999946356751E-4</v>
      </c>
      <c r="C51" s="102">
        <v>1</v>
      </c>
      <c r="D51" s="103">
        <f t="shared" si="19"/>
        <v>0.14979999999999999</v>
      </c>
      <c r="E51" s="103">
        <f t="shared" si="19"/>
        <v>4.225999946356751E-4</v>
      </c>
      <c r="F51" s="92">
        <f t="shared" si="20"/>
        <v>0.14979999999999999</v>
      </c>
      <c r="G51" s="92">
        <f t="shared" si="20"/>
        <v>4.225999946356751E-4</v>
      </c>
      <c r="H51" s="92">
        <f t="shared" si="21"/>
        <v>2.2440039999999998E-2</v>
      </c>
      <c r="I51" s="92">
        <f t="shared" si="22"/>
        <v>3.3615179919999996E-3</v>
      </c>
      <c r="J51" s="92">
        <f t="shared" si="23"/>
        <v>5.0355539520159989E-4</v>
      </c>
      <c r="K51" s="92">
        <f t="shared" si="24"/>
        <v>6.3305479196424123E-5</v>
      </c>
      <c r="L51" s="92">
        <f t="shared" si="25"/>
        <v>9.4831607836243334E-6</v>
      </c>
      <c r="M51" s="92">
        <f t="shared" ca="1" si="17"/>
        <v>1.9263480372288132E-3</v>
      </c>
      <c r="N51" s="92">
        <f t="shared" ca="1" si="26"/>
        <v>2.2612581756026943E-6</v>
      </c>
      <c r="O51" s="112">
        <f t="shared" ca="1" si="27"/>
        <v>25317471.336857989</v>
      </c>
      <c r="P51" s="92">
        <f t="shared" ca="1" si="28"/>
        <v>41805494.873878859</v>
      </c>
      <c r="Q51" s="92">
        <f t="shared" ca="1" si="29"/>
        <v>3988744.4450818729</v>
      </c>
      <c r="R51" s="25">
        <f t="shared" ca="1" si="18"/>
        <v>-1.5037480425931381E-3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x14ac:dyDescent="0.2">
      <c r="A52" s="102">
        <v>1506.5</v>
      </c>
      <c r="B52" s="102">
        <v>-4.1095000779023394E-4</v>
      </c>
      <c r="C52" s="102">
        <v>1</v>
      </c>
      <c r="D52" s="103">
        <f t="shared" si="19"/>
        <v>0.15065000000000001</v>
      </c>
      <c r="E52" s="103">
        <f t="shared" si="19"/>
        <v>-4.1095000779023394E-4</v>
      </c>
      <c r="F52" s="92">
        <f t="shared" si="20"/>
        <v>0.15065000000000001</v>
      </c>
      <c r="G52" s="92">
        <f t="shared" si="20"/>
        <v>-4.1095000779023394E-4</v>
      </c>
      <c r="H52" s="92">
        <f t="shared" si="21"/>
        <v>2.2695422500000003E-2</v>
      </c>
      <c r="I52" s="92">
        <f t="shared" si="22"/>
        <v>3.4190653996250004E-3</v>
      </c>
      <c r="J52" s="92">
        <f t="shared" si="23"/>
        <v>5.1508220245350636E-4</v>
      </c>
      <c r="K52" s="92">
        <f t="shared" si="24"/>
        <v>-6.190961867359874E-5</v>
      </c>
      <c r="L52" s="92">
        <f t="shared" si="25"/>
        <v>-9.3266840531776512E-6</v>
      </c>
      <c r="M52" s="92">
        <f t="shared" ca="1" si="17"/>
        <v>1.9328917653863697E-3</v>
      </c>
      <c r="N52" s="92">
        <f t="shared" ca="1" si="26"/>
        <v>5.4935942576876451E-6</v>
      </c>
      <c r="O52" s="112">
        <f t="shared" ca="1" si="27"/>
        <v>25220616.827016551</v>
      </c>
      <c r="P52" s="92">
        <f t="shared" ca="1" si="28"/>
        <v>41374623.45019336</v>
      </c>
      <c r="Q52" s="92">
        <f t="shared" ca="1" si="29"/>
        <v>3925578.8861224581</v>
      </c>
      <c r="R52" s="25">
        <f t="shared" ca="1" si="18"/>
        <v>-2.3438417731766036E-3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x14ac:dyDescent="0.2">
      <c r="A53" s="102">
        <v>1583</v>
      </c>
      <c r="B53" s="102">
        <v>1.1470999961602502E-3</v>
      </c>
      <c r="C53" s="102">
        <v>1</v>
      </c>
      <c r="D53" s="103">
        <f t="shared" si="19"/>
        <v>0.1583</v>
      </c>
      <c r="E53" s="103">
        <f t="shared" si="19"/>
        <v>1.1470999961602502E-3</v>
      </c>
      <c r="F53" s="92">
        <f t="shared" si="20"/>
        <v>0.1583</v>
      </c>
      <c r="G53" s="92">
        <f t="shared" si="20"/>
        <v>1.1470999961602502E-3</v>
      </c>
      <c r="H53" s="92">
        <f t="shared" si="21"/>
        <v>2.505889E-2</v>
      </c>
      <c r="I53" s="92">
        <f t="shared" si="22"/>
        <v>3.9668222870000002E-3</v>
      </c>
      <c r="J53" s="92">
        <f t="shared" si="23"/>
        <v>6.2794796803210002E-4</v>
      </c>
      <c r="K53" s="92">
        <f t="shared" si="24"/>
        <v>1.8158592939216759E-4</v>
      </c>
      <c r="L53" s="92">
        <f t="shared" si="25"/>
        <v>2.874505262278013E-5</v>
      </c>
      <c r="M53" s="92">
        <f t="shared" ca="1" si="17"/>
        <v>1.9933662859150264E-3</v>
      </c>
      <c r="N53" s="92">
        <f t="shared" ca="1" si="26"/>
        <v>7.1616663317531486E-7</v>
      </c>
      <c r="O53" s="112">
        <f t="shared" ca="1" si="27"/>
        <v>24360520.161062818</v>
      </c>
      <c r="P53" s="92">
        <f t="shared" ca="1" si="28"/>
        <v>37614813.68465963</v>
      </c>
      <c r="Q53" s="92">
        <f t="shared" ca="1" si="29"/>
        <v>3382470.0804838608</v>
      </c>
      <c r="R53" s="25">
        <f t="shared" ca="1" si="18"/>
        <v>-8.4626628975477619E-4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x14ac:dyDescent="0.2">
      <c r="A54" s="102">
        <v>1583</v>
      </c>
      <c r="B54" s="102">
        <v>1.1870999951497652E-3</v>
      </c>
      <c r="C54" s="102">
        <v>1</v>
      </c>
      <c r="D54" s="103">
        <f t="shared" si="19"/>
        <v>0.1583</v>
      </c>
      <c r="E54" s="103">
        <f t="shared" si="19"/>
        <v>1.1870999951497652E-3</v>
      </c>
      <c r="F54" s="92">
        <f t="shared" si="20"/>
        <v>0.1583</v>
      </c>
      <c r="G54" s="92">
        <f t="shared" si="20"/>
        <v>1.1870999951497652E-3</v>
      </c>
      <c r="H54" s="92">
        <f t="shared" si="21"/>
        <v>2.505889E-2</v>
      </c>
      <c r="I54" s="92">
        <f t="shared" si="22"/>
        <v>3.9668222870000002E-3</v>
      </c>
      <c r="J54" s="92">
        <f t="shared" si="23"/>
        <v>6.2794796803210002E-4</v>
      </c>
      <c r="K54" s="92">
        <f t="shared" si="24"/>
        <v>1.8791792923220782E-4</v>
      </c>
      <c r="L54" s="92">
        <f t="shared" si="25"/>
        <v>2.9747408197458496E-5</v>
      </c>
      <c r="M54" s="92">
        <f t="shared" ca="1" si="17"/>
        <v>1.9933662859150264E-3</v>
      </c>
      <c r="N54" s="92">
        <f t="shared" ca="1" si="26"/>
        <v>6.5006533162437271E-7</v>
      </c>
      <c r="O54" s="112">
        <f t="shared" ca="1" si="27"/>
        <v>24360520.161062818</v>
      </c>
      <c r="P54" s="92">
        <f t="shared" ca="1" si="28"/>
        <v>37614813.68465963</v>
      </c>
      <c r="Q54" s="92">
        <f t="shared" ca="1" si="29"/>
        <v>3382470.0804838608</v>
      </c>
      <c r="R54" s="25">
        <f t="shared" ca="1" si="18"/>
        <v>-8.0626629076526119E-4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x14ac:dyDescent="0.2">
      <c r="A55" s="102">
        <v>2151</v>
      </c>
      <c r="B55" s="102">
        <v>1.1687000005622394E-3</v>
      </c>
      <c r="C55" s="102">
        <v>1</v>
      </c>
      <c r="D55" s="103">
        <f t="shared" si="19"/>
        <v>0.21510000000000001</v>
      </c>
      <c r="E55" s="103">
        <f t="shared" si="19"/>
        <v>1.1687000005622394E-3</v>
      </c>
      <c r="F55" s="92">
        <f t="shared" si="20"/>
        <v>0.21510000000000001</v>
      </c>
      <c r="G55" s="92">
        <f t="shared" si="20"/>
        <v>1.1687000005622394E-3</v>
      </c>
      <c r="H55" s="92">
        <f t="shared" si="21"/>
        <v>4.6268010000000005E-2</v>
      </c>
      <c r="I55" s="92">
        <f t="shared" si="22"/>
        <v>9.9522489510000013E-3</v>
      </c>
      <c r="J55" s="92">
        <f t="shared" si="23"/>
        <v>2.1407287493601006E-3</v>
      </c>
      <c r="K55" s="92">
        <f t="shared" si="24"/>
        <v>2.5138737012093769E-4</v>
      </c>
      <c r="L55" s="92">
        <f t="shared" si="25"/>
        <v>5.40734233130137E-5</v>
      </c>
      <c r="M55" s="92">
        <f t="shared" ca="1" si="17"/>
        <v>2.5313845815122661E-3</v>
      </c>
      <c r="N55" s="92">
        <f t="shared" ca="1" si="26"/>
        <v>1.8569092671589498E-6</v>
      </c>
      <c r="O55" s="112">
        <f t="shared" ca="1" si="27"/>
        <v>18600237.448996227</v>
      </c>
      <c r="P55" s="92">
        <f t="shared" ca="1" si="28"/>
        <v>15937741.418453742</v>
      </c>
      <c r="Q55" s="92">
        <f t="shared" ca="1" si="29"/>
        <v>680462.72574070853</v>
      </c>
      <c r="R55" s="25">
        <f t="shared" ca="1" si="18"/>
        <v>-1.3626845809500267E-3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x14ac:dyDescent="0.2">
      <c r="A56" s="102">
        <v>2151</v>
      </c>
      <c r="B56" s="102">
        <v>2.1686999971279874E-3</v>
      </c>
      <c r="C56" s="102">
        <v>1</v>
      </c>
      <c r="D56" s="103">
        <f t="shared" si="19"/>
        <v>0.21510000000000001</v>
      </c>
      <c r="E56" s="103">
        <f t="shared" si="19"/>
        <v>2.1686999971279874E-3</v>
      </c>
      <c r="F56" s="92">
        <f t="shared" si="20"/>
        <v>0.21510000000000001</v>
      </c>
      <c r="G56" s="92">
        <f t="shared" si="20"/>
        <v>2.1686999971279874E-3</v>
      </c>
      <c r="H56" s="92">
        <f t="shared" si="21"/>
        <v>4.6268010000000005E-2</v>
      </c>
      <c r="I56" s="92">
        <f t="shared" si="22"/>
        <v>9.9522489510000013E-3</v>
      </c>
      <c r="J56" s="92">
        <f t="shared" si="23"/>
        <v>2.1407287493601006E-3</v>
      </c>
      <c r="K56" s="92">
        <f t="shared" si="24"/>
        <v>4.6648736938223012E-4</v>
      </c>
      <c r="L56" s="92">
        <f t="shared" si="25"/>
        <v>1.0034143315411771E-4</v>
      </c>
      <c r="M56" s="92">
        <f t="shared" ca="1" si="17"/>
        <v>2.5313845815122661E-3</v>
      </c>
      <c r="N56" s="92">
        <f t="shared" ca="1" si="26"/>
        <v>1.3154010774999695E-7</v>
      </c>
      <c r="O56" s="112">
        <f t="shared" ca="1" si="27"/>
        <v>18600237.448996227</v>
      </c>
      <c r="P56" s="92">
        <f t="shared" ca="1" si="28"/>
        <v>15937741.418453742</v>
      </c>
      <c r="Q56" s="92">
        <f t="shared" ca="1" si="29"/>
        <v>680462.72574070853</v>
      </c>
      <c r="R56" s="25">
        <f t="shared" ca="1" si="18"/>
        <v>-3.6268458438427865E-4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x14ac:dyDescent="0.2">
      <c r="A57" s="102">
        <v>2151</v>
      </c>
      <c r="B57" s="102">
        <v>3.0687000034959055E-3</v>
      </c>
      <c r="C57" s="102">
        <v>1</v>
      </c>
      <c r="D57" s="103">
        <f t="shared" si="19"/>
        <v>0.21510000000000001</v>
      </c>
      <c r="E57" s="103">
        <f t="shared" si="19"/>
        <v>3.0687000034959055E-3</v>
      </c>
      <c r="F57" s="92">
        <f t="shared" si="20"/>
        <v>0.21510000000000001</v>
      </c>
      <c r="G57" s="92">
        <f t="shared" si="20"/>
        <v>3.0687000034959055E-3</v>
      </c>
      <c r="H57" s="92">
        <f t="shared" si="21"/>
        <v>4.6268010000000005E-2</v>
      </c>
      <c r="I57" s="92">
        <f t="shared" si="22"/>
        <v>9.9522489510000013E-3</v>
      </c>
      <c r="J57" s="92">
        <f t="shared" si="23"/>
        <v>2.1407287493601006E-3</v>
      </c>
      <c r="K57" s="92">
        <f t="shared" si="24"/>
        <v>6.6007737075196929E-4</v>
      </c>
      <c r="L57" s="92">
        <f t="shared" si="25"/>
        <v>1.419826424487486E-4</v>
      </c>
      <c r="M57" s="92">
        <f t="shared" ca="1" si="17"/>
        <v>2.5313845815122661E-3</v>
      </c>
      <c r="N57" s="92">
        <f t="shared" ca="1" si="26"/>
        <v>2.8870786270145654E-7</v>
      </c>
      <c r="O57" s="112">
        <f t="shared" ca="1" si="27"/>
        <v>18600237.448996227</v>
      </c>
      <c r="P57" s="92">
        <f t="shared" ca="1" si="28"/>
        <v>15937741.418453742</v>
      </c>
      <c r="Q57" s="92">
        <f t="shared" ca="1" si="29"/>
        <v>680462.72574070853</v>
      </c>
      <c r="R57" s="25">
        <f t="shared" ca="1" si="18"/>
        <v>5.3731542198363945E-4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x14ac:dyDescent="0.2">
      <c r="A58" s="102">
        <v>2407.5</v>
      </c>
      <c r="B58" s="102">
        <v>2.832749996741768E-3</v>
      </c>
      <c r="C58" s="102">
        <v>1</v>
      </c>
      <c r="D58" s="103">
        <f t="shared" si="19"/>
        <v>0.24074999999999999</v>
      </c>
      <c r="E58" s="103">
        <f t="shared" si="19"/>
        <v>2.832749996741768E-3</v>
      </c>
      <c r="F58" s="92">
        <f t="shared" si="20"/>
        <v>0.24074999999999999</v>
      </c>
      <c r="G58" s="92">
        <f t="shared" si="20"/>
        <v>2.832749996741768E-3</v>
      </c>
      <c r="H58" s="92">
        <f t="shared" si="21"/>
        <v>5.7960562499999993E-2</v>
      </c>
      <c r="I58" s="92">
        <f t="shared" si="22"/>
        <v>1.3954005421874997E-2</v>
      </c>
      <c r="J58" s="92">
        <f t="shared" si="23"/>
        <v>3.3594268053164056E-3</v>
      </c>
      <c r="K58" s="92">
        <f t="shared" si="24"/>
        <v>6.8198456171558058E-4</v>
      </c>
      <c r="L58" s="92">
        <f t="shared" si="25"/>
        <v>1.6418778323302601E-4</v>
      </c>
      <c r="M58" s="92">
        <f t="shared" ca="1" si="17"/>
        <v>2.8257639386314462E-3</v>
      </c>
      <c r="N58" s="92">
        <f t="shared" ca="1" si="26"/>
        <v>4.8805007920792078E-11</v>
      </c>
      <c r="O58" s="112">
        <f t="shared" ca="1" si="27"/>
        <v>16339494.194522481</v>
      </c>
      <c r="P58" s="92">
        <f t="shared" ca="1" si="28"/>
        <v>9437697.9375944529</v>
      </c>
      <c r="Q58" s="92">
        <f t="shared" ca="1" si="29"/>
        <v>152658.35538203485</v>
      </c>
      <c r="R58" s="25">
        <f t="shared" ca="1" si="18"/>
        <v>6.9860581103217342E-6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x14ac:dyDescent="0.2">
      <c r="A59" s="102">
        <v>2407.5</v>
      </c>
      <c r="B59" s="102">
        <v>3.3327499986626208E-3</v>
      </c>
      <c r="C59" s="102">
        <v>1</v>
      </c>
      <c r="D59" s="103">
        <f t="shared" si="19"/>
        <v>0.24074999999999999</v>
      </c>
      <c r="E59" s="103">
        <f t="shared" si="19"/>
        <v>3.3327499986626208E-3</v>
      </c>
      <c r="F59" s="92">
        <f t="shared" si="20"/>
        <v>0.24074999999999999</v>
      </c>
      <c r="G59" s="92">
        <f t="shared" si="20"/>
        <v>3.3327499986626208E-3</v>
      </c>
      <c r="H59" s="92">
        <f t="shared" si="21"/>
        <v>5.7960562499999993E-2</v>
      </c>
      <c r="I59" s="92">
        <f t="shared" si="22"/>
        <v>1.3954005421874997E-2</v>
      </c>
      <c r="J59" s="92">
        <f t="shared" si="23"/>
        <v>3.3594268053164056E-3</v>
      </c>
      <c r="K59" s="92">
        <f t="shared" si="24"/>
        <v>8.0235956217802591E-4</v>
      </c>
      <c r="L59" s="92">
        <f t="shared" si="25"/>
        <v>1.9316806459435972E-4</v>
      </c>
      <c r="M59" s="92">
        <f t="shared" ca="1" si="17"/>
        <v>2.8257639386314462E-3</v>
      </c>
      <c r="N59" s="92">
        <f t="shared" ca="1" si="26"/>
        <v>2.5703486506593372E-7</v>
      </c>
      <c r="O59" s="112">
        <f t="shared" ca="1" si="27"/>
        <v>16339494.194522481</v>
      </c>
      <c r="P59" s="92">
        <f t="shared" ca="1" si="28"/>
        <v>9437697.9375944529</v>
      </c>
      <c r="Q59" s="92">
        <f t="shared" ca="1" si="29"/>
        <v>152658.35538203485</v>
      </c>
      <c r="R59" s="25">
        <f t="shared" ca="1" si="18"/>
        <v>5.0698606003117454E-4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x14ac:dyDescent="0.2">
      <c r="A60" s="102">
        <v>2407.5</v>
      </c>
      <c r="B60" s="102">
        <v>3.7327499958337285E-3</v>
      </c>
      <c r="C60" s="102">
        <v>1</v>
      </c>
      <c r="D60" s="103">
        <f t="shared" si="19"/>
        <v>0.24074999999999999</v>
      </c>
      <c r="E60" s="103">
        <f t="shared" si="19"/>
        <v>3.7327499958337285E-3</v>
      </c>
      <c r="F60" s="92">
        <f t="shared" si="20"/>
        <v>0.24074999999999999</v>
      </c>
      <c r="G60" s="92">
        <f t="shared" si="20"/>
        <v>3.7327499958337285E-3</v>
      </c>
      <c r="H60" s="92">
        <f t="shared" si="21"/>
        <v>5.7960562499999993E-2</v>
      </c>
      <c r="I60" s="92">
        <f t="shared" si="22"/>
        <v>1.3954005421874997E-2</v>
      </c>
      <c r="J60" s="92">
        <f t="shared" si="23"/>
        <v>3.3594268053164056E-3</v>
      </c>
      <c r="K60" s="92">
        <f t="shared" si="24"/>
        <v>8.9865956149697012E-4</v>
      </c>
      <c r="L60" s="92">
        <f t="shared" si="25"/>
        <v>2.1635228943039556E-4</v>
      </c>
      <c r="M60" s="92">
        <f t="shared" ca="1" si="17"/>
        <v>2.8257639386314462E-3</v>
      </c>
      <c r="N60" s="92">
        <f t="shared" ca="1" si="26"/>
        <v>8.2262370795934157E-7</v>
      </c>
      <c r="O60" s="112">
        <f t="shared" ca="1" si="27"/>
        <v>16339494.194522481</v>
      </c>
      <c r="P60" s="92">
        <f t="shared" ca="1" si="28"/>
        <v>9437697.9375944529</v>
      </c>
      <c r="Q60" s="92">
        <f t="shared" ca="1" si="29"/>
        <v>152658.35538203485</v>
      </c>
      <c r="R60" s="25">
        <f t="shared" ca="1" si="18"/>
        <v>9.0698605720228222E-4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x14ac:dyDescent="0.2">
      <c r="A61" s="102">
        <v>2989</v>
      </c>
      <c r="B61" s="102">
        <v>5.2492999966489151E-3</v>
      </c>
      <c r="C61" s="102">
        <v>1</v>
      </c>
      <c r="D61" s="103">
        <f t="shared" si="19"/>
        <v>0.2989</v>
      </c>
      <c r="E61" s="103">
        <f t="shared" si="19"/>
        <v>5.2492999966489151E-3</v>
      </c>
      <c r="F61" s="92">
        <f t="shared" si="20"/>
        <v>0.2989</v>
      </c>
      <c r="G61" s="92">
        <f t="shared" si="20"/>
        <v>5.2492999966489151E-3</v>
      </c>
      <c r="H61" s="92">
        <f t="shared" si="21"/>
        <v>8.9341210000000004E-2</v>
      </c>
      <c r="I61" s="92">
        <f t="shared" si="22"/>
        <v>2.6704087669000003E-2</v>
      </c>
      <c r="J61" s="92">
        <f t="shared" si="23"/>
        <v>7.9818518042641014E-3</v>
      </c>
      <c r="K61" s="92">
        <f t="shared" si="24"/>
        <v>1.5690157689983606E-3</v>
      </c>
      <c r="L61" s="92">
        <f t="shared" si="25"/>
        <v>4.6897881335360999E-4</v>
      </c>
      <c r="M61" s="92">
        <f t="shared" ca="1" si="17"/>
        <v>3.6116161727244864E-3</v>
      </c>
      <c r="N61" s="92">
        <f t="shared" ca="1" si="26"/>
        <v>2.682008307143739E-6</v>
      </c>
      <c r="O61" s="112">
        <f t="shared" ca="1" si="27"/>
        <v>11925890.405502062</v>
      </c>
      <c r="P61" s="92">
        <f t="shared" ca="1" si="28"/>
        <v>1196012.6865848147</v>
      </c>
      <c r="Q61" s="92">
        <f t="shared" ca="1" si="29"/>
        <v>290194.25045319228</v>
      </c>
      <c r="R61" s="25">
        <f t="shared" ca="1" si="18"/>
        <v>1.6376838239244287E-3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x14ac:dyDescent="0.2">
      <c r="A62" s="102">
        <v>3182</v>
      </c>
      <c r="B62" s="102">
        <v>4.7933999958331697E-3</v>
      </c>
      <c r="C62" s="102">
        <v>1</v>
      </c>
      <c r="D62" s="103">
        <f t="shared" si="19"/>
        <v>0.31819999999999998</v>
      </c>
      <c r="E62" s="103">
        <f t="shared" si="19"/>
        <v>4.7933999958331697E-3</v>
      </c>
      <c r="F62" s="92">
        <f t="shared" si="20"/>
        <v>0.31819999999999998</v>
      </c>
      <c r="G62" s="92">
        <f t="shared" si="20"/>
        <v>4.7933999958331697E-3</v>
      </c>
      <c r="H62" s="92">
        <f t="shared" si="21"/>
        <v>0.10125123999999999</v>
      </c>
      <c r="I62" s="92">
        <f t="shared" si="22"/>
        <v>3.2218144567999998E-2</v>
      </c>
      <c r="J62" s="92">
        <f t="shared" si="23"/>
        <v>1.0251813601537599E-2</v>
      </c>
      <c r="K62" s="92">
        <f t="shared" si="24"/>
        <v>1.5252598786741145E-3</v>
      </c>
      <c r="L62" s="92">
        <f t="shared" si="25"/>
        <v>4.8533769339410322E-4</v>
      </c>
      <c r="M62" s="92">
        <f t="shared" ca="1" si="17"/>
        <v>3.9087837680346956E-3</v>
      </c>
      <c r="N62" s="92">
        <f t="shared" ca="1" si="26"/>
        <v>7.8254587048440171E-7</v>
      </c>
      <c r="O62" s="112">
        <f t="shared" ca="1" si="27"/>
        <v>10663521.610974008</v>
      </c>
      <c r="P62" s="92">
        <f t="shared" ca="1" si="28"/>
        <v>220856.43186291726</v>
      </c>
      <c r="Q62" s="92">
        <f t="shared" ca="1" si="29"/>
        <v>689438.32395922299</v>
      </c>
      <c r="R62" s="25">
        <f t="shared" ca="1" si="18"/>
        <v>8.8461622779847406E-4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x14ac:dyDescent="0.2">
      <c r="A63" s="102">
        <v>3182</v>
      </c>
      <c r="B63" s="102">
        <v>5.39339999522781E-3</v>
      </c>
      <c r="C63" s="102">
        <v>1</v>
      </c>
      <c r="D63" s="103">
        <f t="shared" si="19"/>
        <v>0.31819999999999998</v>
      </c>
      <c r="E63" s="103">
        <f t="shared" si="19"/>
        <v>5.39339999522781E-3</v>
      </c>
      <c r="F63" s="92">
        <f t="shared" si="20"/>
        <v>0.31819999999999998</v>
      </c>
      <c r="G63" s="92">
        <f t="shared" si="20"/>
        <v>5.39339999522781E-3</v>
      </c>
      <c r="H63" s="92">
        <f t="shared" si="21"/>
        <v>0.10125123999999999</v>
      </c>
      <c r="I63" s="92">
        <f t="shared" si="22"/>
        <v>3.2218144567999998E-2</v>
      </c>
      <c r="J63" s="92">
        <f t="shared" si="23"/>
        <v>1.0251813601537599E-2</v>
      </c>
      <c r="K63" s="92">
        <f t="shared" si="24"/>
        <v>1.7161798784814891E-3</v>
      </c>
      <c r="L63" s="92">
        <f t="shared" si="25"/>
        <v>5.4608843733280985E-4</v>
      </c>
      <c r="M63" s="92">
        <f t="shared" ca="1" si="17"/>
        <v>3.9087837680346956E-3</v>
      </c>
      <c r="N63" s="92">
        <f t="shared" ca="1" si="26"/>
        <v>2.204085342045117E-6</v>
      </c>
      <c r="O63" s="112">
        <f t="shared" ca="1" si="27"/>
        <v>10663521.610974008</v>
      </c>
      <c r="P63" s="92">
        <f t="shared" ca="1" si="28"/>
        <v>220856.43186291726</v>
      </c>
      <c r="Q63" s="92">
        <f t="shared" ca="1" si="29"/>
        <v>689438.32395922299</v>
      </c>
      <c r="R63" s="25">
        <f t="shared" ca="1" si="18"/>
        <v>1.4846162271931144E-3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x14ac:dyDescent="0.2">
      <c r="A64" s="102">
        <v>3235</v>
      </c>
      <c r="B64" s="102">
        <v>5.7194999899365939E-3</v>
      </c>
      <c r="C64" s="102">
        <v>1</v>
      </c>
      <c r="D64" s="103">
        <f t="shared" si="19"/>
        <v>0.32350000000000001</v>
      </c>
      <c r="E64" s="103">
        <f t="shared" si="19"/>
        <v>5.7194999899365939E-3</v>
      </c>
      <c r="F64" s="92">
        <f t="shared" si="20"/>
        <v>0.32350000000000001</v>
      </c>
      <c r="G64" s="92">
        <f t="shared" si="20"/>
        <v>5.7194999899365939E-3</v>
      </c>
      <c r="H64" s="92">
        <f t="shared" si="21"/>
        <v>0.10465225</v>
      </c>
      <c r="I64" s="92">
        <f t="shared" si="22"/>
        <v>3.3855002875000005E-2</v>
      </c>
      <c r="J64" s="92">
        <f t="shared" si="23"/>
        <v>1.0952093430062503E-2</v>
      </c>
      <c r="K64" s="92">
        <f t="shared" si="24"/>
        <v>1.8502582467444881E-3</v>
      </c>
      <c r="L64" s="92">
        <f t="shared" si="25"/>
        <v>5.9855854282184196E-4</v>
      </c>
      <c r="M64" s="92">
        <f t="shared" ca="1" si="17"/>
        <v>3.9935593346933154E-3</v>
      </c>
      <c r="N64" s="92">
        <f t="shared" ca="1" si="26"/>
        <v>2.9788711454215973E-6</v>
      </c>
      <c r="O64" s="112">
        <f t="shared" ca="1" si="27"/>
        <v>10333448.869250849</v>
      </c>
      <c r="P64" s="92">
        <f t="shared" ca="1" si="28"/>
        <v>90940.544836821922</v>
      </c>
      <c r="Q64" s="92">
        <f t="shared" ca="1" si="29"/>
        <v>826170.46261420462</v>
      </c>
      <c r="R64" s="25">
        <f t="shared" ca="1" si="18"/>
        <v>1.7259406552432785E-3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x14ac:dyDescent="0.2">
      <c r="A65" s="102">
        <v>3235</v>
      </c>
      <c r="B65" s="102">
        <v>7.5194999953964725E-3</v>
      </c>
      <c r="C65" s="102">
        <v>1</v>
      </c>
      <c r="D65" s="103">
        <f t="shared" si="19"/>
        <v>0.32350000000000001</v>
      </c>
      <c r="E65" s="103">
        <f t="shared" si="19"/>
        <v>7.5194999953964725E-3</v>
      </c>
      <c r="F65" s="92">
        <f t="shared" si="20"/>
        <v>0.32350000000000001</v>
      </c>
      <c r="G65" s="92">
        <f t="shared" si="20"/>
        <v>7.5194999953964725E-3</v>
      </c>
      <c r="H65" s="92">
        <f t="shared" si="21"/>
        <v>0.10465225</v>
      </c>
      <c r="I65" s="92">
        <f t="shared" si="22"/>
        <v>3.3855002875000005E-2</v>
      </c>
      <c r="J65" s="92">
        <f t="shared" si="23"/>
        <v>1.0952093430062503E-2</v>
      </c>
      <c r="K65" s="92">
        <f t="shared" si="24"/>
        <v>2.4325582485107589E-3</v>
      </c>
      <c r="L65" s="92">
        <f t="shared" si="25"/>
        <v>7.8693259339323056E-4</v>
      </c>
      <c r="M65" s="92">
        <f t="shared" ca="1" si="17"/>
        <v>3.9935593346933154E-3</v>
      </c>
      <c r="N65" s="92">
        <f t="shared" ca="1" si="26"/>
        <v>1.2432257542799816E-5</v>
      </c>
      <c r="O65" s="112">
        <f t="shared" ca="1" si="27"/>
        <v>10333448.869250849</v>
      </c>
      <c r="P65" s="92">
        <f t="shared" ca="1" si="28"/>
        <v>90940.544836821922</v>
      </c>
      <c r="Q65" s="92">
        <f t="shared" ca="1" si="29"/>
        <v>826170.46261420462</v>
      </c>
      <c r="R65" s="25">
        <f t="shared" ca="1" si="18"/>
        <v>3.5259406607031571E-3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x14ac:dyDescent="0.2">
      <c r="A66" s="102">
        <v>4663</v>
      </c>
      <c r="B66" s="102">
        <v>7.2830999997677281E-3</v>
      </c>
      <c r="C66" s="102">
        <v>1</v>
      </c>
      <c r="D66" s="103">
        <f t="shared" si="19"/>
        <v>0.46629999999999999</v>
      </c>
      <c r="E66" s="103">
        <f t="shared" si="19"/>
        <v>7.2830999997677281E-3</v>
      </c>
      <c r="F66" s="92">
        <f t="shared" si="20"/>
        <v>0.46629999999999999</v>
      </c>
      <c r="G66" s="92">
        <f t="shared" si="20"/>
        <v>7.2830999997677281E-3</v>
      </c>
      <c r="H66" s="92">
        <f t="shared" si="21"/>
        <v>0.21743568999999999</v>
      </c>
      <c r="I66" s="92">
        <f t="shared" si="22"/>
        <v>0.101390262247</v>
      </c>
      <c r="J66" s="92">
        <f t="shared" si="23"/>
        <v>4.7278279285776097E-2</v>
      </c>
      <c r="K66" s="92">
        <f t="shared" si="24"/>
        <v>3.3961095298916917E-3</v>
      </c>
      <c r="L66" s="92">
        <f t="shared" si="25"/>
        <v>1.5836058737884959E-3</v>
      </c>
      <c r="M66" s="92">
        <f t="shared" ca="1" si="17"/>
        <v>6.7918935205882481E-3</v>
      </c>
      <c r="N66" s="92">
        <f t="shared" ca="1" si="26"/>
        <v>2.4128380518790096E-7</v>
      </c>
      <c r="O66" s="112">
        <f t="shared" ca="1" si="27"/>
        <v>3798425.3923631953</v>
      </c>
      <c r="P66" s="92">
        <f t="shared" ca="1" si="28"/>
        <v>14203915.139799062</v>
      </c>
      <c r="Q66" s="92">
        <f t="shared" ca="1" si="29"/>
        <v>7777238.0490329294</v>
      </c>
      <c r="R66" s="25">
        <f t="shared" ca="1" si="18"/>
        <v>4.9120647917948006E-4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x14ac:dyDescent="0.2">
      <c r="A67" s="102">
        <v>4663</v>
      </c>
      <c r="B67" s="102">
        <v>7.2830999997677281E-3</v>
      </c>
      <c r="C67" s="102">
        <v>1</v>
      </c>
      <c r="D67" s="103">
        <f t="shared" si="19"/>
        <v>0.46629999999999999</v>
      </c>
      <c r="E67" s="103">
        <f t="shared" si="19"/>
        <v>7.2830999997677281E-3</v>
      </c>
      <c r="F67" s="92">
        <f t="shared" si="20"/>
        <v>0.46629999999999999</v>
      </c>
      <c r="G67" s="92">
        <f t="shared" si="20"/>
        <v>7.2830999997677281E-3</v>
      </c>
      <c r="H67" s="92">
        <f t="shared" si="21"/>
        <v>0.21743568999999999</v>
      </c>
      <c r="I67" s="92">
        <f t="shared" si="22"/>
        <v>0.101390262247</v>
      </c>
      <c r="J67" s="92">
        <f t="shared" si="23"/>
        <v>4.7278279285776097E-2</v>
      </c>
      <c r="K67" s="92">
        <f t="shared" si="24"/>
        <v>3.3961095298916917E-3</v>
      </c>
      <c r="L67" s="92">
        <f t="shared" si="25"/>
        <v>1.5836058737884959E-3</v>
      </c>
      <c r="M67" s="92">
        <f t="shared" ca="1" si="17"/>
        <v>6.7918935205882481E-3</v>
      </c>
      <c r="N67" s="92">
        <f t="shared" ca="1" si="26"/>
        <v>2.4128380518790096E-7</v>
      </c>
      <c r="O67" s="112">
        <f t="shared" ca="1" si="27"/>
        <v>3798425.3923631953</v>
      </c>
      <c r="P67" s="92">
        <f t="shared" ca="1" si="28"/>
        <v>14203915.139799062</v>
      </c>
      <c r="Q67" s="92">
        <f t="shared" ca="1" si="29"/>
        <v>7777238.0490329294</v>
      </c>
      <c r="R67" s="25">
        <f t="shared" ca="1" si="18"/>
        <v>4.9120647917948006E-4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x14ac:dyDescent="0.2">
      <c r="A68" s="102">
        <v>5357</v>
      </c>
      <c r="B68" s="102">
        <v>8.8908999969135039E-3</v>
      </c>
      <c r="C68" s="102">
        <v>1</v>
      </c>
      <c r="D68" s="103">
        <f t="shared" si="19"/>
        <v>0.53569999999999995</v>
      </c>
      <c r="E68" s="103">
        <f t="shared" si="19"/>
        <v>8.8908999969135039E-3</v>
      </c>
      <c r="F68" s="92">
        <f t="shared" si="20"/>
        <v>0.53569999999999995</v>
      </c>
      <c r="G68" s="92">
        <f t="shared" si="20"/>
        <v>8.8908999969135039E-3</v>
      </c>
      <c r="H68" s="92">
        <f t="shared" si="21"/>
        <v>0.28697448999999997</v>
      </c>
      <c r="I68" s="92">
        <f t="shared" si="22"/>
        <v>0.15373223429299998</v>
      </c>
      <c r="J68" s="92">
        <f t="shared" si="23"/>
        <v>8.2354357910760081E-2</v>
      </c>
      <c r="K68" s="92">
        <f t="shared" si="24"/>
        <v>4.7628551283465633E-3</v>
      </c>
      <c r="L68" s="92">
        <f t="shared" si="25"/>
        <v>2.5514614922552536E-3</v>
      </c>
      <c r="M68" s="92">
        <f t="shared" ca="1" si="17"/>
        <v>8.5099212642045039E-3</v>
      </c>
      <c r="N68" s="92">
        <f t="shared" ca="1" si="26"/>
        <v>1.4514479477655561E-7</v>
      </c>
      <c r="O68" s="112">
        <f t="shared" ca="1" si="27"/>
        <v>1983131.3141310883</v>
      </c>
      <c r="P68" s="92">
        <f t="shared" ca="1" si="28"/>
        <v>29398649.554642331</v>
      </c>
      <c r="Q68" s="92">
        <f t="shared" ca="1" si="29"/>
        <v>12506146.065455645</v>
      </c>
      <c r="R68" s="25">
        <f t="shared" ca="1" si="18"/>
        <v>3.8097873270899994E-4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x14ac:dyDescent="0.2">
      <c r="A69" s="102">
        <v>5357</v>
      </c>
      <c r="B69" s="102">
        <v>8.9908999943872914E-3</v>
      </c>
      <c r="C69" s="102">
        <v>1</v>
      </c>
      <c r="D69" s="103">
        <f t="shared" si="19"/>
        <v>0.53569999999999995</v>
      </c>
      <c r="E69" s="103">
        <f t="shared" si="19"/>
        <v>8.9908999943872914E-3</v>
      </c>
      <c r="F69" s="92">
        <f t="shared" si="20"/>
        <v>0.53569999999999995</v>
      </c>
      <c r="G69" s="92">
        <f t="shared" si="20"/>
        <v>8.9908999943872914E-3</v>
      </c>
      <c r="H69" s="92">
        <f t="shared" si="21"/>
        <v>0.28697448999999997</v>
      </c>
      <c r="I69" s="92">
        <f t="shared" si="22"/>
        <v>0.15373223429299998</v>
      </c>
      <c r="J69" s="92">
        <f t="shared" si="23"/>
        <v>8.2354357910760081E-2</v>
      </c>
      <c r="K69" s="92">
        <f t="shared" si="24"/>
        <v>4.8164251269932718E-3</v>
      </c>
      <c r="L69" s="92">
        <f t="shared" si="25"/>
        <v>2.5801589405302955E-3</v>
      </c>
      <c r="M69" s="92">
        <f t="shared" ca="1" si="17"/>
        <v>8.5099212642045039E-3</v>
      </c>
      <c r="N69" s="92">
        <f t="shared" ca="1" si="26"/>
        <v>2.3134053888824666E-7</v>
      </c>
      <c r="O69" s="112">
        <f t="shared" ca="1" si="27"/>
        <v>1983131.3141310883</v>
      </c>
      <c r="P69" s="92">
        <f t="shared" ca="1" si="28"/>
        <v>29398649.554642331</v>
      </c>
      <c r="Q69" s="92">
        <f t="shared" ca="1" si="29"/>
        <v>12506146.065455645</v>
      </c>
      <c r="R69" s="25">
        <f t="shared" ca="1" si="18"/>
        <v>4.8097873018278746E-4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x14ac:dyDescent="0.2">
      <c r="A70" s="102">
        <v>5624</v>
      </c>
      <c r="B70" s="102">
        <v>7.84879999991972E-3</v>
      </c>
      <c r="C70" s="102">
        <v>1</v>
      </c>
      <c r="D70" s="103">
        <f t="shared" si="19"/>
        <v>0.56240000000000001</v>
      </c>
      <c r="E70" s="103">
        <f t="shared" si="19"/>
        <v>7.84879999991972E-3</v>
      </c>
      <c r="F70" s="92">
        <f t="shared" si="20"/>
        <v>0.56240000000000001</v>
      </c>
      <c r="G70" s="92">
        <f t="shared" si="20"/>
        <v>7.84879999991972E-3</v>
      </c>
      <c r="H70" s="92">
        <f t="shared" si="21"/>
        <v>0.31629376000000003</v>
      </c>
      <c r="I70" s="92">
        <f t="shared" si="22"/>
        <v>0.17788361062400002</v>
      </c>
      <c r="J70" s="92">
        <f t="shared" si="23"/>
        <v>0.10004174261493762</v>
      </c>
      <c r="K70" s="92">
        <f t="shared" si="24"/>
        <v>4.414165119954851E-3</v>
      </c>
      <c r="L70" s="92">
        <f t="shared" si="25"/>
        <v>2.4825264634626082E-3</v>
      </c>
      <c r="M70" s="92">
        <f t="shared" ca="1" si="17"/>
        <v>9.23327615309796E-3</v>
      </c>
      <c r="N70" s="92">
        <f t="shared" ca="1" si="26"/>
        <v>1.9167742187192172E-6</v>
      </c>
      <c r="O70" s="112">
        <f t="shared" ca="1" si="27"/>
        <v>1471769.3734341515</v>
      </c>
      <c r="P70" s="92">
        <f t="shared" ca="1" si="28"/>
        <v>36017814.299856797</v>
      </c>
      <c r="Q70" s="92">
        <f t="shared" ca="1" si="29"/>
        <v>14402953.576222794</v>
      </c>
      <c r="R70" s="25">
        <f t="shared" ca="1" si="18"/>
        <v>-1.38447615317824E-3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x14ac:dyDescent="0.2">
      <c r="A71" s="102">
        <v>5624</v>
      </c>
      <c r="B71" s="102">
        <v>1.1848800000734627E-2</v>
      </c>
      <c r="C71" s="102">
        <v>1</v>
      </c>
      <c r="D71" s="103">
        <f t="shared" si="19"/>
        <v>0.56240000000000001</v>
      </c>
      <c r="E71" s="103">
        <f t="shared" si="19"/>
        <v>1.1848800000734627E-2</v>
      </c>
      <c r="F71" s="92">
        <f t="shared" si="20"/>
        <v>0.56240000000000001</v>
      </c>
      <c r="G71" s="92">
        <f t="shared" si="20"/>
        <v>1.1848800000734627E-2</v>
      </c>
      <c r="H71" s="92">
        <f t="shared" si="21"/>
        <v>0.31629376000000003</v>
      </c>
      <c r="I71" s="92">
        <f t="shared" si="22"/>
        <v>0.17788361062400002</v>
      </c>
      <c r="J71" s="92">
        <f t="shared" si="23"/>
        <v>0.10004174261493762</v>
      </c>
      <c r="K71" s="92">
        <f t="shared" si="24"/>
        <v>6.6637651204131546E-3</v>
      </c>
      <c r="L71" s="92">
        <f t="shared" si="25"/>
        <v>3.7477015037203584E-3</v>
      </c>
      <c r="M71" s="92">
        <f t="shared" ca="1" si="17"/>
        <v>9.23327615309796E-3</v>
      </c>
      <c r="N71" s="92">
        <f t="shared" ca="1" si="26"/>
        <v>6.8409649975561163E-6</v>
      </c>
      <c r="O71" s="112">
        <f t="shared" ca="1" si="27"/>
        <v>1471769.3734341515</v>
      </c>
      <c r="P71" s="92">
        <f t="shared" ca="1" si="28"/>
        <v>36017814.299856797</v>
      </c>
      <c r="Q71" s="92">
        <f t="shared" ca="1" si="29"/>
        <v>14402953.576222794</v>
      </c>
      <c r="R71" s="25">
        <f t="shared" ca="1" si="18"/>
        <v>2.6155238476366673E-3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x14ac:dyDescent="0.2">
      <c r="A72" s="102">
        <v>7214</v>
      </c>
      <c r="B72" s="102">
        <v>1.3731799997913186E-2</v>
      </c>
      <c r="C72" s="102">
        <v>1</v>
      </c>
      <c r="D72" s="103">
        <f t="shared" si="19"/>
        <v>0.72140000000000004</v>
      </c>
      <c r="E72" s="103">
        <f t="shared" si="19"/>
        <v>1.3731799997913186E-2</v>
      </c>
      <c r="F72" s="92">
        <f t="shared" si="20"/>
        <v>0.72140000000000004</v>
      </c>
      <c r="G72" s="92">
        <f t="shared" si="20"/>
        <v>1.3731799997913186E-2</v>
      </c>
      <c r="H72" s="92">
        <f t="shared" si="21"/>
        <v>0.52041796000000007</v>
      </c>
      <c r="I72" s="92">
        <f t="shared" si="22"/>
        <v>0.37542951634400007</v>
      </c>
      <c r="J72" s="92">
        <f t="shared" si="23"/>
        <v>0.27083485309056166</v>
      </c>
      <c r="K72" s="92">
        <f t="shared" si="24"/>
        <v>9.9061205184945728E-3</v>
      </c>
      <c r="L72" s="92">
        <f t="shared" si="25"/>
        <v>7.1462753420419856E-3</v>
      </c>
      <c r="M72" s="92">
        <f t="shared" ca="1" si="17"/>
        <v>1.4258774573045198E-2</v>
      </c>
      <c r="N72" s="92">
        <f t="shared" ca="1" si="26"/>
        <v>2.7770220283556528E-7</v>
      </c>
      <c r="O72" s="112">
        <f t="shared" ca="1" si="27"/>
        <v>40238.341796837442</v>
      </c>
      <c r="P72" s="92">
        <f t="shared" ca="1" si="28"/>
        <v>77449829.316905662</v>
      </c>
      <c r="Q72" s="92">
        <f t="shared" ca="1" si="29"/>
        <v>25030811.551128518</v>
      </c>
      <c r="R72" s="25">
        <f t="shared" ca="1" si="18"/>
        <v>-5.2697457513201269E-4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x14ac:dyDescent="0.2">
      <c r="A73" s="102">
        <v>7214</v>
      </c>
      <c r="B73" s="102">
        <v>1.4011799998115748E-2</v>
      </c>
      <c r="C73" s="102">
        <v>1</v>
      </c>
      <c r="D73" s="103">
        <f t="shared" si="19"/>
        <v>0.72140000000000004</v>
      </c>
      <c r="E73" s="103">
        <f t="shared" si="19"/>
        <v>1.4011799998115748E-2</v>
      </c>
      <c r="F73" s="92">
        <f t="shared" si="20"/>
        <v>0.72140000000000004</v>
      </c>
      <c r="G73" s="92">
        <f t="shared" si="20"/>
        <v>1.4011799998115748E-2</v>
      </c>
      <c r="H73" s="92">
        <f t="shared" si="21"/>
        <v>0.52041796000000007</v>
      </c>
      <c r="I73" s="92">
        <f t="shared" si="22"/>
        <v>0.37542951634400007</v>
      </c>
      <c r="J73" s="92">
        <f t="shared" si="23"/>
        <v>0.27083485309056166</v>
      </c>
      <c r="K73" s="92">
        <f t="shared" si="24"/>
        <v>1.0108112518640701E-2</v>
      </c>
      <c r="L73" s="92">
        <f t="shared" si="25"/>
        <v>7.2919923709474019E-3</v>
      </c>
      <c r="M73" s="92">
        <f t="shared" ca="1" si="17"/>
        <v>1.4258774573045198E-2</v>
      </c>
      <c r="N73" s="92">
        <f t="shared" ca="1" si="26"/>
        <v>6.0996440661582528E-8</v>
      </c>
      <c r="O73" s="112">
        <f t="shared" ca="1" si="27"/>
        <v>40238.341796837442</v>
      </c>
      <c r="P73" s="92">
        <f t="shared" ca="1" si="28"/>
        <v>77449829.316905662</v>
      </c>
      <c r="Q73" s="92">
        <f t="shared" ca="1" si="29"/>
        <v>25030811.551128518</v>
      </c>
      <c r="R73" s="25">
        <f t="shared" ca="1" si="18"/>
        <v>-2.4697457492945003E-4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x14ac:dyDescent="0.2">
      <c r="A74" s="102">
        <v>7214</v>
      </c>
      <c r="B74" s="102">
        <v>1.4331799997307826E-2</v>
      </c>
      <c r="C74" s="102">
        <v>1</v>
      </c>
      <c r="D74" s="103">
        <f t="shared" si="19"/>
        <v>0.72140000000000004</v>
      </c>
      <c r="E74" s="103">
        <f t="shared" si="19"/>
        <v>1.4331799997307826E-2</v>
      </c>
      <c r="F74" s="92">
        <f t="shared" si="20"/>
        <v>0.72140000000000004</v>
      </c>
      <c r="G74" s="92">
        <f t="shared" si="20"/>
        <v>1.4331799997307826E-2</v>
      </c>
      <c r="H74" s="92">
        <f t="shared" si="21"/>
        <v>0.52041796000000007</v>
      </c>
      <c r="I74" s="92">
        <f t="shared" si="22"/>
        <v>0.37542951634400007</v>
      </c>
      <c r="J74" s="92">
        <f t="shared" si="23"/>
        <v>0.27083485309056166</v>
      </c>
      <c r="K74" s="92">
        <f t="shared" si="24"/>
        <v>1.0338960518057867E-2</v>
      </c>
      <c r="L74" s="92">
        <f t="shared" si="25"/>
        <v>7.4585261177269454E-3</v>
      </c>
      <c r="M74" s="92">
        <f t="shared" ca="1" si="17"/>
        <v>1.4258774573045198E-2</v>
      </c>
      <c r="N74" s="92">
        <f t="shared" ca="1" si="26"/>
        <v>5.3327125887367646E-9</v>
      </c>
      <c r="O74" s="112">
        <f t="shared" ca="1" si="27"/>
        <v>40238.341796837442</v>
      </c>
      <c r="P74" s="92">
        <f t="shared" ca="1" si="28"/>
        <v>77449829.316905662</v>
      </c>
      <c r="Q74" s="92">
        <f t="shared" ca="1" si="29"/>
        <v>25030811.551128518</v>
      </c>
      <c r="R74" s="25">
        <f t="shared" ca="1" si="18"/>
        <v>7.3025424262627633E-5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x14ac:dyDescent="0.2">
      <c r="A75" s="102">
        <v>8484.5</v>
      </c>
      <c r="B75" s="102">
        <v>1.9487649995426182E-2</v>
      </c>
      <c r="C75" s="102">
        <v>1</v>
      </c>
      <c r="D75" s="103">
        <f t="shared" si="19"/>
        <v>0.84845000000000004</v>
      </c>
      <c r="E75" s="103">
        <f t="shared" si="19"/>
        <v>1.9487649995426182E-2</v>
      </c>
      <c r="F75" s="92">
        <f t="shared" si="20"/>
        <v>0.84845000000000004</v>
      </c>
      <c r="G75" s="92">
        <f t="shared" si="20"/>
        <v>1.9487649995426182E-2</v>
      </c>
      <c r="H75" s="92">
        <f t="shared" si="21"/>
        <v>0.71986740250000003</v>
      </c>
      <c r="I75" s="92">
        <f t="shared" si="22"/>
        <v>0.61077149765112504</v>
      </c>
      <c r="J75" s="92">
        <f t="shared" si="23"/>
        <v>0.51820907718209708</v>
      </c>
      <c r="K75" s="92">
        <f t="shared" si="24"/>
        <v>1.6534296638619345E-2</v>
      </c>
      <c r="L75" s="92">
        <f t="shared" si="25"/>
        <v>1.4028523983036584E-2</v>
      </c>
      <c r="M75" s="92">
        <f t="shared" ca="1" si="17"/>
        <v>1.9158039167278363E-2</v>
      </c>
      <c r="N75" s="92">
        <f t="shared" ca="1" si="26"/>
        <v>1.0864329803229087E-7</v>
      </c>
      <c r="O75" s="112">
        <f t="shared" ca="1" si="27"/>
        <v>180618.30830902903</v>
      </c>
      <c r="P75" s="92">
        <f t="shared" ca="1" si="28"/>
        <v>104761406.71998191</v>
      </c>
      <c r="Q75" s="92">
        <f t="shared" ca="1" si="29"/>
        <v>30899849.858070977</v>
      </c>
      <c r="R75" s="25">
        <f t="shared" ca="1" si="18"/>
        <v>3.296108281478187E-4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x14ac:dyDescent="0.2">
      <c r="A76" s="102">
        <v>8638</v>
      </c>
      <c r="B76" s="102">
        <v>1.8640599999343976E-2</v>
      </c>
      <c r="C76" s="102">
        <v>1</v>
      </c>
      <c r="D76" s="103">
        <f t="shared" si="19"/>
        <v>0.86380000000000001</v>
      </c>
      <c r="E76" s="103">
        <f t="shared" si="19"/>
        <v>1.8640599999343976E-2</v>
      </c>
      <c r="F76" s="92">
        <f t="shared" si="20"/>
        <v>0.86380000000000001</v>
      </c>
      <c r="G76" s="92">
        <f t="shared" si="20"/>
        <v>1.8640599999343976E-2</v>
      </c>
      <c r="H76" s="92">
        <f t="shared" si="21"/>
        <v>0.74615043999999997</v>
      </c>
      <c r="I76" s="92">
        <f t="shared" si="22"/>
        <v>0.64452475007199994</v>
      </c>
      <c r="J76" s="92">
        <f t="shared" si="23"/>
        <v>0.5567404791121936</v>
      </c>
      <c r="K76" s="92">
        <f t="shared" si="24"/>
        <v>1.6101750279433329E-2</v>
      </c>
      <c r="L76" s="92">
        <f t="shared" si="25"/>
        <v>1.390869189137451E-2</v>
      </c>
      <c r="M76" s="92">
        <f t="shared" ca="1" si="17"/>
        <v>1.980310614402251E-2</v>
      </c>
      <c r="N76" s="92">
        <f t="shared" ca="1" si="26"/>
        <v>1.351420536415348E-6</v>
      </c>
      <c r="O76" s="112">
        <f t="shared" ca="1" si="27"/>
        <v>239646.65238163609</v>
      </c>
      <c r="P76" s="92">
        <f t="shared" ca="1" si="28"/>
        <v>107338232.65927412</v>
      </c>
      <c r="Q76" s="92">
        <f t="shared" ca="1" si="29"/>
        <v>31374203.86936453</v>
      </c>
      <c r="R76" s="25">
        <f t="shared" ca="1" si="18"/>
        <v>-1.1625061446785337E-3</v>
      </c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x14ac:dyDescent="0.2">
      <c r="A77" s="102">
        <v>8638</v>
      </c>
      <c r="B77" s="102">
        <v>1.8680599998333491E-2</v>
      </c>
      <c r="C77" s="102">
        <v>1</v>
      </c>
      <c r="D77" s="103">
        <f t="shared" si="19"/>
        <v>0.86380000000000001</v>
      </c>
      <c r="E77" s="103">
        <f t="shared" si="19"/>
        <v>1.8680599998333491E-2</v>
      </c>
      <c r="F77" s="92">
        <f t="shared" si="20"/>
        <v>0.86380000000000001</v>
      </c>
      <c r="G77" s="92">
        <f t="shared" si="20"/>
        <v>1.8680599998333491E-2</v>
      </c>
      <c r="H77" s="92">
        <f t="shared" si="21"/>
        <v>0.74615043999999997</v>
      </c>
      <c r="I77" s="92">
        <f t="shared" si="22"/>
        <v>0.64452475007199994</v>
      </c>
      <c r="J77" s="92">
        <f t="shared" si="23"/>
        <v>0.5567404791121936</v>
      </c>
      <c r="K77" s="92">
        <f t="shared" si="24"/>
        <v>1.6136302278560472E-2</v>
      </c>
      <c r="L77" s="92">
        <f t="shared" si="25"/>
        <v>1.3938537908220536E-2</v>
      </c>
      <c r="M77" s="92">
        <f t="shared" ca="1" si="17"/>
        <v>1.980310614402251E-2</v>
      </c>
      <c r="N77" s="92">
        <f t="shared" ca="1" si="26"/>
        <v>1.2600200471096164E-6</v>
      </c>
      <c r="O77" s="112">
        <f t="shared" ca="1" si="27"/>
        <v>239646.65238163609</v>
      </c>
      <c r="P77" s="92">
        <f t="shared" ca="1" si="28"/>
        <v>107338232.65927412</v>
      </c>
      <c r="Q77" s="92">
        <f t="shared" ca="1" si="29"/>
        <v>31374203.86936453</v>
      </c>
      <c r="R77" s="25">
        <f t="shared" ca="1" si="18"/>
        <v>-1.1225061456890187E-3</v>
      </c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x14ac:dyDescent="0.2">
      <c r="A78" s="102">
        <v>9175</v>
      </c>
      <c r="B78" s="102">
        <v>2.26974999968661E-2</v>
      </c>
      <c r="C78" s="102">
        <v>1</v>
      </c>
      <c r="D78" s="103">
        <f t="shared" si="19"/>
        <v>0.91749999999999998</v>
      </c>
      <c r="E78" s="103">
        <f t="shared" si="19"/>
        <v>2.26974999968661E-2</v>
      </c>
      <c r="F78" s="92">
        <f t="shared" si="20"/>
        <v>0.91749999999999998</v>
      </c>
      <c r="G78" s="92">
        <f t="shared" si="20"/>
        <v>2.26974999968661E-2</v>
      </c>
      <c r="H78" s="92">
        <f t="shared" si="21"/>
        <v>0.84180624999999998</v>
      </c>
      <c r="I78" s="92">
        <f t="shared" si="22"/>
        <v>0.77235723437499992</v>
      </c>
      <c r="J78" s="92">
        <f t="shared" si="23"/>
        <v>0.70863776253906241</v>
      </c>
      <c r="K78" s="92">
        <f t="shared" si="24"/>
        <v>2.0824956247124646E-2</v>
      </c>
      <c r="L78" s="92">
        <f t="shared" si="25"/>
        <v>1.9106897356736863E-2</v>
      </c>
      <c r="M78" s="92">
        <f t="shared" ca="1" si="17"/>
        <v>2.2149943018874671E-2</v>
      </c>
      <c r="N78" s="92">
        <f t="shared" ca="1" si="26"/>
        <v>2.9981864414710575E-7</v>
      </c>
      <c r="O78" s="112">
        <f t="shared" ca="1" si="27"/>
        <v>485274.03290204838</v>
      </c>
      <c r="P78" s="92">
        <f t="shared" ca="1" si="28"/>
        <v>114839085.90915084</v>
      </c>
      <c r="Q78" s="92">
        <f t="shared" ca="1" si="29"/>
        <v>32583321.784581937</v>
      </c>
      <c r="R78" s="25">
        <f t="shared" ca="1" si="18"/>
        <v>5.4755697799142855E-4</v>
      </c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x14ac:dyDescent="0.2">
      <c r="A79" s="102">
        <v>9178</v>
      </c>
      <c r="B79" s="102">
        <v>2.1338599995942786E-2</v>
      </c>
      <c r="C79" s="102">
        <v>1</v>
      </c>
      <c r="D79" s="103">
        <f t="shared" si="19"/>
        <v>0.91779999999999995</v>
      </c>
      <c r="E79" s="103">
        <f t="shared" si="19"/>
        <v>2.1338599995942786E-2</v>
      </c>
      <c r="F79" s="92">
        <f t="shared" si="20"/>
        <v>0.91779999999999995</v>
      </c>
      <c r="G79" s="92">
        <f t="shared" si="20"/>
        <v>2.1338599995942786E-2</v>
      </c>
      <c r="H79" s="92">
        <f t="shared" si="21"/>
        <v>0.84235683999999988</v>
      </c>
      <c r="I79" s="92">
        <f t="shared" si="22"/>
        <v>0.77311510775199987</v>
      </c>
      <c r="J79" s="92">
        <f t="shared" si="23"/>
        <v>0.70956504589478542</v>
      </c>
      <c r="K79" s="92">
        <f t="shared" si="24"/>
        <v>1.9584567076276288E-2</v>
      </c>
      <c r="L79" s="92">
        <f t="shared" si="25"/>
        <v>1.7974715662606375E-2</v>
      </c>
      <c r="M79" s="92">
        <f t="shared" ca="1" si="17"/>
        <v>2.2163447713563624E-2</v>
      </c>
      <c r="N79" s="92">
        <f t="shared" ca="1" si="26"/>
        <v>6.8037375726430548E-7</v>
      </c>
      <c r="O79" s="112">
        <f t="shared" ca="1" si="27"/>
        <v>486773.00122703129</v>
      </c>
      <c r="P79" s="92">
        <f t="shared" ca="1" si="28"/>
        <v>114874039.43138361</v>
      </c>
      <c r="Q79" s="92">
        <f t="shared" ca="1" si="29"/>
        <v>32588056.5245892</v>
      </c>
      <c r="R79" s="25">
        <f t="shared" ca="1" si="18"/>
        <v>-8.2484771762083783E-4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x14ac:dyDescent="0.2">
      <c r="A80" s="102">
        <v>9194</v>
      </c>
      <c r="B80" s="102">
        <v>2.1957800003292505E-2</v>
      </c>
      <c r="C80" s="102">
        <v>1</v>
      </c>
      <c r="D80" s="103">
        <f t="shared" si="19"/>
        <v>0.9194</v>
      </c>
      <c r="E80" s="103">
        <f t="shared" si="19"/>
        <v>2.1957800003292505E-2</v>
      </c>
      <c r="F80" s="92">
        <f t="shared" si="20"/>
        <v>0.9194</v>
      </c>
      <c r="G80" s="92">
        <f t="shared" si="20"/>
        <v>2.1957800003292505E-2</v>
      </c>
      <c r="H80" s="92">
        <f t="shared" si="21"/>
        <v>0.84529635999999997</v>
      </c>
      <c r="I80" s="92">
        <f t="shared" si="22"/>
        <v>0.77716547338399999</v>
      </c>
      <c r="J80" s="92">
        <f t="shared" si="23"/>
        <v>0.71452593622924954</v>
      </c>
      <c r="K80" s="92">
        <f t="shared" si="24"/>
        <v>2.018800132302713E-2</v>
      </c>
      <c r="L80" s="92">
        <f t="shared" si="25"/>
        <v>1.8560848416391142E-2</v>
      </c>
      <c r="M80" s="92">
        <f t="shared" ca="1" si="17"/>
        <v>2.2235546664092588E-2</v>
      </c>
      <c r="N80" s="92">
        <f t="shared" ca="1" si="26"/>
        <v>7.7143207585596719E-8</v>
      </c>
      <c r="O80" s="112">
        <f t="shared" ca="1" si="27"/>
        <v>494784.94223019021</v>
      </c>
      <c r="P80" s="92">
        <f t="shared" ca="1" si="28"/>
        <v>115059109.05891642</v>
      </c>
      <c r="Q80" s="92">
        <f t="shared" ca="1" si="29"/>
        <v>32612923.004734244</v>
      </c>
      <c r="R80" s="25">
        <f t="shared" ca="1" si="18"/>
        <v>-2.7774666080008364E-4</v>
      </c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x14ac:dyDescent="0.2">
      <c r="A81" s="102">
        <v>9200</v>
      </c>
      <c r="B81" s="102">
        <v>2.2040000003471505E-2</v>
      </c>
      <c r="C81" s="102">
        <v>1</v>
      </c>
      <c r="D81" s="103">
        <f t="shared" si="19"/>
        <v>0.92</v>
      </c>
      <c r="E81" s="103">
        <f t="shared" si="19"/>
        <v>2.2040000003471505E-2</v>
      </c>
      <c r="F81" s="92">
        <f t="shared" si="20"/>
        <v>0.92</v>
      </c>
      <c r="G81" s="92">
        <f t="shared" si="20"/>
        <v>2.2040000003471505E-2</v>
      </c>
      <c r="H81" s="92">
        <f t="shared" si="21"/>
        <v>0.84640000000000004</v>
      </c>
      <c r="I81" s="92">
        <f t="shared" si="22"/>
        <v>0.77868800000000005</v>
      </c>
      <c r="J81" s="92">
        <f t="shared" si="23"/>
        <v>0.71639296000000008</v>
      </c>
      <c r="K81" s="92">
        <f t="shared" si="24"/>
        <v>2.0276800003193787E-2</v>
      </c>
      <c r="L81" s="92">
        <f t="shared" si="25"/>
        <v>1.8654656002938284E-2</v>
      </c>
      <c r="M81" s="92">
        <f t="shared" ca="1" si="17"/>
        <v>2.2262615863990948E-2</v>
      </c>
      <c r="N81" s="92">
        <f t="shared" ca="1" si="26"/>
        <v>4.9557821354812022E-8</v>
      </c>
      <c r="O81" s="112">
        <f t="shared" ca="1" si="27"/>
        <v>497796.8750741313</v>
      </c>
      <c r="P81" s="92">
        <f t="shared" ca="1" si="28"/>
        <v>115127923.56576726</v>
      </c>
      <c r="Q81" s="92">
        <f t="shared" ca="1" si="29"/>
        <v>32622080.460053213</v>
      </c>
      <c r="R81" s="25">
        <f t="shared" ca="1" si="18"/>
        <v>-2.2261586051944282E-4</v>
      </c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x14ac:dyDescent="0.2">
      <c r="A82" s="102">
        <v>9242.5</v>
      </c>
      <c r="B82" s="102">
        <v>2.2372250001353677E-2</v>
      </c>
      <c r="C82" s="102">
        <v>1</v>
      </c>
      <c r="D82" s="103">
        <f t="shared" si="19"/>
        <v>0.92425000000000002</v>
      </c>
      <c r="E82" s="103">
        <f t="shared" si="19"/>
        <v>2.2372250001353677E-2</v>
      </c>
      <c r="F82" s="92">
        <f t="shared" si="20"/>
        <v>0.92425000000000002</v>
      </c>
      <c r="G82" s="92">
        <f t="shared" si="20"/>
        <v>2.2372250001353677E-2</v>
      </c>
      <c r="H82" s="92">
        <f t="shared" si="21"/>
        <v>0.85423806250000001</v>
      </c>
      <c r="I82" s="92">
        <f t="shared" si="22"/>
        <v>0.78952952926562503</v>
      </c>
      <c r="J82" s="92">
        <f t="shared" si="23"/>
        <v>0.72972266742375391</v>
      </c>
      <c r="K82" s="92">
        <f t="shared" si="24"/>
        <v>2.0677552063751138E-2</v>
      </c>
      <c r="L82" s="92">
        <f t="shared" si="25"/>
        <v>1.911122749492199E-2</v>
      </c>
      <c r="M82" s="92">
        <f t="shared" ca="1" si="17"/>
        <v>2.2454857186178605E-2</v>
      </c>
      <c r="N82" s="92">
        <f t="shared" ca="1" si="26"/>
        <v>6.8239469846998314E-9</v>
      </c>
      <c r="O82" s="112">
        <f t="shared" ca="1" si="27"/>
        <v>519243.03789226076</v>
      </c>
      <c r="P82" s="92">
        <f t="shared" ca="1" si="28"/>
        <v>115606168.34259464</v>
      </c>
      <c r="Q82" s="92">
        <f t="shared" ca="1" si="29"/>
        <v>32684326.602699794</v>
      </c>
      <c r="R82" s="25">
        <f t="shared" ca="1" si="18"/>
        <v>-8.2607184824928098E-5</v>
      </c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x14ac:dyDescent="0.2">
      <c r="A83" s="102">
        <v>9249</v>
      </c>
      <c r="B83" s="102">
        <v>2.1711299996240996E-2</v>
      </c>
      <c r="C83" s="102">
        <v>1</v>
      </c>
      <c r="D83" s="103">
        <f t="shared" si="19"/>
        <v>0.92490000000000006</v>
      </c>
      <c r="E83" s="103">
        <f t="shared" si="19"/>
        <v>2.1711299996240996E-2</v>
      </c>
      <c r="F83" s="92">
        <f t="shared" si="20"/>
        <v>0.92490000000000006</v>
      </c>
      <c r="G83" s="92">
        <f t="shared" si="20"/>
        <v>2.1711299996240996E-2</v>
      </c>
      <c r="H83" s="92">
        <f t="shared" si="21"/>
        <v>0.85544001000000014</v>
      </c>
      <c r="I83" s="92">
        <f t="shared" si="22"/>
        <v>0.79119646524900022</v>
      </c>
      <c r="J83" s="92">
        <f t="shared" si="23"/>
        <v>0.73177761070880032</v>
      </c>
      <c r="K83" s="92">
        <f t="shared" si="24"/>
        <v>2.0080781366523297E-2</v>
      </c>
      <c r="L83" s="92">
        <f t="shared" si="25"/>
        <v>1.8572714685897398E-2</v>
      </c>
      <c r="M83" s="92">
        <f t="shared" ca="1" si="17"/>
        <v>2.2484336237764978E-2</v>
      </c>
      <c r="N83" s="92">
        <f t="shared" ca="1" si="26"/>
        <v>5.9758503070952521E-7</v>
      </c>
      <c r="O83" s="112">
        <f t="shared" ca="1" si="27"/>
        <v>522539.6634614357</v>
      </c>
      <c r="P83" s="92">
        <f t="shared" ca="1" si="28"/>
        <v>115677887.39015831</v>
      </c>
      <c r="Q83" s="92">
        <f t="shared" ca="1" si="29"/>
        <v>32693441.387156315</v>
      </c>
      <c r="R83" s="25">
        <f t="shared" ca="1" si="18"/>
        <v>-7.7303624152398262E-4</v>
      </c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x14ac:dyDescent="0.2">
      <c r="A84" s="102">
        <v>9989</v>
      </c>
      <c r="B84" s="102">
        <v>2.3949299997184426E-2</v>
      </c>
      <c r="C84" s="102">
        <v>1</v>
      </c>
      <c r="D84" s="103">
        <f t="shared" si="19"/>
        <v>0.99890000000000001</v>
      </c>
      <c r="E84" s="103">
        <f t="shared" si="19"/>
        <v>2.3949299997184426E-2</v>
      </c>
      <c r="F84" s="92">
        <f t="shared" si="20"/>
        <v>0.99890000000000001</v>
      </c>
      <c r="G84" s="92">
        <f t="shared" si="20"/>
        <v>2.3949299997184426E-2</v>
      </c>
      <c r="H84" s="92">
        <f t="shared" si="21"/>
        <v>0.99780120999999999</v>
      </c>
      <c r="I84" s="92">
        <f t="shared" si="22"/>
        <v>0.99670362866899997</v>
      </c>
      <c r="J84" s="92">
        <f t="shared" si="23"/>
        <v>0.99560725467746414</v>
      </c>
      <c r="K84" s="92">
        <f t="shared" si="24"/>
        <v>2.3922955767187525E-2</v>
      </c>
      <c r="L84" s="92">
        <f t="shared" si="25"/>
        <v>2.3896640515843618E-2</v>
      </c>
      <c r="M84" s="92">
        <f t="shared" ca="1" si="17"/>
        <v>2.5974721536821E-2</v>
      </c>
      <c r="N84" s="92">
        <f t="shared" ca="1" si="26"/>
        <v>4.1023324132237914E-6</v>
      </c>
      <c r="O84" s="112">
        <f t="shared" ca="1" si="27"/>
        <v>911990.30773343146</v>
      </c>
      <c r="P84" s="92">
        <f t="shared" ca="1" si="28"/>
        <v>121288681.45403062</v>
      </c>
      <c r="Q84" s="92">
        <f t="shared" ca="1" si="29"/>
        <v>33020131.310043238</v>
      </c>
      <c r="R84" s="25">
        <f t="shared" ca="1" si="18"/>
        <v>-2.0254215396365745E-3</v>
      </c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x14ac:dyDescent="0.2">
      <c r="A85" s="102">
        <v>10001.5</v>
      </c>
      <c r="B85" s="102">
        <v>1.9770549995882902E-2</v>
      </c>
      <c r="C85" s="102">
        <v>1</v>
      </c>
      <c r="D85" s="103">
        <f t="shared" si="19"/>
        <v>1.0001500000000001</v>
      </c>
      <c r="E85" s="103">
        <f t="shared" si="19"/>
        <v>1.9770549995882902E-2</v>
      </c>
      <c r="F85" s="92">
        <f t="shared" si="20"/>
        <v>1.0001500000000001</v>
      </c>
      <c r="G85" s="92">
        <f t="shared" si="20"/>
        <v>1.9770549995882902E-2</v>
      </c>
      <c r="H85" s="92">
        <f t="shared" si="21"/>
        <v>1.0003000225000003</v>
      </c>
      <c r="I85" s="92">
        <f t="shared" si="22"/>
        <v>1.0004500675033754</v>
      </c>
      <c r="J85" s="92">
        <f t="shared" si="23"/>
        <v>1.000600135013501</v>
      </c>
      <c r="K85" s="92">
        <f t="shared" si="24"/>
        <v>1.9773515578382285E-2</v>
      </c>
      <c r="L85" s="92">
        <f t="shared" si="25"/>
        <v>1.9776481605719043E-2</v>
      </c>
      <c r="M85" s="92">
        <f t="shared" ca="1" si="17"/>
        <v>2.6035967710181244E-2</v>
      </c>
      <c r="N85" s="92">
        <f t="shared" ca="1" si="26"/>
        <v>3.9255459134643454E-5</v>
      </c>
      <c r="O85" s="112">
        <f t="shared" ca="1" si="27"/>
        <v>918583.63319860725</v>
      </c>
      <c r="P85" s="92">
        <f t="shared" ca="1" si="28"/>
        <v>121338872.03045534</v>
      </c>
      <c r="Q85" s="92">
        <f t="shared" ca="1" si="29"/>
        <v>33013481.750134461</v>
      </c>
      <c r="R85" s="25">
        <f t="shared" ca="1" si="18"/>
        <v>-6.2654177142983415E-3</v>
      </c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x14ac:dyDescent="0.2">
      <c r="A86" s="102">
        <v>10010</v>
      </c>
      <c r="B86" s="102">
        <v>1.8736999998509418E-2</v>
      </c>
      <c r="C86" s="102">
        <v>1</v>
      </c>
      <c r="D86" s="103">
        <f t="shared" si="19"/>
        <v>1.0009999999999999</v>
      </c>
      <c r="E86" s="103">
        <f t="shared" si="19"/>
        <v>1.8736999998509418E-2</v>
      </c>
      <c r="F86" s="92">
        <f t="shared" si="20"/>
        <v>1.0009999999999999</v>
      </c>
      <c r="G86" s="92">
        <f t="shared" si="20"/>
        <v>1.8736999998509418E-2</v>
      </c>
      <c r="H86" s="92">
        <f t="shared" si="21"/>
        <v>1.0020009999999997</v>
      </c>
      <c r="I86" s="92">
        <f t="shared" si="22"/>
        <v>1.0030030009999995</v>
      </c>
      <c r="J86" s="92">
        <f t="shared" si="23"/>
        <v>1.0040060040009995</v>
      </c>
      <c r="K86" s="92">
        <f t="shared" si="24"/>
        <v>1.8755736998507924E-2</v>
      </c>
      <c r="L86" s="92">
        <f t="shared" si="25"/>
        <v>1.877449273550643E-2</v>
      </c>
      <c r="M86" s="92">
        <f t="shared" ca="1" si="17"/>
        <v>2.6077658507163346E-2</v>
      </c>
      <c r="N86" s="92">
        <f t="shared" ca="1" si="26"/>
        <v>5.3885267340673311E-5</v>
      </c>
      <c r="O86" s="112">
        <f t="shared" ca="1" si="27"/>
        <v>923063.33965151384</v>
      </c>
      <c r="P86" s="92">
        <f t="shared" ca="1" si="28"/>
        <v>121372139.75497454</v>
      </c>
      <c r="Q86" s="92">
        <f t="shared" ca="1" si="29"/>
        <v>33008729.296257559</v>
      </c>
      <c r="R86" s="25">
        <f t="shared" ca="1" si="18"/>
        <v>-7.3406585086539279E-3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x14ac:dyDescent="0.2">
      <c r="A87" s="102">
        <v>10030</v>
      </c>
      <c r="B87" s="102">
        <v>2.526006184052676E-2</v>
      </c>
      <c r="C87" s="102">
        <v>1</v>
      </c>
      <c r="D87" s="103">
        <f t="shared" si="19"/>
        <v>1.0029999999999999</v>
      </c>
      <c r="E87" s="103">
        <f t="shared" si="19"/>
        <v>2.526006184052676E-2</v>
      </c>
      <c r="F87" s="92">
        <f t="shared" si="20"/>
        <v>1.0029999999999999</v>
      </c>
      <c r="G87" s="92">
        <f t="shared" si="20"/>
        <v>2.526006184052676E-2</v>
      </c>
      <c r="H87" s="92">
        <f t="shared" si="21"/>
        <v>1.0060089999999997</v>
      </c>
      <c r="I87" s="92">
        <f t="shared" si="22"/>
        <v>1.0090270269999997</v>
      </c>
      <c r="J87" s="92">
        <f t="shared" si="23"/>
        <v>1.0120541080809995</v>
      </c>
      <c r="K87" s="92">
        <f t="shared" si="24"/>
        <v>2.5335842026048338E-2</v>
      </c>
      <c r="L87" s="92">
        <f t="shared" si="25"/>
        <v>2.541184955212648E-2</v>
      </c>
      <c r="M87" s="92">
        <f t="shared" ca="1" si="17"/>
        <v>2.6175893085414702E-2</v>
      </c>
      <c r="N87" s="92">
        <f t="shared" ca="1" si="26"/>
        <v>8.3874686911299789E-7</v>
      </c>
      <c r="O87" s="112">
        <f t="shared" ca="1" si="27"/>
        <v>933591.18743297353</v>
      </c>
      <c r="P87" s="92">
        <f t="shared" ca="1" si="28"/>
        <v>121447662.74861269</v>
      </c>
      <c r="Q87" s="92">
        <f t="shared" ca="1" si="29"/>
        <v>32996810.451581739</v>
      </c>
      <c r="R87" s="25">
        <f t="shared" ca="1" si="18"/>
        <v>-9.1583124488794215E-4</v>
      </c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x14ac:dyDescent="0.2">
      <c r="A88" s="102">
        <v>10033.5</v>
      </c>
      <c r="B88" s="102">
        <v>2.4308949999976903E-2</v>
      </c>
      <c r="C88" s="102">
        <v>1</v>
      </c>
      <c r="D88" s="103">
        <f t="shared" si="19"/>
        <v>1.00335</v>
      </c>
      <c r="E88" s="103">
        <f t="shared" si="19"/>
        <v>2.4308949999976903E-2</v>
      </c>
      <c r="F88" s="92">
        <f t="shared" si="20"/>
        <v>1.00335</v>
      </c>
      <c r="G88" s="92">
        <f t="shared" si="20"/>
        <v>2.4308949999976903E-2</v>
      </c>
      <c r="H88" s="92">
        <f t="shared" si="21"/>
        <v>1.0067112224999999</v>
      </c>
      <c r="I88" s="92">
        <f t="shared" si="22"/>
        <v>1.0100837050953748</v>
      </c>
      <c r="J88" s="92">
        <f t="shared" si="23"/>
        <v>1.0134674855074444</v>
      </c>
      <c r="K88" s="92">
        <f t="shared" si="24"/>
        <v>2.4390384982476827E-2</v>
      </c>
      <c r="L88" s="92">
        <f t="shared" si="25"/>
        <v>2.4472092772168122E-2</v>
      </c>
      <c r="M88" s="92">
        <f t="shared" ca="1" si="17"/>
        <v>2.6193104134231891E-2</v>
      </c>
      <c r="N88" s="92">
        <f t="shared" ca="1" si="26"/>
        <v>3.5500368016301636E-6</v>
      </c>
      <c r="O88" s="112">
        <f t="shared" ca="1" si="27"/>
        <v>935431.66451102588</v>
      </c>
      <c r="P88" s="92">
        <f t="shared" ca="1" si="28"/>
        <v>121460481.67471494</v>
      </c>
      <c r="Q88" s="92">
        <f t="shared" ca="1" si="29"/>
        <v>32994618.394239176</v>
      </c>
      <c r="R88" s="25">
        <f t="shared" ca="1" si="18"/>
        <v>-1.8841541342549881E-3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x14ac:dyDescent="0.2">
      <c r="A89" s="102">
        <v>10089</v>
      </c>
      <c r="B89" s="102">
        <v>2.8219299994816538E-2</v>
      </c>
      <c r="C89" s="102">
        <v>1</v>
      </c>
      <c r="D89" s="103">
        <f t="shared" si="19"/>
        <v>1.0088999999999999</v>
      </c>
      <c r="E89" s="103">
        <f t="shared" si="19"/>
        <v>2.8219299994816538E-2</v>
      </c>
      <c r="F89" s="92">
        <f t="shared" si="20"/>
        <v>1.0088999999999999</v>
      </c>
      <c r="G89" s="92">
        <f t="shared" si="20"/>
        <v>2.8219299994816538E-2</v>
      </c>
      <c r="H89" s="92">
        <f t="shared" si="21"/>
        <v>1.0178792099999998</v>
      </c>
      <c r="I89" s="92">
        <f t="shared" si="22"/>
        <v>1.0269383349689998</v>
      </c>
      <c r="J89" s="92">
        <f t="shared" si="23"/>
        <v>1.0360780861502237</v>
      </c>
      <c r="K89" s="92">
        <f t="shared" si="24"/>
        <v>2.8470451764770404E-2</v>
      </c>
      <c r="L89" s="92">
        <f t="shared" si="25"/>
        <v>2.8723838785476859E-2</v>
      </c>
      <c r="M89" s="92">
        <f t="shared" ca="1" si="17"/>
        <v>2.6466818330426169E-2</v>
      </c>
      <c r="N89" s="92">
        <f t="shared" ca="1" si="26"/>
        <v>3.0711919840244391E-6</v>
      </c>
      <c r="O89" s="112">
        <f t="shared" ca="1" si="27"/>
        <v>964533.7963945322</v>
      </c>
      <c r="P89" s="92">
        <f t="shared" ca="1" si="28"/>
        <v>121647905.71133469</v>
      </c>
      <c r="Q89" s="92">
        <f t="shared" ca="1" si="29"/>
        <v>32955631.566458091</v>
      </c>
      <c r="R89" s="25">
        <f t="shared" ca="1" si="18"/>
        <v>1.7524816643903693E-3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x14ac:dyDescent="0.2">
      <c r="A90" s="102">
        <v>10089</v>
      </c>
      <c r="B90" s="102">
        <v>2.8219299994816538E-2</v>
      </c>
      <c r="C90" s="102">
        <v>1</v>
      </c>
      <c r="D90" s="103">
        <f t="shared" si="19"/>
        <v>1.0088999999999999</v>
      </c>
      <c r="E90" s="103">
        <f t="shared" si="19"/>
        <v>2.8219299994816538E-2</v>
      </c>
      <c r="F90" s="92">
        <f t="shared" si="20"/>
        <v>1.0088999999999999</v>
      </c>
      <c r="G90" s="92">
        <f t="shared" si="20"/>
        <v>2.8219299994816538E-2</v>
      </c>
      <c r="H90" s="92">
        <f t="shared" si="21"/>
        <v>1.0178792099999998</v>
      </c>
      <c r="I90" s="92">
        <f t="shared" si="22"/>
        <v>1.0269383349689998</v>
      </c>
      <c r="J90" s="92">
        <f t="shared" si="23"/>
        <v>1.0360780861502237</v>
      </c>
      <c r="K90" s="92">
        <f t="shared" si="24"/>
        <v>2.8470451764770404E-2</v>
      </c>
      <c r="L90" s="92">
        <f t="shared" si="25"/>
        <v>2.8723838785476859E-2</v>
      </c>
      <c r="M90" s="92">
        <f t="shared" ca="1" si="17"/>
        <v>2.6466818330426169E-2</v>
      </c>
      <c r="N90" s="92">
        <f t="shared" ca="1" si="26"/>
        <v>3.0711919840244391E-6</v>
      </c>
      <c r="O90" s="112">
        <f t="shared" ca="1" si="27"/>
        <v>964533.7963945322</v>
      </c>
      <c r="P90" s="92">
        <f t="shared" ca="1" si="28"/>
        <v>121647905.71133469</v>
      </c>
      <c r="Q90" s="92">
        <f t="shared" ca="1" si="29"/>
        <v>32955631.566458091</v>
      </c>
      <c r="R90" s="25">
        <f t="shared" ca="1" si="18"/>
        <v>1.7524816643903693E-3</v>
      </c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x14ac:dyDescent="0.2">
      <c r="A91" s="102">
        <v>10681.5</v>
      </c>
      <c r="B91" s="102">
        <v>3.2286549998389091E-2</v>
      </c>
      <c r="C91" s="102">
        <v>1</v>
      </c>
      <c r="D91" s="103">
        <f t="shared" si="19"/>
        <v>1.0681499999999999</v>
      </c>
      <c r="E91" s="103">
        <f t="shared" si="19"/>
        <v>3.2286549998389091E-2</v>
      </c>
      <c r="F91" s="92">
        <f t="shared" si="20"/>
        <v>1.0681499999999999</v>
      </c>
      <c r="G91" s="92">
        <f t="shared" si="20"/>
        <v>3.2286549998389091E-2</v>
      </c>
      <c r="H91" s="92">
        <f t="shared" si="21"/>
        <v>1.1409444224999998</v>
      </c>
      <c r="I91" s="92">
        <f t="shared" si="22"/>
        <v>1.2186997848933747</v>
      </c>
      <c r="J91" s="92">
        <f t="shared" si="23"/>
        <v>1.3017541752338582</v>
      </c>
      <c r="K91" s="92">
        <f t="shared" si="24"/>
        <v>3.4486878380779303E-2</v>
      </c>
      <c r="L91" s="92">
        <f t="shared" si="25"/>
        <v>3.683715914242941E-2</v>
      </c>
      <c r="M91" s="92">
        <f t="shared" ca="1" si="17"/>
        <v>2.9482250492520398E-2</v>
      </c>
      <c r="N91" s="92">
        <f t="shared" ca="1" si="26"/>
        <v>7.8640957186153997E-6</v>
      </c>
      <c r="O91" s="112">
        <f t="shared" ca="1" si="27"/>
        <v>1259116.7919965822</v>
      </c>
      <c r="P91" s="92">
        <f t="shared" ca="1" si="28"/>
        <v>121780907.8269154</v>
      </c>
      <c r="Q91" s="92">
        <f t="shared" ca="1" si="29"/>
        <v>32049110.746414479</v>
      </c>
      <c r="R91" s="25">
        <f t="shared" ca="1" si="18"/>
        <v>2.8042995058686938E-3</v>
      </c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x14ac:dyDescent="0.2">
      <c r="A92" s="102">
        <v>10784.5</v>
      </c>
      <c r="B92" s="102">
        <v>3.0897649994585663E-2</v>
      </c>
      <c r="C92" s="102">
        <v>1</v>
      </c>
      <c r="D92" s="103">
        <f t="shared" si="19"/>
        <v>1.0784499999999999</v>
      </c>
      <c r="E92" s="103">
        <f t="shared" si="19"/>
        <v>3.0897649994585663E-2</v>
      </c>
      <c r="F92" s="92">
        <f t="shared" si="20"/>
        <v>1.0784499999999999</v>
      </c>
      <c r="G92" s="92">
        <f t="shared" si="20"/>
        <v>3.0897649994585663E-2</v>
      </c>
      <c r="H92" s="92">
        <f t="shared" si="21"/>
        <v>1.1630544024999998</v>
      </c>
      <c r="I92" s="92">
        <f t="shared" si="22"/>
        <v>1.2542960203761246</v>
      </c>
      <c r="J92" s="92">
        <f t="shared" si="23"/>
        <v>1.3526955431746315</v>
      </c>
      <c r="K92" s="92">
        <f t="shared" si="24"/>
        <v>3.3321570636660906E-2</v>
      </c>
      <c r="L92" s="92">
        <f t="shared" si="25"/>
        <v>3.5935647853106954E-2</v>
      </c>
      <c r="M92" s="92">
        <f t="shared" ca="1" si="17"/>
        <v>3.0023869341338053E-2</v>
      </c>
      <c r="N92" s="92">
        <f t="shared" ca="1" si="26"/>
        <v>7.6349262998981986E-7</v>
      </c>
      <c r="O92" s="112">
        <f t="shared" ca="1" si="27"/>
        <v>1306045.4109894969</v>
      </c>
      <c r="P92" s="92">
        <f t="shared" ca="1" si="28"/>
        <v>121455398.68426552</v>
      </c>
      <c r="Q92" s="92">
        <f t="shared" ca="1" si="29"/>
        <v>31801697.670512892</v>
      </c>
      <c r="R92" s="25">
        <f t="shared" ca="1" si="18"/>
        <v>8.7378065324760987E-4</v>
      </c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x14ac:dyDescent="0.2">
      <c r="A93" s="102">
        <v>10854.5</v>
      </c>
      <c r="B93" s="102">
        <v>3.085665000253357E-2</v>
      </c>
      <c r="C93" s="102">
        <v>1</v>
      </c>
      <c r="D93" s="103">
        <f t="shared" si="19"/>
        <v>1.08545</v>
      </c>
      <c r="E93" s="103">
        <f t="shared" si="19"/>
        <v>3.085665000253357E-2</v>
      </c>
      <c r="F93" s="92">
        <f t="shared" si="20"/>
        <v>1.08545</v>
      </c>
      <c r="G93" s="92">
        <f t="shared" si="20"/>
        <v>3.085665000253357E-2</v>
      </c>
      <c r="H93" s="92">
        <f t="shared" si="21"/>
        <v>1.1782017025</v>
      </c>
      <c r="I93" s="92">
        <f t="shared" si="22"/>
        <v>1.278879037978625</v>
      </c>
      <c r="J93" s="92">
        <f t="shared" si="23"/>
        <v>1.3881592517738985</v>
      </c>
      <c r="K93" s="92">
        <f t="shared" si="24"/>
        <v>3.3493350745250061E-2</v>
      </c>
      <c r="L93" s="92">
        <f t="shared" si="25"/>
        <v>3.6355357566431677E-2</v>
      </c>
      <c r="M93" s="92">
        <f t="shared" ca="1" si="17"/>
        <v>3.0394904152022079E-2</v>
      </c>
      <c r="N93" s="92">
        <f t="shared" ca="1" si="26"/>
        <v>2.1320923046457984E-7</v>
      </c>
      <c r="O93" s="112">
        <f t="shared" ca="1" si="27"/>
        <v>1337014.1739960343</v>
      </c>
      <c r="P93" s="92">
        <f t="shared" ca="1" si="28"/>
        <v>121175594.01743965</v>
      </c>
      <c r="Q93" s="92">
        <f t="shared" ca="1" si="29"/>
        <v>31618750.937084515</v>
      </c>
      <c r="R93" s="25">
        <f t="shared" ca="1" si="18"/>
        <v>4.6174585051149061E-4</v>
      </c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x14ac:dyDescent="0.2">
      <c r="A94" s="102">
        <v>10929</v>
      </c>
      <c r="B94" s="102">
        <v>3.3827300001576077E-2</v>
      </c>
      <c r="C94" s="102">
        <v>1</v>
      </c>
      <c r="D94" s="103">
        <f t="shared" si="19"/>
        <v>1.0929</v>
      </c>
      <c r="E94" s="103">
        <f t="shared" si="19"/>
        <v>3.3827300001576077E-2</v>
      </c>
      <c r="F94" s="92">
        <f t="shared" si="20"/>
        <v>1.0929</v>
      </c>
      <c r="G94" s="92">
        <f t="shared" si="20"/>
        <v>3.3827300001576077E-2</v>
      </c>
      <c r="H94" s="92">
        <f t="shared" si="21"/>
        <v>1.1944304100000001</v>
      </c>
      <c r="I94" s="92">
        <f t="shared" si="22"/>
        <v>1.305392995089</v>
      </c>
      <c r="J94" s="92">
        <f t="shared" si="23"/>
        <v>1.4266640043327681</v>
      </c>
      <c r="K94" s="92">
        <f t="shared" si="24"/>
        <v>3.6969856171722493E-2</v>
      </c>
      <c r="L94" s="92">
        <f t="shared" si="25"/>
        <v>4.040435581007551E-2</v>
      </c>
      <c r="M94" s="92">
        <f t="shared" ca="1" si="17"/>
        <v>3.0792408579418968E-2</v>
      </c>
      <c r="N94" s="92">
        <f t="shared" ca="1" si="26"/>
        <v>9.2105659442828011E-6</v>
      </c>
      <c r="O94" s="112">
        <f t="shared" ca="1" si="27"/>
        <v>1369099.998897895</v>
      </c>
      <c r="P94" s="92">
        <f t="shared" ca="1" si="28"/>
        <v>120825932.22964126</v>
      </c>
      <c r="Q94" s="92">
        <f t="shared" ca="1" si="29"/>
        <v>31411023.478069972</v>
      </c>
      <c r="R94" s="25">
        <f t="shared" ca="1" si="18"/>
        <v>3.0348914221571092E-3</v>
      </c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x14ac:dyDescent="0.2">
      <c r="A95" s="102">
        <v>11493.5</v>
      </c>
      <c r="B95" s="102">
        <v>3.4110949993191753E-2</v>
      </c>
      <c r="C95" s="102">
        <v>1</v>
      </c>
      <c r="D95" s="103">
        <f t="shared" si="19"/>
        <v>1.1493500000000001</v>
      </c>
      <c r="E95" s="103">
        <f t="shared" si="19"/>
        <v>3.4110949993191753E-2</v>
      </c>
      <c r="F95" s="92">
        <f t="shared" si="20"/>
        <v>1.1493500000000001</v>
      </c>
      <c r="G95" s="92">
        <f t="shared" si="20"/>
        <v>3.4110949993191753E-2</v>
      </c>
      <c r="H95" s="92">
        <f t="shared" si="21"/>
        <v>1.3210054225000003</v>
      </c>
      <c r="I95" s="92">
        <f t="shared" si="22"/>
        <v>1.5182975823503755</v>
      </c>
      <c r="J95" s="92">
        <f t="shared" si="23"/>
        <v>1.7450553262744042</v>
      </c>
      <c r="K95" s="92">
        <f t="shared" si="24"/>
        <v>3.9205420374674942E-2</v>
      </c>
      <c r="L95" s="92">
        <f t="shared" si="25"/>
        <v>4.5060749907632647E-2</v>
      </c>
      <c r="M95" s="92">
        <f t="shared" ca="1" si="17"/>
        <v>3.3892073208796662E-2</v>
      </c>
      <c r="N95" s="92">
        <f t="shared" ca="1" si="26"/>
        <v>4.7907046747134862E-8</v>
      </c>
      <c r="O95" s="112">
        <f t="shared" ca="1" si="27"/>
        <v>1578482.6819268309</v>
      </c>
      <c r="P95" s="92">
        <f t="shared" ca="1" si="28"/>
        <v>116468697.28859265</v>
      </c>
      <c r="Q95" s="92">
        <f t="shared" ca="1" si="29"/>
        <v>29416693.581684131</v>
      </c>
      <c r="R95" s="25">
        <f t="shared" ca="1" si="18"/>
        <v>2.1887678439509034E-4</v>
      </c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x14ac:dyDescent="0.2">
      <c r="A96" s="102">
        <v>12205</v>
      </c>
      <c r="B96" s="102">
        <v>3.7376154534285888E-2</v>
      </c>
      <c r="C96" s="102">
        <v>1</v>
      </c>
      <c r="D96" s="103">
        <f t="shared" si="19"/>
        <v>1.2204999999999999</v>
      </c>
      <c r="E96" s="103">
        <f t="shared" si="19"/>
        <v>3.7376154534285888E-2</v>
      </c>
      <c r="F96" s="92">
        <f t="shared" si="20"/>
        <v>1.2204999999999999</v>
      </c>
      <c r="G96" s="92">
        <f t="shared" si="20"/>
        <v>3.7376154534285888E-2</v>
      </c>
      <c r="H96" s="92">
        <f t="shared" si="21"/>
        <v>1.4896202499999998</v>
      </c>
      <c r="I96" s="92">
        <f t="shared" si="22"/>
        <v>1.8180815151249996</v>
      </c>
      <c r="J96" s="92">
        <f t="shared" si="23"/>
        <v>2.2189684892100621</v>
      </c>
      <c r="K96" s="92">
        <f t="shared" si="24"/>
        <v>4.5617596609095923E-2</v>
      </c>
      <c r="L96" s="92">
        <f t="shared" si="25"/>
        <v>5.5676276661401569E-2</v>
      </c>
      <c r="M96" s="92">
        <f t="shared" ref="M96:M159" ca="1" si="30">+E$4+E$5*D96+E$6*D96^2</f>
        <v>3.8019646969999092E-2</v>
      </c>
      <c r="N96" s="92">
        <f t="shared" ca="1" si="26"/>
        <v>4.140825148201121E-7</v>
      </c>
      <c r="O96" s="112">
        <f t="shared" ca="1" si="27"/>
        <v>1740540.8565995733</v>
      </c>
      <c r="P96" s="92">
        <f t="shared" ca="1" si="28"/>
        <v>106908268.46723145</v>
      </c>
      <c r="Q96" s="92">
        <f t="shared" ca="1" si="29"/>
        <v>25943522.676438283</v>
      </c>
      <c r="R96" s="25">
        <f t="shared" ref="R96:R159" ca="1" si="31">+E96-M96</f>
        <v>-6.4349243571320408E-4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x14ac:dyDescent="0.2">
      <c r="A97" s="102">
        <v>12289</v>
      </c>
      <c r="B97" s="102">
        <v>3.7659299996448681E-2</v>
      </c>
      <c r="C97" s="102">
        <v>1</v>
      </c>
      <c r="D97" s="103">
        <f t="shared" ref="D97:E160" si="32">A97/A$18</f>
        <v>1.2289000000000001</v>
      </c>
      <c r="E97" s="103">
        <f t="shared" si="32"/>
        <v>3.7659299996448681E-2</v>
      </c>
      <c r="F97" s="92">
        <f t="shared" ref="F97:G160" si="33">$C97*D97</f>
        <v>1.2289000000000001</v>
      </c>
      <c r="G97" s="92">
        <f t="shared" si="33"/>
        <v>3.7659299996448681E-2</v>
      </c>
      <c r="H97" s="92">
        <f t="shared" ref="H97:H160" si="34">C97*D97*D97</f>
        <v>1.5101952100000002</v>
      </c>
      <c r="I97" s="92">
        <f t="shared" ref="I97:I160" si="35">C97*D97*D97*D97</f>
        <v>1.8558788935690005</v>
      </c>
      <c r="J97" s="92">
        <f t="shared" ref="J97:J160" si="36">C97*D97*D97*D97*D97</f>
        <v>2.2806895723069447</v>
      </c>
      <c r="K97" s="92">
        <f t="shared" ref="K97:K160" si="37">C97*E97*D97</f>
        <v>4.6279513765635785E-2</v>
      </c>
      <c r="L97" s="92">
        <f t="shared" ref="L97:L160" si="38">C97*E97*D97*D97</f>
        <v>5.6872894466589823E-2</v>
      </c>
      <c r="M97" s="92">
        <f t="shared" ca="1" si="30"/>
        <v>3.8523196706291757E-2</v>
      </c>
      <c r="N97" s="92">
        <f t="shared" ref="N97:N160" ca="1" si="39">C97*(M97-E97)^2</f>
        <v>7.4631752527769202E-7</v>
      </c>
      <c r="O97" s="112">
        <f t="shared" ref="O97:O160" ca="1" si="40">(C97*O$1-O$2*F97+O$3*H97)^2</f>
        <v>1751254.1802719056</v>
      </c>
      <c r="P97" s="92">
        <f t="shared" ref="P97:P160" ca="1" si="41">(-C97*O$2+O$4*F97-O$5*H97)^2</f>
        <v>105503479.14294076</v>
      </c>
      <c r="Q97" s="92">
        <f t="shared" ref="Q97:Q160" ca="1" si="42">+(C97*O$3-F97*O$5+H97*O$6)^2</f>
        <v>25471808.629982002</v>
      </c>
      <c r="R97" s="25">
        <f t="shared" ca="1" si="31"/>
        <v>-8.6389670984307609E-4</v>
      </c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x14ac:dyDescent="0.2">
      <c r="A98" s="102">
        <v>12313</v>
      </c>
      <c r="B98" s="102">
        <v>4.018809999251971E-2</v>
      </c>
      <c r="C98" s="102">
        <v>1</v>
      </c>
      <c r="D98" s="103">
        <f t="shared" si="32"/>
        <v>1.2313000000000001</v>
      </c>
      <c r="E98" s="103">
        <f t="shared" si="32"/>
        <v>4.018809999251971E-2</v>
      </c>
      <c r="F98" s="92">
        <f t="shared" si="33"/>
        <v>1.2313000000000001</v>
      </c>
      <c r="G98" s="92">
        <f t="shared" si="33"/>
        <v>4.018809999251971E-2</v>
      </c>
      <c r="H98" s="92">
        <f t="shared" si="34"/>
        <v>1.5160996900000001</v>
      </c>
      <c r="I98" s="92">
        <f t="shared" si="35"/>
        <v>1.8667735482970003</v>
      </c>
      <c r="J98" s="92">
        <f t="shared" si="36"/>
        <v>2.2985582700180966</v>
      </c>
      <c r="K98" s="92">
        <f t="shared" si="37"/>
        <v>4.9483607520789522E-2</v>
      </c>
      <c r="L98" s="92">
        <f t="shared" si="38"/>
        <v>6.092916594034814E-2</v>
      </c>
      <c r="M98" s="92">
        <f t="shared" ca="1" si="30"/>
        <v>3.8667698258172713E-2</v>
      </c>
      <c r="N98" s="92">
        <f t="shared" ca="1" si="39"/>
        <v>2.3116214338053578E-6</v>
      </c>
      <c r="O98" s="112">
        <f t="shared" ca="1" si="40"/>
        <v>1753974.4703719728</v>
      </c>
      <c r="P98" s="92">
        <f t="shared" ca="1" si="41"/>
        <v>105092091.1565149</v>
      </c>
      <c r="Q98" s="92">
        <f t="shared" ca="1" si="42"/>
        <v>25334887.60693866</v>
      </c>
      <c r="R98" s="25">
        <f t="shared" ca="1" si="31"/>
        <v>1.5204017343469975E-3</v>
      </c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x14ac:dyDescent="0.2">
      <c r="A99" s="102">
        <v>12313</v>
      </c>
      <c r="B99" s="102">
        <v>4.018809999251971E-2</v>
      </c>
      <c r="C99" s="102">
        <v>1</v>
      </c>
      <c r="D99" s="103">
        <f t="shared" si="32"/>
        <v>1.2313000000000001</v>
      </c>
      <c r="E99" s="103">
        <f t="shared" si="32"/>
        <v>4.018809999251971E-2</v>
      </c>
      <c r="F99" s="92">
        <f t="shared" si="33"/>
        <v>1.2313000000000001</v>
      </c>
      <c r="G99" s="92">
        <f t="shared" si="33"/>
        <v>4.018809999251971E-2</v>
      </c>
      <c r="H99" s="92">
        <f t="shared" si="34"/>
        <v>1.5160996900000001</v>
      </c>
      <c r="I99" s="92">
        <f t="shared" si="35"/>
        <v>1.8667735482970003</v>
      </c>
      <c r="J99" s="92">
        <f t="shared" si="36"/>
        <v>2.2985582700180966</v>
      </c>
      <c r="K99" s="92">
        <f t="shared" si="37"/>
        <v>4.9483607520789522E-2</v>
      </c>
      <c r="L99" s="92">
        <f t="shared" si="38"/>
        <v>6.092916594034814E-2</v>
      </c>
      <c r="M99" s="92">
        <f t="shared" ca="1" si="30"/>
        <v>3.8667698258172713E-2</v>
      </c>
      <c r="N99" s="92">
        <f t="shared" ca="1" si="39"/>
        <v>2.3116214338053578E-6</v>
      </c>
      <c r="O99" s="112">
        <f t="shared" ca="1" si="40"/>
        <v>1753974.4703719728</v>
      </c>
      <c r="P99" s="92">
        <f t="shared" ca="1" si="41"/>
        <v>105092091.1565149</v>
      </c>
      <c r="Q99" s="92">
        <f t="shared" ca="1" si="42"/>
        <v>25334887.60693866</v>
      </c>
      <c r="R99" s="25">
        <f t="shared" ca="1" si="31"/>
        <v>1.5204017343469975E-3</v>
      </c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x14ac:dyDescent="0.2">
      <c r="A100" s="102">
        <v>12330</v>
      </c>
      <c r="B100" s="102">
        <v>3.8620999999693595E-2</v>
      </c>
      <c r="C100" s="102">
        <v>1</v>
      </c>
      <c r="D100" s="103">
        <f t="shared" si="32"/>
        <v>1.2330000000000001</v>
      </c>
      <c r="E100" s="103">
        <f t="shared" si="32"/>
        <v>3.8620999999693595E-2</v>
      </c>
      <c r="F100" s="92">
        <f t="shared" si="33"/>
        <v>1.2330000000000001</v>
      </c>
      <c r="G100" s="92">
        <f t="shared" si="33"/>
        <v>3.8620999999693595E-2</v>
      </c>
      <c r="H100" s="92">
        <f t="shared" si="34"/>
        <v>1.5202890000000002</v>
      </c>
      <c r="I100" s="92">
        <f t="shared" si="35"/>
        <v>1.8745163370000004</v>
      </c>
      <c r="J100" s="92">
        <f t="shared" si="36"/>
        <v>2.3112786435210007</v>
      </c>
      <c r="K100" s="92">
        <f t="shared" si="37"/>
        <v>4.761969299962221E-2</v>
      </c>
      <c r="L100" s="92">
        <f t="shared" si="38"/>
        <v>5.8715081468534186E-2</v>
      </c>
      <c r="M100" s="92">
        <f t="shared" ca="1" si="30"/>
        <v>3.8770222987229666E-2</v>
      </c>
      <c r="N100" s="92">
        <f t="shared" ca="1" si="39"/>
        <v>2.2267500009190467E-8</v>
      </c>
      <c r="O100" s="112">
        <f t="shared" ca="1" si="40"/>
        <v>1755809.3461598777</v>
      </c>
      <c r="P100" s="92">
        <f t="shared" ca="1" si="41"/>
        <v>104798028.84445527</v>
      </c>
      <c r="Q100" s="92">
        <f t="shared" ca="1" si="42"/>
        <v>25237335.965323962</v>
      </c>
      <c r="R100" s="25">
        <f t="shared" ca="1" si="31"/>
        <v>-1.4922298753607122E-4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x14ac:dyDescent="0.2">
      <c r="A101" s="102">
        <v>12330</v>
      </c>
      <c r="B101" s="102">
        <v>3.8720999997167382E-2</v>
      </c>
      <c r="C101" s="102">
        <v>1</v>
      </c>
      <c r="D101" s="103">
        <f t="shared" si="32"/>
        <v>1.2330000000000001</v>
      </c>
      <c r="E101" s="103">
        <f t="shared" si="32"/>
        <v>3.8720999997167382E-2</v>
      </c>
      <c r="F101" s="92">
        <f t="shared" si="33"/>
        <v>1.2330000000000001</v>
      </c>
      <c r="G101" s="92">
        <f t="shared" si="33"/>
        <v>3.8720999997167382E-2</v>
      </c>
      <c r="H101" s="92">
        <f t="shared" si="34"/>
        <v>1.5202890000000002</v>
      </c>
      <c r="I101" s="92">
        <f t="shared" si="35"/>
        <v>1.8745163370000004</v>
      </c>
      <c r="J101" s="92">
        <f t="shared" si="36"/>
        <v>2.3112786435210007</v>
      </c>
      <c r="K101" s="92">
        <f t="shared" si="37"/>
        <v>4.7742992996507388E-2</v>
      </c>
      <c r="L101" s="92">
        <f t="shared" si="38"/>
        <v>5.8867110364693616E-2</v>
      </c>
      <c r="M101" s="92">
        <f t="shared" ca="1" si="30"/>
        <v>3.8770222987229666E-2</v>
      </c>
      <c r="N101" s="92">
        <f t="shared" ca="1" si="39"/>
        <v>2.4229027506716798E-9</v>
      </c>
      <c r="O101" s="112">
        <f t="shared" ca="1" si="40"/>
        <v>1755809.3461598777</v>
      </c>
      <c r="P101" s="92">
        <f t="shared" ca="1" si="41"/>
        <v>104798028.84445527</v>
      </c>
      <c r="Q101" s="92">
        <f t="shared" ca="1" si="42"/>
        <v>25237335.965323962</v>
      </c>
      <c r="R101" s="25">
        <f t="shared" ca="1" si="31"/>
        <v>-4.92229900622837E-5</v>
      </c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x14ac:dyDescent="0.2">
      <c r="A102" s="102">
        <v>13086.5</v>
      </c>
      <c r="B102" s="102">
        <v>4.1135049992590211E-2</v>
      </c>
      <c r="C102" s="102">
        <v>1</v>
      </c>
      <c r="D102" s="103">
        <f t="shared" si="32"/>
        <v>1.3086500000000001</v>
      </c>
      <c r="E102" s="103">
        <f t="shared" si="32"/>
        <v>4.1135049992590211E-2</v>
      </c>
      <c r="F102" s="92">
        <f t="shared" si="33"/>
        <v>1.3086500000000001</v>
      </c>
      <c r="G102" s="92">
        <f t="shared" si="33"/>
        <v>4.1135049992590211E-2</v>
      </c>
      <c r="H102" s="92">
        <f t="shared" si="34"/>
        <v>1.7125648225000003</v>
      </c>
      <c r="I102" s="92">
        <f t="shared" si="35"/>
        <v>2.2411479549646254</v>
      </c>
      <c r="J102" s="92">
        <f t="shared" si="36"/>
        <v>2.9328782712644572</v>
      </c>
      <c r="K102" s="92">
        <f t="shared" si="37"/>
        <v>5.3831383172803185E-2</v>
      </c>
      <c r="L102" s="92">
        <f t="shared" si="38"/>
        <v>7.0446439589088888E-2</v>
      </c>
      <c r="M102" s="92">
        <f t="shared" ca="1" si="30"/>
        <v>4.3474842903921042E-2</v>
      </c>
      <c r="N102" s="92">
        <f t="shared" ca="1" si="39"/>
        <v>5.4746308679140039E-6</v>
      </c>
      <c r="O102" s="112">
        <f t="shared" ca="1" si="40"/>
        <v>1759179.2270260432</v>
      </c>
      <c r="P102" s="92">
        <f t="shared" ca="1" si="41"/>
        <v>89667517.124263749</v>
      </c>
      <c r="Q102" s="92">
        <f t="shared" ca="1" si="42"/>
        <v>20485534.863188256</v>
      </c>
      <c r="R102" s="25">
        <f t="shared" ca="1" si="31"/>
        <v>-2.3397929113308305E-3</v>
      </c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x14ac:dyDescent="0.2">
      <c r="A103" s="102">
        <v>13146</v>
      </c>
      <c r="B103" s="102">
        <v>4.5000199999776669E-2</v>
      </c>
      <c r="C103" s="102">
        <v>1</v>
      </c>
      <c r="D103" s="103">
        <f t="shared" si="32"/>
        <v>1.3146</v>
      </c>
      <c r="E103" s="103">
        <f t="shared" si="32"/>
        <v>4.5000199999776669E-2</v>
      </c>
      <c r="F103" s="92">
        <f t="shared" si="33"/>
        <v>1.3146</v>
      </c>
      <c r="G103" s="92">
        <f t="shared" si="33"/>
        <v>4.5000199999776669E-2</v>
      </c>
      <c r="H103" s="92">
        <f t="shared" si="34"/>
        <v>1.7281731599999999</v>
      </c>
      <c r="I103" s="92">
        <f t="shared" si="35"/>
        <v>2.2718564361359999</v>
      </c>
      <c r="J103" s="92">
        <f t="shared" si="36"/>
        <v>2.9865824709443856</v>
      </c>
      <c r="K103" s="92">
        <f t="shared" si="37"/>
        <v>5.915726291970641E-2</v>
      </c>
      <c r="L103" s="92">
        <f t="shared" si="38"/>
        <v>7.7768137834246048E-2</v>
      </c>
      <c r="M103" s="92">
        <f t="shared" ca="1" si="30"/>
        <v>4.3856673743929674E-2</v>
      </c>
      <c r="N103" s="92">
        <f t="shared" ca="1" si="39"/>
        <v>1.3076522978114477E-6</v>
      </c>
      <c r="O103" s="112">
        <f t="shared" ca="1" si="40"/>
        <v>1752946.4782121817</v>
      </c>
      <c r="P103" s="92">
        <f t="shared" ca="1" si="41"/>
        <v>88326015.836530596</v>
      </c>
      <c r="Q103" s="92">
        <f t="shared" ca="1" si="42"/>
        <v>20083733.479717202</v>
      </c>
      <c r="R103" s="25">
        <f t="shared" ca="1" si="31"/>
        <v>1.1435262558469952E-3</v>
      </c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x14ac:dyDescent="0.2">
      <c r="A104" s="102">
        <v>13159</v>
      </c>
      <c r="B104" s="102">
        <v>4.3778300001577009E-2</v>
      </c>
      <c r="C104" s="102">
        <v>1</v>
      </c>
      <c r="D104" s="103">
        <f t="shared" si="32"/>
        <v>1.3159000000000001</v>
      </c>
      <c r="E104" s="103">
        <f t="shared" si="32"/>
        <v>4.3778300001577009E-2</v>
      </c>
      <c r="F104" s="92">
        <f t="shared" si="33"/>
        <v>1.3159000000000001</v>
      </c>
      <c r="G104" s="92">
        <f t="shared" si="33"/>
        <v>4.3778300001577009E-2</v>
      </c>
      <c r="H104" s="92">
        <f t="shared" si="34"/>
        <v>1.7315928100000002</v>
      </c>
      <c r="I104" s="92">
        <f t="shared" si="35"/>
        <v>2.2786029786790003</v>
      </c>
      <c r="J104" s="92">
        <f t="shared" si="36"/>
        <v>2.9984136596436968</v>
      </c>
      <c r="K104" s="92">
        <f t="shared" si="37"/>
        <v>5.7607864972075186E-2</v>
      </c>
      <c r="L104" s="92">
        <f t="shared" si="38"/>
        <v>7.5806189516753747E-2</v>
      </c>
      <c r="M104" s="92">
        <f t="shared" ca="1" si="30"/>
        <v>4.3940328121573412E-2</v>
      </c>
      <c r="N104" s="92">
        <f t="shared" ca="1" si="39"/>
        <v>2.6253111669568854E-8</v>
      </c>
      <c r="O104" s="112">
        <f t="shared" ca="1" si="40"/>
        <v>1751460.2023304771</v>
      </c>
      <c r="P104" s="92">
        <f t="shared" ca="1" si="41"/>
        <v>88030358.263156235</v>
      </c>
      <c r="Q104" s="92">
        <f t="shared" ca="1" si="42"/>
        <v>19995524.796263747</v>
      </c>
      <c r="R104" s="25">
        <f t="shared" ca="1" si="31"/>
        <v>-1.6202811999640326E-4</v>
      </c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x14ac:dyDescent="0.2">
      <c r="A105" s="102">
        <v>13771</v>
      </c>
      <c r="B105" s="102">
        <v>4.8062699999718461E-2</v>
      </c>
      <c r="C105" s="102">
        <v>1</v>
      </c>
      <c r="D105" s="103">
        <f t="shared" si="32"/>
        <v>1.3771</v>
      </c>
      <c r="E105" s="103">
        <f t="shared" si="32"/>
        <v>4.8062699999718461E-2</v>
      </c>
      <c r="F105" s="92">
        <f t="shared" si="33"/>
        <v>1.3771</v>
      </c>
      <c r="G105" s="92">
        <f t="shared" si="33"/>
        <v>4.8062699999718461E-2</v>
      </c>
      <c r="H105" s="92">
        <f t="shared" si="34"/>
        <v>1.8964044099999999</v>
      </c>
      <c r="I105" s="92">
        <f t="shared" si="35"/>
        <v>2.6115385130109998</v>
      </c>
      <c r="J105" s="92">
        <f t="shared" si="36"/>
        <v>3.5963496862674478</v>
      </c>
      <c r="K105" s="92">
        <f t="shared" si="37"/>
        <v>6.6187144169612286E-2</v>
      </c>
      <c r="L105" s="92">
        <f t="shared" si="38"/>
        <v>9.1146316235973079E-2</v>
      </c>
      <c r="M105" s="92">
        <f t="shared" ca="1" si="30"/>
        <v>4.7971516888287311E-2</v>
      </c>
      <c r="N105" s="92">
        <f t="shared" ca="1" si="39"/>
        <v>8.3143598102656371E-9</v>
      </c>
      <c r="O105" s="112">
        <f t="shared" ca="1" si="40"/>
        <v>1632475.5793525905</v>
      </c>
      <c r="P105" s="92">
        <f t="shared" ca="1" si="41"/>
        <v>73221166.514164582</v>
      </c>
      <c r="Q105" s="92">
        <f t="shared" ca="1" si="42"/>
        <v>15718979.264836362</v>
      </c>
      <c r="R105" s="25">
        <f t="shared" ca="1" si="31"/>
        <v>9.1183111431150654E-5</v>
      </c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x14ac:dyDescent="0.2">
      <c r="A106" s="102">
        <v>13997</v>
      </c>
      <c r="B106" s="102">
        <v>5.0758899997163098E-2</v>
      </c>
      <c r="C106" s="102">
        <v>1</v>
      </c>
      <c r="D106" s="103">
        <f t="shared" si="32"/>
        <v>1.3996999999999999</v>
      </c>
      <c r="E106" s="103">
        <f t="shared" si="32"/>
        <v>5.0758899997163098E-2</v>
      </c>
      <c r="F106" s="92">
        <f t="shared" si="33"/>
        <v>1.3996999999999999</v>
      </c>
      <c r="G106" s="92">
        <f t="shared" si="33"/>
        <v>5.0758899997163098E-2</v>
      </c>
      <c r="H106" s="92">
        <f t="shared" si="34"/>
        <v>1.9591600899999999</v>
      </c>
      <c r="I106" s="92">
        <f t="shared" si="35"/>
        <v>2.7422363779729997</v>
      </c>
      <c r="J106" s="92">
        <f t="shared" si="36"/>
        <v>3.8383082582488077</v>
      </c>
      <c r="K106" s="92">
        <f t="shared" si="37"/>
        <v>7.1047232326029192E-2</v>
      </c>
      <c r="L106" s="92">
        <f t="shared" si="38"/>
        <v>9.9444811086743051E-2</v>
      </c>
      <c r="M106" s="92">
        <f t="shared" ca="1" si="30"/>
        <v>4.9506204812197051E-2</v>
      </c>
      <c r="N106" s="92">
        <f t="shared" ca="1" si="39"/>
        <v>1.5692452264371201E-6</v>
      </c>
      <c r="O106" s="112">
        <f t="shared" ca="1" si="40"/>
        <v>1565571.8769309826</v>
      </c>
      <c r="P106" s="92">
        <f t="shared" ca="1" si="41"/>
        <v>67409082.064454302</v>
      </c>
      <c r="Q106" s="92">
        <f t="shared" ca="1" si="42"/>
        <v>14108882.582377352</v>
      </c>
      <c r="R106" s="25">
        <f t="shared" ca="1" si="31"/>
        <v>1.2526951849660475E-3</v>
      </c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x14ac:dyDescent="0.2">
      <c r="A107" s="102">
        <v>13997</v>
      </c>
      <c r="B107" s="102">
        <v>5.1138900002115406E-2</v>
      </c>
      <c r="C107" s="102">
        <v>1</v>
      </c>
      <c r="D107" s="103">
        <f t="shared" si="32"/>
        <v>1.3996999999999999</v>
      </c>
      <c r="E107" s="103">
        <f t="shared" si="32"/>
        <v>5.1138900002115406E-2</v>
      </c>
      <c r="F107" s="92">
        <f t="shared" si="33"/>
        <v>1.3996999999999999</v>
      </c>
      <c r="G107" s="92">
        <f t="shared" si="33"/>
        <v>5.1138900002115406E-2</v>
      </c>
      <c r="H107" s="92">
        <f t="shared" si="34"/>
        <v>1.9591600899999999</v>
      </c>
      <c r="I107" s="92">
        <f t="shared" si="35"/>
        <v>2.7422363779729997</v>
      </c>
      <c r="J107" s="92">
        <f t="shared" si="36"/>
        <v>3.8383082582488077</v>
      </c>
      <c r="K107" s="92">
        <f t="shared" si="37"/>
        <v>7.1579118332960934E-2</v>
      </c>
      <c r="L107" s="92">
        <f t="shared" si="38"/>
        <v>0.10018929193064542</v>
      </c>
      <c r="M107" s="92">
        <f t="shared" ca="1" si="30"/>
        <v>4.9506204812197051E-2</v>
      </c>
      <c r="N107" s="92">
        <f t="shared" ca="1" si="39"/>
        <v>2.6656935831825342E-6</v>
      </c>
      <c r="O107" s="112">
        <f t="shared" ca="1" si="40"/>
        <v>1565571.8769309826</v>
      </c>
      <c r="P107" s="92">
        <f t="shared" ca="1" si="41"/>
        <v>67409082.064454302</v>
      </c>
      <c r="Q107" s="92">
        <f t="shared" ca="1" si="42"/>
        <v>14108882.582377352</v>
      </c>
      <c r="R107" s="25">
        <f t="shared" ca="1" si="31"/>
        <v>1.6326951899183553E-3</v>
      </c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x14ac:dyDescent="0.2">
      <c r="A108" s="102">
        <v>13997</v>
      </c>
      <c r="B108" s="102">
        <v>5.1158900001610164E-2</v>
      </c>
      <c r="C108" s="102">
        <v>1</v>
      </c>
      <c r="D108" s="103">
        <f t="shared" si="32"/>
        <v>1.3996999999999999</v>
      </c>
      <c r="E108" s="103">
        <f t="shared" si="32"/>
        <v>5.1158900001610164E-2</v>
      </c>
      <c r="F108" s="92">
        <f t="shared" si="33"/>
        <v>1.3996999999999999</v>
      </c>
      <c r="G108" s="92">
        <f t="shared" si="33"/>
        <v>5.1158900001610164E-2</v>
      </c>
      <c r="H108" s="92">
        <f t="shared" si="34"/>
        <v>1.9591600899999999</v>
      </c>
      <c r="I108" s="92">
        <f t="shared" si="35"/>
        <v>2.7422363779729997</v>
      </c>
      <c r="J108" s="92">
        <f t="shared" si="36"/>
        <v>3.8383082582488077</v>
      </c>
      <c r="K108" s="92">
        <f t="shared" si="37"/>
        <v>7.1607112332253739E-2</v>
      </c>
      <c r="L108" s="92">
        <f t="shared" si="38"/>
        <v>0.10022847513145555</v>
      </c>
      <c r="M108" s="92">
        <f t="shared" ca="1" si="30"/>
        <v>4.9506204812197051E-2</v>
      </c>
      <c r="N108" s="92">
        <f t="shared" ca="1" si="39"/>
        <v>2.7314013891092449E-6</v>
      </c>
      <c r="O108" s="112">
        <f t="shared" ca="1" si="40"/>
        <v>1565571.8769309826</v>
      </c>
      <c r="P108" s="92">
        <f t="shared" ca="1" si="41"/>
        <v>67409082.064454302</v>
      </c>
      <c r="Q108" s="92">
        <f t="shared" ca="1" si="42"/>
        <v>14108882.582377352</v>
      </c>
      <c r="R108" s="25">
        <f t="shared" ca="1" si="31"/>
        <v>1.6526951894131128E-3</v>
      </c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x14ac:dyDescent="0.2">
      <c r="A109" s="102">
        <v>14501</v>
      </c>
      <c r="B109" s="102">
        <v>5.2903699994203635E-2</v>
      </c>
      <c r="C109" s="102">
        <v>1</v>
      </c>
      <c r="D109" s="103">
        <f t="shared" si="32"/>
        <v>1.4500999999999999</v>
      </c>
      <c r="E109" s="103">
        <f t="shared" si="32"/>
        <v>5.2903699994203635E-2</v>
      </c>
      <c r="F109" s="92">
        <f t="shared" si="33"/>
        <v>1.4500999999999999</v>
      </c>
      <c r="G109" s="92">
        <f t="shared" si="33"/>
        <v>5.2903699994203635E-2</v>
      </c>
      <c r="H109" s="92">
        <f t="shared" si="34"/>
        <v>2.1027900099999997</v>
      </c>
      <c r="I109" s="92">
        <f t="shared" si="35"/>
        <v>3.0492557935009992</v>
      </c>
      <c r="J109" s="92">
        <f t="shared" si="36"/>
        <v>4.4217258261557983</v>
      </c>
      <c r="K109" s="92">
        <f t="shared" si="37"/>
        <v>7.6715655361594692E-2</v>
      </c>
      <c r="L109" s="92">
        <f t="shared" si="38"/>
        <v>0.11124537183984846</v>
      </c>
      <c r="M109" s="92">
        <f t="shared" ca="1" si="30"/>
        <v>5.3018147893507131E-2</v>
      </c>
      <c r="N109" s="92">
        <f t="shared" ca="1" si="39"/>
        <v>1.3098321654983255E-8</v>
      </c>
      <c r="O109" s="112">
        <f t="shared" ca="1" si="40"/>
        <v>1377458.32599571</v>
      </c>
      <c r="P109" s="92">
        <f t="shared" ca="1" si="41"/>
        <v>54112228.070874915</v>
      </c>
      <c r="Q109" s="92">
        <f t="shared" ca="1" si="42"/>
        <v>10560298.922744522</v>
      </c>
      <c r="R109" s="25">
        <f t="shared" ca="1" si="31"/>
        <v>-1.1444789930349641E-4</v>
      </c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x14ac:dyDescent="0.2">
      <c r="A110" s="102">
        <v>14572</v>
      </c>
      <c r="B110" s="102">
        <v>5.3336399992986117E-2</v>
      </c>
      <c r="C110" s="102">
        <v>1</v>
      </c>
      <c r="D110" s="103">
        <f t="shared" si="32"/>
        <v>1.4572000000000001</v>
      </c>
      <c r="E110" s="103">
        <f t="shared" si="32"/>
        <v>5.3336399992986117E-2</v>
      </c>
      <c r="F110" s="92">
        <f t="shared" si="33"/>
        <v>1.4572000000000001</v>
      </c>
      <c r="G110" s="92">
        <f t="shared" si="33"/>
        <v>5.3336399992986117E-2</v>
      </c>
      <c r="H110" s="92">
        <f t="shared" si="34"/>
        <v>2.1234318400000003</v>
      </c>
      <c r="I110" s="92">
        <f t="shared" si="35"/>
        <v>3.0942648772480004</v>
      </c>
      <c r="J110" s="92">
        <f t="shared" si="36"/>
        <v>4.5089627791257865</v>
      </c>
      <c r="K110" s="92">
        <f t="shared" si="37"/>
        <v>7.7721802069779369E-2</v>
      </c>
      <c r="L110" s="92">
        <f t="shared" si="38"/>
        <v>0.1132562099760825</v>
      </c>
      <c r="M110" s="92">
        <f t="shared" ca="1" si="30"/>
        <v>5.3522811778886036E-2</v>
      </c>
      <c r="N110" s="92">
        <f t="shared" ca="1" si="39"/>
        <v>3.4749353922397226E-8</v>
      </c>
      <c r="O110" s="112">
        <f t="shared" ca="1" si="40"/>
        <v>1347135.8218444469</v>
      </c>
      <c r="P110" s="92">
        <f t="shared" ca="1" si="41"/>
        <v>52226055.144557759</v>
      </c>
      <c r="Q110" s="92">
        <f t="shared" ca="1" si="42"/>
        <v>10072410.420946194</v>
      </c>
      <c r="R110" s="25">
        <f t="shared" ca="1" si="31"/>
        <v>-1.8641178589991897E-4</v>
      </c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x14ac:dyDescent="0.2">
      <c r="A111" s="102">
        <v>14640</v>
      </c>
      <c r="B111" s="102">
        <v>5.2367999996931758E-2</v>
      </c>
      <c r="C111" s="102">
        <v>1</v>
      </c>
      <c r="D111" s="103">
        <f t="shared" si="32"/>
        <v>1.464</v>
      </c>
      <c r="E111" s="103">
        <f t="shared" si="32"/>
        <v>5.2367999996931758E-2</v>
      </c>
      <c r="F111" s="92">
        <f t="shared" si="33"/>
        <v>1.464</v>
      </c>
      <c r="G111" s="92">
        <f t="shared" si="33"/>
        <v>5.2367999996931758E-2</v>
      </c>
      <c r="H111" s="92">
        <f t="shared" si="34"/>
        <v>2.1432959999999999</v>
      </c>
      <c r="I111" s="92">
        <f t="shared" si="35"/>
        <v>3.1377853439999996</v>
      </c>
      <c r="J111" s="92">
        <f t="shared" si="36"/>
        <v>4.5937177436159997</v>
      </c>
      <c r="K111" s="92">
        <f t="shared" si="37"/>
        <v>7.6666751995508098E-2</v>
      </c>
      <c r="L111" s="92">
        <f t="shared" si="38"/>
        <v>0.11224012492142385</v>
      </c>
      <c r="M111" s="92">
        <f t="shared" ca="1" si="30"/>
        <v>5.4008449923647679E-2</v>
      </c>
      <c r="N111" s="92">
        <f t="shared" ca="1" si="39"/>
        <v>2.691075962062272E-6</v>
      </c>
      <c r="O111" s="112">
        <f t="shared" ca="1" si="40"/>
        <v>1317315.1136788144</v>
      </c>
      <c r="P111" s="92">
        <f t="shared" ca="1" si="41"/>
        <v>50421325.47660803</v>
      </c>
      <c r="Q111" s="92">
        <f t="shared" ca="1" si="42"/>
        <v>9609349.5333642047</v>
      </c>
      <c r="R111" s="25">
        <f t="shared" ca="1" si="31"/>
        <v>-1.6404499267159214E-3</v>
      </c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x14ac:dyDescent="0.2">
      <c r="A112" s="102">
        <v>14659</v>
      </c>
      <c r="B112" s="102">
        <v>5.4728299997805152E-2</v>
      </c>
      <c r="C112" s="102">
        <v>1</v>
      </c>
      <c r="D112" s="103">
        <f t="shared" si="32"/>
        <v>1.4659</v>
      </c>
      <c r="E112" s="103">
        <f t="shared" si="32"/>
        <v>5.4728299997805152E-2</v>
      </c>
      <c r="F112" s="92">
        <f t="shared" si="33"/>
        <v>1.4659</v>
      </c>
      <c r="G112" s="92">
        <f t="shared" si="33"/>
        <v>5.4728299997805152E-2</v>
      </c>
      <c r="H112" s="92">
        <f t="shared" si="34"/>
        <v>2.1488628099999998</v>
      </c>
      <c r="I112" s="92">
        <f t="shared" si="35"/>
        <v>3.1500179931789996</v>
      </c>
      <c r="J112" s="92">
        <f t="shared" si="36"/>
        <v>4.6176113762010953</v>
      </c>
      <c r="K112" s="92">
        <f t="shared" si="37"/>
        <v>8.0226214966782575E-2</v>
      </c>
      <c r="L112" s="92">
        <f t="shared" si="38"/>
        <v>0.11760360851980657</v>
      </c>
      <c r="M112" s="92">
        <f t="shared" ca="1" si="30"/>
        <v>5.4144544832205578E-2</v>
      </c>
      <c r="N112" s="92">
        <f t="shared" ca="1" si="39"/>
        <v>3.4077009336418607E-7</v>
      </c>
      <c r="O112" s="112">
        <f t="shared" ca="1" si="40"/>
        <v>1308851.5224829146</v>
      </c>
      <c r="P112" s="92">
        <f t="shared" ca="1" si="41"/>
        <v>49917580.919593006</v>
      </c>
      <c r="Q112" s="92">
        <f t="shared" ca="1" si="42"/>
        <v>9480765.3104815651</v>
      </c>
      <c r="R112" s="25">
        <f t="shared" ca="1" si="31"/>
        <v>5.8375516559957402E-4</v>
      </c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x14ac:dyDescent="0.2">
      <c r="A113" s="102">
        <v>14659</v>
      </c>
      <c r="B113" s="102">
        <v>5.512829999497626E-2</v>
      </c>
      <c r="C113" s="102">
        <v>1</v>
      </c>
      <c r="D113" s="103">
        <f t="shared" si="32"/>
        <v>1.4659</v>
      </c>
      <c r="E113" s="103">
        <f t="shared" si="32"/>
        <v>5.512829999497626E-2</v>
      </c>
      <c r="F113" s="92">
        <f t="shared" si="33"/>
        <v>1.4659</v>
      </c>
      <c r="G113" s="92">
        <f t="shared" si="33"/>
        <v>5.512829999497626E-2</v>
      </c>
      <c r="H113" s="92">
        <f t="shared" si="34"/>
        <v>2.1488628099999998</v>
      </c>
      <c r="I113" s="92">
        <f t="shared" si="35"/>
        <v>3.1500179931789996</v>
      </c>
      <c r="J113" s="92">
        <f t="shared" si="36"/>
        <v>4.6176113762010953</v>
      </c>
      <c r="K113" s="92">
        <f t="shared" si="37"/>
        <v>8.0812574962635692E-2</v>
      </c>
      <c r="L113" s="92">
        <f t="shared" si="38"/>
        <v>0.11846315363772766</v>
      </c>
      <c r="M113" s="92">
        <f t="shared" ca="1" si="30"/>
        <v>5.4144544832205578E-2</v>
      </c>
      <c r="N113" s="92">
        <f t="shared" ca="1" si="39"/>
        <v>9.6777422027797054E-7</v>
      </c>
      <c r="O113" s="112">
        <f t="shared" ca="1" si="40"/>
        <v>1308851.5224829146</v>
      </c>
      <c r="P113" s="92">
        <f t="shared" ca="1" si="41"/>
        <v>49917580.919593006</v>
      </c>
      <c r="Q113" s="92">
        <f t="shared" ca="1" si="42"/>
        <v>9480765.3104815651</v>
      </c>
      <c r="R113" s="25">
        <f t="shared" ca="1" si="31"/>
        <v>9.837551627706817E-4</v>
      </c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x14ac:dyDescent="0.2">
      <c r="A114" s="102">
        <v>14746</v>
      </c>
      <c r="B114" s="102">
        <v>5.1520199995138682E-2</v>
      </c>
      <c r="C114" s="102">
        <v>1</v>
      </c>
      <c r="D114" s="103">
        <f t="shared" si="32"/>
        <v>1.4745999999999999</v>
      </c>
      <c r="E114" s="103">
        <f t="shared" si="32"/>
        <v>5.1520199995138682E-2</v>
      </c>
      <c r="F114" s="92">
        <f t="shared" si="33"/>
        <v>1.4745999999999999</v>
      </c>
      <c r="G114" s="92">
        <f t="shared" si="33"/>
        <v>5.1520199995138682E-2</v>
      </c>
      <c r="H114" s="92">
        <f t="shared" si="34"/>
        <v>2.1744451599999999</v>
      </c>
      <c r="I114" s="92">
        <f t="shared" si="35"/>
        <v>3.2064368329359998</v>
      </c>
      <c r="J114" s="92">
        <f t="shared" si="36"/>
        <v>4.7282117538474253</v>
      </c>
      <c r="K114" s="92">
        <f t="shared" si="37"/>
        <v>7.5971686912831501E-2</v>
      </c>
      <c r="L114" s="92">
        <f t="shared" si="38"/>
        <v>0.11202784952166132</v>
      </c>
      <c r="M114" s="92">
        <f t="shared" ca="1" si="30"/>
        <v>5.476995842072252E-2</v>
      </c>
      <c r="N114" s="92">
        <f t="shared" ca="1" si="39"/>
        <v>1.0560929824653143E-5</v>
      </c>
      <c r="O114" s="112">
        <f t="shared" ca="1" si="40"/>
        <v>1269396.0512176678</v>
      </c>
      <c r="P114" s="92">
        <f t="shared" ca="1" si="41"/>
        <v>47615178.55572658</v>
      </c>
      <c r="Q114" s="92">
        <f t="shared" ca="1" si="42"/>
        <v>8896847.0041680913</v>
      </c>
      <c r="R114" s="25">
        <f t="shared" ca="1" si="31"/>
        <v>-3.2497584255838374E-3</v>
      </c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x14ac:dyDescent="0.2">
      <c r="A115" s="102">
        <v>15455.5</v>
      </c>
      <c r="B115" s="102">
        <v>5.9890349992201664E-2</v>
      </c>
      <c r="C115" s="102">
        <v>1</v>
      </c>
      <c r="D115" s="103">
        <f t="shared" si="32"/>
        <v>1.54555</v>
      </c>
      <c r="E115" s="103">
        <f t="shared" si="32"/>
        <v>5.9890349992201664E-2</v>
      </c>
      <c r="F115" s="92">
        <f t="shared" si="33"/>
        <v>1.54555</v>
      </c>
      <c r="G115" s="92">
        <f t="shared" si="33"/>
        <v>5.9890349992201664E-2</v>
      </c>
      <c r="H115" s="92">
        <f t="shared" si="34"/>
        <v>2.3887248025000001</v>
      </c>
      <c r="I115" s="92">
        <f t="shared" si="35"/>
        <v>3.6918936185038751</v>
      </c>
      <c r="J115" s="92">
        <f t="shared" si="36"/>
        <v>5.7060061820786645</v>
      </c>
      <c r="K115" s="92">
        <f t="shared" si="37"/>
        <v>9.256353043044728E-2</v>
      </c>
      <c r="L115" s="92">
        <f t="shared" si="38"/>
        <v>0.14306156445677778</v>
      </c>
      <c r="M115" s="92">
        <f t="shared" ca="1" si="30"/>
        <v>6.0007712141966277E-2</v>
      </c>
      <c r="N115" s="92">
        <f t="shared" ca="1" si="39"/>
        <v>1.3773874197371506E-8</v>
      </c>
      <c r="O115" s="112">
        <f t="shared" ca="1" si="40"/>
        <v>914771.81083223212</v>
      </c>
      <c r="P115" s="92">
        <f t="shared" ca="1" si="41"/>
        <v>29497999.828528035</v>
      </c>
      <c r="Q115" s="92">
        <f t="shared" ca="1" si="42"/>
        <v>4551879.6654195553</v>
      </c>
      <c r="R115" s="25">
        <f t="shared" ca="1" si="31"/>
        <v>-1.1736214976461323E-4</v>
      </c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x14ac:dyDescent="0.2">
      <c r="A116" s="102">
        <v>15469.5</v>
      </c>
      <c r="B116" s="102">
        <v>6.0582149999390822E-2</v>
      </c>
      <c r="C116" s="102">
        <v>1</v>
      </c>
      <c r="D116" s="103">
        <f t="shared" si="32"/>
        <v>1.54695</v>
      </c>
      <c r="E116" s="103">
        <f t="shared" si="32"/>
        <v>6.0582149999390822E-2</v>
      </c>
      <c r="F116" s="92">
        <f t="shared" si="33"/>
        <v>1.54695</v>
      </c>
      <c r="G116" s="92">
        <f t="shared" si="33"/>
        <v>6.0582149999390822E-2</v>
      </c>
      <c r="H116" s="92">
        <f t="shared" si="34"/>
        <v>2.3930543025</v>
      </c>
      <c r="I116" s="92">
        <f t="shared" si="35"/>
        <v>3.7019353532523751</v>
      </c>
      <c r="J116" s="92">
        <f t="shared" si="36"/>
        <v>5.7267088947137621</v>
      </c>
      <c r="K116" s="92">
        <f t="shared" si="37"/>
        <v>9.3717556941557631E-2</v>
      </c>
      <c r="L116" s="92">
        <f t="shared" si="38"/>
        <v>0.14497637471074259</v>
      </c>
      <c r="M116" s="92">
        <f t="shared" ca="1" si="30"/>
        <v>6.0113527262234977E-2</v>
      </c>
      <c r="N116" s="92">
        <f t="shared" ca="1" si="39"/>
        <v>2.1960726977943637E-7</v>
      </c>
      <c r="O116" s="112">
        <f t="shared" ca="1" si="40"/>
        <v>907382.75720443495</v>
      </c>
      <c r="P116" s="92">
        <f t="shared" ca="1" si="41"/>
        <v>29159797.729653358</v>
      </c>
      <c r="Q116" s="92">
        <f t="shared" ca="1" si="42"/>
        <v>4475824.9232879309</v>
      </c>
      <c r="R116" s="25">
        <f t="shared" ca="1" si="31"/>
        <v>4.6862273715584518E-4</v>
      </c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x14ac:dyDescent="0.2">
      <c r="A117" s="102">
        <v>15469.5</v>
      </c>
      <c r="B117" s="102">
        <v>6.0982150003837887E-2</v>
      </c>
      <c r="C117" s="102">
        <v>1</v>
      </c>
      <c r="D117" s="103">
        <f t="shared" si="32"/>
        <v>1.54695</v>
      </c>
      <c r="E117" s="103">
        <f t="shared" si="32"/>
        <v>6.0982150003837887E-2</v>
      </c>
      <c r="F117" s="92">
        <f t="shared" si="33"/>
        <v>1.54695</v>
      </c>
      <c r="G117" s="92">
        <f t="shared" si="33"/>
        <v>6.0982150003837887E-2</v>
      </c>
      <c r="H117" s="92">
        <f t="shared" si="34"/>
        <v>2.3930543025</v>
      </c>
      <c r="I117" s="92">
        <f t="shared" si="35"/>
        <v>3.7019353532523751</v>
      </c>
      <c r="J117" s="92">
        <f t="shared" si="36"/>
        <v>5.7267088947137621</v>
      </c>
      <c r="K117" s="92">
        <f t="shared" si="37"/>
        <v>9.4336336948437016E-2</v>
      </c>
      <c r="L117" s="92">
        <f t="shared" si="38"/>
        <v>0.14593359644238466</v>
      </c>
      <c r="M117" s="92">
        <f t="shared" ca="1" si="30"/>
        <v>6.0113527262234977E-2</v>
      </c>
      <c r="N117" s="92">
        <f t="shared" ca="1" si="39"/>
        <v>7.5450546722975659E-7</v>
      </c>
      <c r="O117" s="112">
        <f t="shared" ca="1" si="40"/>
        <v>907382.75720443495</v>
      </c>
      <c r="P117" s="92">
        <f t="shared" ca="1" si="41"/>
        <v>29159797.729653358</v>
      </c>
      <c r="Q117" s="92">
        <f t="shared" ca="1" si="42"/>
        <v>4475824.9232879309</v>
      </c>
      <c r="R117" s="25">
        <f t="shared" ca="1" si="31"/>
        <v>8.6862274160291048E-4</v>
      </c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x14ac:dyDescent="0.2">
      <c r="A118" s="102">
        <v>16103</v>
      </c>
      <c r="B118" s="102">
        <v>6.6711099992971867E-2</v>
      </c>
      <c r="C118" s="102">
        <v>1</v>
      </c>
      <c r="D118" s="103">
        <f t="shared" si="32"/>
        <v>1.6103000000000001</v>
      </c>
      <c r="E118" s="103">
        <f t="shared" si="32"/>
        <v>6.6711099992971867E-2</v>
      </c>
      <c r="F118" s="92">
        <f t="shared" si="33"/>
        <v>1.6103000000000001</v>
      </c>
      <c r="G118" s="92">
        <f t="shared" si="33"/>
        <v>6.6711099992971867E-2</v>
      </c>
      <c r="H118" s="92">
        <f t="shared" si="34"/>
        <v>2.5930660900000002</v>
      </c>
      <c r="I118" s="92">
        <f t="shared" si="35"/>
        <v>4.1756143247270003</v>
      </c>
      <c r="J118" s="92">
        <f t="shared" si="36"/>
        <v>6.7239917471078892</v>
      </c>
      <c r="K118" s="92">
        <f t="shared" si="37"/>
        <v>0.10742488431868261</v>
      </c>
      <c r="L118" s="92">
        <f t="shared" si="38"/>
        <v>0.17298629121837461</v>
      </c>
      <c r="M118" s="92">
        <f t="shared" ca="1" si="30"/>
        <v>6.5001392154174609E-2</v>
      </c>
      <c r="N118" s="92">
        <f t="shared" ca="1" si="39"/>
        <v>2.9231008940447929E-6</v>
      </c>
      <c r="O118" s="112">
        <f t="shared" ca="1" si="40"/>
        <v>572606.1568546989</v>
      </c>
      <c r="P118" s="92">
        <f t="shared" ca="1" si="41"/>
        <v>15183112.919382637</v>
      </c>
      <c r="Q118" s="92">
        <f t="shared" ca="1" si="42"/>
        <v>1586251.6028318899</v>
      </c>
      <c r="R118" s="25">
        <f t="shared" ca="1" si="31"/>
        <v>1.7097078387972586E-3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x14ac:dyDescent="0.2">
      <c r="A119" s="102">
        <v>16483.5</v>
      </c>
      <c r="B119" s="102">
        <v>6.8673950001539197E-2</v>
      </c>
      <c r="C119" s="102">
        <v>1</v>
      </c>
      <c r="D119" s="103">
        <f t="shared" si="32"/>
        <v>1.64835</v>
      </c>
      <c r="E119" s="103">
        <f t="shared" si="32"/>
        <v>6.8673950001539197E-2</v>
      </c>
      <c r="F119" s="92">
        <f t="shared" si="33"/>
        <v>1.64835</v>
      </c>
      <c r="G119" s="92">
        <f t="shared" si="33"/>
        <v>6.8673950001539197E-2</v>
      </c>
      <c r="H119" s="92">
        <f t="shared" si="34"/>
        <v>2.7170577224999999</v>
      </c>
      <c r="I119" s="92">
        <f t="shared" si="35"/>
        <v>4.478662096882875</v>
      </c>
      <c r="J119" s="92">
        <f t="shared" si="36"/>
        <v>7.382402667396887</v>
      </c>
      <c r="K119" s="92">
        <f t="shared" si="37"/>
        <v>0.11319870548503713</v>
      </c>
      <c r="L119" s="92">
        <f t="shared" si="38"/>
        <v>0.18659108618626097</v>
      </c>
      <c r="M119" s="92">
        <f t="shared" ca="1" si="30"/>
        <v>6.8031004315879398E-2</v>
      </c>
      <c r="N119" s="92">
        <f t="shared" ca="1" si="39"/>
        <v>4.1337915470854869E-7</v>
      </c>
      <c r="O119" s="112">
        <f t="shared" ca="1" si="40"/>
        <v>383886.69999373367</v>
      </c>
      <c r="P119" s="92">
        <f t="shared" ca="1" si="41"/>
        <v>8458873.1123830806</v>
      </c>
      <c r="Q119" s="92">
        <f t="shared" ca="1" si="42"/>
        <v>492461.09453005687</v>
      </c>
      <c r="R119" s="25">
        <f t="shared" ca="1" si="31"/>
        <v>6.429456856597987E-4</v>
      </c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x14ac:dyDescent="0.2">
      <c r="A120" s="102">
        <v>16864.5</v>
      </c>
      <c r="B120" s="102">
        <v>6.9993650002288632E-2</v>
      </c>
      <c r="C120" s="102">
        <v>1</v>
      </c>
      <c r="D120" s="103">
        <f t="shared" si="32"/>
        <v>1.68645</v>
      </c>
      <c r="E120" s="103">
        <f t="shared" si="32"/>
        <v>6.9993650002288632E-2</v>
      </c>
      <c r="F120" s="92">
        <f t="shared" si="33"/>
        <v>1.68645</v>
      </c>
      <c r="G120" s="92">
        <f t="shared" si="33"/>
        <v>6.9993650002288632E-2</v>
      </c>
      <c r="H120" s="92">
        <f t="shared" si="34"/>
        <v>2.8441136025000002</v>
      </c>
      <c r="I120" s="92">
        <f t="shared" si="35"/>
        <v>4.7964553849361256</v>
      </c>
      <c r="J120" s="92">
        <f t="shared" si="36"/>
        <v>8.0889821839255287</v>
      </c>
      <c r="K120" s="92">
        <f t="shared" si="37"/>
        <v>0.11804079104635966</v>
      </c>
      <c r="L120" s="92">
        <f t="shared" si="38"/>
        <v>0.19906989206013326</v>
      </c>
      <c r="M120" s="92">
        <f t="shared" ca="1" si="30"/>
        <v>7.1135137880093499E-2</v>
      </c>
      <c r="N120" s="92">
        <f t="shared" ca="1" si="39"/>
        <v>1.302994575175459E-6</v>
      </c>
      <c r="O120" s="112">
        <f t="shared" ca="1" si="40"/>
        <v>218681.44785204652</v>
      </c>
      <c r="P120" s="92">
        <f t="shared" ca="1" si="41"/>
        <v>3440887.7950460152</v>
      </c>
      <c r="Q120" s="92">
        <f t="shared" ca="1" si="42"/>
        <v>12236.562490154462</v>
      </c>
      <c r="R120" s="25">
        <f t="shared" ca="1" si="31"/>
        <v>-1.141487877804867E-3</v>
      </c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x14ac:dyDescent="0.2">
      <c r="A121" s="102">
        <v>16887</v>
      </c>
      <c r="B121" s="102">
        <v>7.0951899993815459E-2</v>
      </c>
      <c r="C121" s="102">
        <v>1</v>
      </c>
      <c r="D121" s="103">
        <f t="shared" si="32"/>
        <v>1.6887000000000001</v>
      </c>
      <c r="E121" s="103">
        <f t="shared" si="32"/>
        <v>7.0951899993815459E-2</v>
      </c>
      <c r="F121" s="92">
        <f t="shared" si="33"/>
        <v>1.6887000000000001</v>
      </c>
      <c r="G121" s="92">
        <f t="shared" si="33"/>
        <v>7.0951899993815459E-2</v>
      </c>
      <c r="H121" s="92">
        <f t="shared" si="34"/>
        <v>2.8517076900000005</v>
      </c>
      <c r="I121" s="92">
        <f t="shared" si="35"/>
        <v>4.8156787761030007</v>
      </c>
      <c r="J121" s="92">
        <f t="shared" si="36"/>
        <v>8.1322367492051377</v>
      </c>
      <c r="K121" s="92">
        <f t="shared" si="37"/>
        <v>0.11981647351955617</v>
      </c>
      <c r="L121" s="92">
        <f t="shared" si="38"/>
        <v>0.20233407883247451</v>
      </c>
      <c r="M121" s="92">
        <f t="shared" ca="1" si="30"/>
        <v>7.1320660190791155E-2</v>
      </c>
      <c r="N121" s="92">
        <f t="shared" ca="1" si="39"/>
        <v>1.3598408287355367E-7</v>
      </c>
      <c r="O121" s="112">
        <f t="shared" ca="1" si="40"/>
        <v>209948.98315962724</v>
      </c>
      <c r="P121" s="92">
        <f t="shared" ca="1" si="41"/>
        <v>3206779.0122206784</v>
      </c>
      <c r="Q121" s="92">
        <f t="shared" ca="1" si="42"/>
        <v>5578.038612123124</v>
      </c>
      <c r="R121" s="25">
        <f t="shared" ca="1" si="31"/>
        <v>-3.687601969756954E-4</v>
      </c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x14ac:dyDescent="0.2">
      <c r="A122" s="102">
        <v>16902.5</v>
      </c>
      <c r="B122" s="102">
        <v>7.3814249997667503E-2</v>
      </c>
      <c r="C122" s="102">
        <v>1</v>
      </c>
      <c r="D122" s="103">
        <f t="shared" si="32"/>
        <v>1.69025</v>
      </c>
      <c r="E122" s="103">
        <f t="shared" si="32"/>
        <v>7.3814249997667503E-2</v>
      </c>
      <c r="F122" s="92">
        <f t="shared" si="33"/>
        <v>1.69025</v>
      </c>
      <c r="G122" s="92">
        <f t="shared" si="33"/>
        <v>7.3814249997667503E-2</v>
      </c>
      <c r="H122" s="92">
        <f t="shared" si="34"/>
        <v>2.8569450624999999</v>
      </c>
      <c r="I122" s="92">
        <f t="shared" si="35"/>
        <v>4.8289513918906248</v>
      </c>
      <c r="J122" s="92">
        <f t="shared" si="36"/>
        <v>8.1621350901431295</v>
      </c>
      <c r="K122" s="92">
        <f t="shared" si="37"/>
        <v>0.1247645360585575</v>
      </c>
      <c r="L122" s="92">
        <f t="shared" si="38"/>
        <v>0.21088325707297681</v>
      </c>
      <c r="M122" s="92">
        <f t="shared" ca="1" si="30"/>
        <v>7.1448607654135743E-2</v>
      </c>
      <c r="N122" s="92">
        <f t="shared" ca="1" si="39"/>
        <v>5.5962636975104365E-6</v>
      </c>
      <c r="O122" s="112">
        <f t="shared" ca="1" si="40"/>
        <v>204009.92088476152</v>
      </c>
      <c r="P122" s="92">
        <f t="shared" ca="1" si="41"/>
        <v>3049847.7092154641</v>
      </c>
      <c r="Q122" s="92">
        <f t="shared" ca="1" si="42"/>
        <v>2486.6414895359094</v>
      </c>
      <c r="R122" s="25">
        <f t="shared" ca="1" si="31"/>
        <v>2.3656423435317597E-3</v>
      </c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x14ac:dyDescent="0.2">
      <c r="A123" s="102">
        <v>16946.5</v>
      </c>
      <c r="B123" s="102">
        <v>7.0517050000489689E-2</v>
      </c>
      <c r="C123" s="102">
        <v>1</v>
      </c>
      <c r="D123" s="103">
        <f t="shared" si="32"/>
        <v>1.69465</v>
      </c>
      <c r="E123" s="103">
        <f t="shared" si="32"/>
        <v>7.0517050000489689E-2</v>
      </c>
      <c r="F123" s="92">
        <f t="shared" si="33"/>
        <v>1.69465</v>
      </c>
      <c r="G123" s="92">
        <f t="shared" si="33"/>
        <v>7.0517050000489689E-2</v>
      </c>
      <c r="H123" s="92">
        <f t="shared" si="34"/>
        <v>2.8718386224999999</v>
      </c>
      <c r="I123" s="92">
        <f t="shared" si="35"/>
        <v>4.8667613216196246</v>
      </c>
      <c r="J123" s="92">
        <f t="shared" si="36"/>
        <v>8.2474570736826962</v>
      </c>
      <c r="K123" s="92">
        <f t="shared" si="37"/>
        <v>0.11950171878332985</v>
      </c>
      <c r="L123" s="92">
        <f t="shared" si="38"/>
        <v>0.20251358773616993</v>
      </c>
      <c r="M123" s="92">
        <f t="shared" ca="1" si="30"/>
        <v>7.181244987662494E-2</v>
      </c>
      <c r="N123" s="92">
        <f t="shared" ca="1" si="39"/>
        <v>1.6780608390912219E-6</v>
      </c>
      <c r="O123" s="112">
        <f t="shared" ca="1" si="40"/>
        <v>187500.42075186039</v>
      </c>
      <c r="P123" s="92">
        <f t="shared" ca="1" si="41"/>
        <v>2623943.3773626615</v>
      </c>
      <c r="Q123" s="92">
        <f t="shared" ca="1" si="42"/>
        <v>436.21037606185723</v>
      </c>
      <c r="R123" s="25">
        <f t="shared" ca="1" si="31"/>
        <v>-1.2953998761352503E-3</v>
      </c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x14ac:dyDescent="0.2">
      <c r="A124" s="102">
        <v>16950.5</v>
      </c>
      <c r="B124" s="102">
        <v>7.0871849995455705E-2</v>
      </c>
      <c r="C124" s="102">
        <v>1</v>
      </c>
      <c r="D124" s="103">
        <f t="shared" si="32"/>
        <v>1.6950499999999999</v>
      </c>
      <c r="E124" s="103">
        <f t="shared" si="32"/>
        <v>7.0871849995455705E-2</v>
      </c>
      <c r="F124" s="92">
        <f t="shared" si="33"/>
        <v>1.6950499999999999</v>
      </c>
      <c r="G124" s="92">
        <f t="shared" si="33"/>
        <v>7.0871849995455705E-2</v>
      </c>
      <c r="H124" s="92">
        <f t="shared" si="34"/>
        <v>2.8731945024999996</v>
      </c>
      <c r="I124" s="92">
        <f t="shared" si="35"/>
        <v>4.8702083414626243</v>
      </c>
      <c r="J124" s="92">
        <f t="shared" si="36"/>
        <v>8.2552466491962218</v>
      </c>
      <c r="K124" s="92">
        <f t="shared" si="37"/>
        <v>0.12013132933479719</v>
      </c>
      <c r="L124" s="92">
        <f t="shared" si="38"/>
        <v>0.20362860978894795</v>
      </c>
      <c r="M124" s="92">
        <f t="shared" ca="1" si="30"/>
        <v>7.1845573123687584E-2</v>
      </c>
      <c r="N124" s="92">
        <f t="shared" ca="1" si="39"/>
        <v>9.4813673045367668E-7</v>
      </c>
      <c r="O124" s="112">
        <f t="shared" ca="1" si="40"/>
        <v>186025.73079162714</v>
      </c>
      <c r="P124" s="92">
        <f t="shared" ca="1" si="41"/>
        <v>2586676.090924623</v>
      </c>
      <c r="Q124" s="92">
        <f t="shared" ca="1" si="42"/>
        <v>747.43601347958111</v>
      </c>
      <c r="R124" s="25">
        <f t="shared" ca="1" si="31"/>
        <v>-9.7372312823187923E-4</v>
      </c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x14ac:dyDescent="0.2">
      <c r="A125" s="102">
        <v>16959</v>
      </c>
      <c r="B125" s="102">
        <v>7.1538299998792354E-2</v>
      </c>
      <c r="C125" s="102">
        <v>1</v>
      </c>
      <c r="D125" s="103">
        <f t="shared" si="32"/>
        <v>1.6959</v>
      </c>
      <c r="E125" s="103">
        <f t="shared" si="32"/>
        <v>7.1538299998792354E-2</v>
      </c>
      <c r="F125" s="92">
        <f t="shared" si="33"/>
        <v>1.6959</v>
      </c>
      <c r="G125" s="92">
        <f t="shared" si="33"/>
        <v>7.1538299998792354E-2</v>
      </c>
      <c r="H125" s="92">
        <f t="shared" si="34"/>
        <v>2.8760768099999998</v>
      </c>
      <c r="I125" s="92">
        <f t="shared" si="35"/>
        <v>4.877538662079</v>
      </c>
      <c r="J125" s="92">
        <f t="shared" si="36"/>
        <v>8.2718178170197767</v>
      </c>
      <c r="K125" s="92">
        <f t="shared" si="37"/>
        <v>0.12132180296795195</v>
      </c>
      <c r="L125" s="92">
        <f t="shared" si="38"/>
        <v>0.20574964565334972</v>
      </c>
      <c r="M125" s="92">
        <f t="shared" ca="1" si="30"/>
        <v>7.1915985856491629E-2</v>
      </c>
      <c r="N125" s="92">
        <f t="shared" ca="1" si="39"/>
        <v>1.4264660710603725E-7</v>
      </c>
      <c r="O125" s="112">
        <f t="shared" ca="1" si="40"/>
        <v>182906.75681818021</v>
      </c>
      <c r="P125" s="92">
        <f t="shared" ca="1" si="41"/>
        <v>2508293.8646833277</v>
      </c>
      <c r="Q125" s="92">
        <f t="shared" ca="1" si="42"/>
        <v>1686.3510269069611</v>
      </c>
      <c r="R125" s="25">
        <f t="shared" ca="1" si="31"/>
        <v>-3.7768585769927532E-4</v>
      </c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x14ac:dyDescent="0.2">
      <c r="A126" s="102">
        <v>16995</v>
      </c>
      <c r="B126" s="102">
        <v>7.1431500000471715E-2</v>
      </c>
      <c r="C126" s="102">
        <v>1</v>
      </c>
      <c r="D126" s="103">
        <f t="shared" si="32"/>
        <v>1.6995</v>
      </c>
      <c r="E126" s="103">
        <f t="shared" si="32"/>
        <v>7.1431500000471715E-2</v>
      </c>
      <c r="F126" s="92">
        <f t="shared" si="33"/>
        <v>1.6995</v>
      </c>
      <c r="G126" s="92">
        <f t="shared" si="33"/>
        <v>7.1431500000471715E-2</v>
      </c>
      <c r="H126" s="92">
        <f t="shared" si="34"/>
        <v>2.8883002499999999</v>
      </c>
      <c r="I126" s="92">
        <f t="shared" si="35"/>
        <v>4.9086662748750003</v>
      </c>
      <c r="J126" s="92">
        <f t="shared" si="36"/>
        <v>8.3422783341500626</v>
      </c>
      <c r="K126" s="92">
        <f t="shared" si="37"/>
        <v>0.12139783425080168</v>
      </c>
      <c r="L126" s="92">
        <f t="shared" si="38"/>
        <v>0.20631561930923745</v>
      </c>
      <c r="M126" s="92">
        <f t="shared" ca="1" si="30"/>
        <v>7.2214593987323605E-2</v>
      </c>
      <c r="N126" s="92">
        <f t="shared" ca="1" si="39"/>
        <v>6.1323619224358879E-7</v>
      </c>
      <c r="O126" s="112">
        <f t="shared" ca="1" si="40"/>
        <v>169922.62052902905</v>
      </c>
      <c r="P126" s="92">
        <f t="shared" ca="1" si="41"/>
        <v>2188645.5675160568</v>
      </c>
      <c r="Q126" s="92">
        <f t="shared" ca="1" si="42"/>
        <v>9876.2010715890829</v>
      </c>
      <c r="R126" s="25">
        <f t="shared" ca="1" si="31"/>
        <v>-7.8309398685189047E-4</v>
      </c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x14ac:dyDescent="0.2">
      <c r="A127" s="102">
        <v>17042.5</v>
      </c>
      <c r="B127" s="102">
        <v>7.3532249996787868E-2</v>
      </c>
      <c r="C127" s="102">
        <v>1</v>
      </c>
      <c r="D127" s="103">
        <f t="shared" si="32"/>
        <v>1.70425</v>
      </c>
      <c r="E127" s="103">
        <f t="shared" si="32"/>
        <v>7.3532249996787868E-2</v>
      </c>
      <c r="F127" s="92">
        <f t="shared" si="33"/>
        <v>1.70425</v>
      </c>
      <c r="G127" s="92">
        <f t="shared" si="33"/>
        <v>7.3532249996787868E-2</v>
      </c>
      <c r="H127" s="92">
        <f t="shared" si="34"/>
        <v>2.9044680625000003</v>
      </c>
      <c r="I127" s="92">
        <f t="shared" si="35"/>
        <v>4.9499396955156261</v>
      </c>
      <c r="J127" s="92">
        <f t="shared" si="36"/>
        <v>8.4359347260825057</v>
      </c>
      <c r="K127" s="92">
        <f t="shared" si="37"/>
        <v>0.12531733705702572</v>
      </c>
      <c r="L127" s="92">
        <f t="shared" si="38"/>
        <v>0.21357207167943609</v>
      </c>
      <c r="M127" s="92">
        <f t="shared" ca="1" si="30"/>
        <v>7.2609555149691946E-2</v>
      </c>
      <c r="N127" s="92">
        <f t="shared" ca="1" si="39"/>
        <v>8.5136578085736852E-7</v>
      </c>
      <c r="O127" s="112">
        <f t="shared" ca="1" si="40"/>
        <v>153365.26684807704</v>
      </c>
      <c r="P127" s="92">
        <f t="shared" ca="1" si="41"/>
        <v>1797865.4682847983</v>
      </c>
      <c r="Q127" s="92">
        <f t="shared" ca="1" si="42"/>
        <v>31246.90752965253</v>
      </c>
      <c r="R127" s="25">
        <f t="shared" ca="1" si="31"/>
        <v>9.2269484709592287E-4</v>
      </c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x14ac:dyDescent="0.2">
      <c r="A128" s="102">
        <v>17044.5</v>
      </c>
      <c r="B128" s="102">
        <v>7.3459649996948428E-2</v>
      </c>
      <c r="C128" s="102">
        <v>1</v>
      </c>
      <c r="D128" s="103">
        <f t="shared" si="32"/>
        <v>1.70445</v>
      </c>
      <c r="E128" s="103">
        <f t="shared" si="32"/>
        <v>7.3459649996948428E-2</v>
      </c>
      <c r="F128" s="92">
        <f t="shared" si="33"/>
        <v>1.70445</v>
      </c>
      <c r="G128" s="92">
        <f t="shared" si="33"/>
        <v>7.3459649996948428E-2</v>
      </c>
      <c r="H128" s="92">
        <f t="shared" si="34"/>
        <v>2.9051498025</v>
      </c>
      <c r="I128" s="92">
        <f t="shared" si="35"/>
        <v>4.9516825808711253</v>
      </c>
      <c r="J128" s="92">
        <f t="shared" si="36"/>
        <v>8.4398953749657899</v>
      </c>
      <c r="K128" s="92">
        <f t="shared" si="37"/>
        <v>0.12520830043729875</v>
      </c>
      <c r="L128" s="92">
        <f t="shared" si="38"/>
        <v>0.21341128768035386</v>
      </c>
      <c r="M128" s="92">
        <f t="shared" ca="1" si="30"/>
        <v>7.2626209163458119E-2</v>
      </c>
      <c r="N128" s="92">
        <f t="shared" ca="1" si="39"/>
        <v>6.9462362292902141E-7</v>
      </c>
      <c r="O128" s="112">
        <f t="shared" ca="1" si="40"/>
        <v>152682.82476060843</v>
      </c>
      <c r="P128" s="92">
        <f t="shared" ca="1" si="41"/>
        <v>1782195.6828782596</v>
      </c>
      <c r="Q128" s="92">
        <f t="shared" ca="1" si="42"/>
        <v>32413.531392500605</v>
      </c>
      <c r="R128" s="25">
        <f t="shared" ca="1" si="31"/>
        <v>8.3344083349030929E-4</v>
      </c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x14ac:dyDescent="0.2">
      <c r="A129" s="102">
        <v>17078.5</v>
      </c>
      <c r="B129" s="102">
        <v>7.7425449999282137E-2</v>
      </c>
      <c r="C129" s="102">
        <v>1</v>
      </c>
      <c r="D129" s="103">
        <f t="shared" si="32"/>
        <v>1.7078500000000001</v>
      </c>
      <c r="E129" s="103">
        <f t="shared" si="32"/>
        <v>7.7425449999282137E-2</v>
      </c>
      <c r="F129" s="92">
        <f t="shared" si="33"/>
        <v>1.7078500000000001</v>
      </c>
      <c r="G129" s="92">
        <f t="shared" si="33"/>
        <v>7.7425449999282137E-2</v>
      </c>
      <c r="H129" s="92">
        <f t="shared" si="34"/>
        <v>2.9167516225000005</v>
      </c>
      <c r="I129" s="92">
        <f t="shared" si="35"/>
        <v>4.9813742584866265</v>
      </c>
      <c r="J129" s="92">
        <f t="shared" si="36"/>
        <v>8.5074400273563864</v>
      </c>
      <c r="K129" s="92">
        <f t="shared" si="37"/>
        <v>0.132231054781274</v>
      </c>
      <c r="L129" s="92">
        <f t="shared" si="38"/>
        <v>0.22583080690819882</v>
      </c>
      <c r="M129" s="92">
        <f t="shared" ca="1" si="30"/>
        <v>7.2909624991291971E-2</v>
      </c>
      <c r="N129" s="92">
        <f t="shared" ca="1" si="39"/>
        <v>2.0392675502789376E-5</v>
      </c>
      <c r="O129" s="112">
        <f t="shared" ca="1" si="40"/>
        <v>141267.67216957221</v>
      </c>
      <c r="P129" s="92">
        <f t="shared" ca="1" si="41"/>
        <v>1525635.8152246682</v>
      </c>
      <c r="Q129" s="92">
        <f t="shared" ca="1" si="42"/>
        <v>55582.45256193653</v>
      </c>
      <c r="R129" s="25">
        <f t="shared" ca="1" si="31"/>
        <v>4.5158250079901652E-3</v>
      </c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x14ac:dyDescent="0.2">
      <c r="A130" s="102">
        <v>17188</v>
      </c>
      <c r="B130" s="102">
        <v>7.3675599996931851E-2</v>
      </c>
      <c r="C130" s="102">
        <v>1</v>
      </c>
      <c r="D130" s="103">
        <f t="shared" si="32"/>
        <v>1.7188000000000001</v>
      </c>
      <c r="E130" s="103">
        <f t="shared" si="32"/>
        <v>7.3675599996931851E-2</v>
      </c>
      <c r="F130" s="92">
        <f t="shared" si="33"/>
        <v>1.7188000000000001</v>
      </c>
      <c r="G130" s="92">
        <f t="shared" si="33"/>
        <v>7.3675599996931851E-2</v>
      </c>
      <c r="H130" s="92">
        <f t="shared" si="34"/>
        <v>2.9542734400000006</v>
      </c>
      <c r="I130" s="92">
        <f t="shared" si="35"/>
        <v>5.0778051886720013</v>
      </c>
      <c r="J130" s="92">
        <f t="shared" si="36"/>
        <v>8.7277315582894364</v>
      </c>
      <c r="K130" s="92">
        <f t="shared" si="37"/>
        <v>0.12663362127472647</v>
      </c>
      <c r="L130" s="92">
        <f t="shared" si="38"/>
        <v>0.21765786824699987</v>
      </c>
      <c r="M130" s="92">
        <f t="shared" ca="1" si="30"/>
        <v>7.3826211069103517E-2</v>
      </c>
      <c r="N130" s="92">
        <f t="shared" ca="1" si="39"/>
        <v>2.2683695060698892E-8</v>
      </c>
      <c r="O130" s="112">
        <f t="shared" ca="1" si="40"/>
        <v>106998.37071377938</v>
      </c>
      <c r="P130" s="92">
        <f t="shared" ca="1" si="41"/>
        <v>828484.88386418321</v>
      </c>
      <c r="Q130" s="92">
        <f t="shared" ca="1" si="42"/>
        <v>173877.96534062497</v>
      </c>
      <c r="R130" s="25">
        <f t="shared" ca="1" si="31"/>
        <v>-1.5061107217166636E-4</v>
      </c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x14ac:dyDescent="0.2">
      <c r="A131" s="102">
        <v>17188</v>
      </c>
      <c r="B131" s="102">
        <v>7.3755600002186839E-2</v>
      </c>
      <c r="C131" s="102">
        <v>1</v>
      </c>
      <c r="D131" s="103">
        <f t="shared" si="32"/>
        <v>1.7188000000000001</v>
      </c>
      <c r="E131" s="103">
        <f t="shared" si="32"/>
        <v>7.3755600002186839E-2</v>
      </c>
      <c r="F131" s="92">
        <f t="shared" si="33"/>
        <v>1.7188000000000001</v>
      </c>
      <c r="G131" s="92">
        <f t="shared" si="33"/>
        <v>7.3755600002186839E-2</v>
      </c>
      <c r="H131" s="92">
        <f t="shared" si="34"/>
        <v>2.9542734400000006</v>
      </c>
      <c r="I131" s="92">
        <f t="shared" si="35"/>
        <v>5.0778051886720013</v>
      </c>
      <c r="J131" s="92">
        <f t="shared" si="36"/>
        <v>8.7277315582894364</v>
      </c>
      <c r="K131" s="92">
        <f t="shared" si="37"/>
        <v>0.12677112528375875</v>
      </c>
      <c r="L131" s="92">
        <f t="shared" si="38"/>
        <v>0.21789421013772456</v>
      </c>
      <c r="M131" s="92">
        <f t="shared" ca="1" si="30"/>
        <v>7.3826211069103517E-2</v>
      </c>
      <c r="N131" s="92">
        <f t="shared" ca="1" si="39"/>
        <v>4.9859227711116818E-9</v>
      </c>
      <c r="O131" s="112">
        <f t="shared" ca="1" si="40"/>
        <v>106998.37071377938</v>
      </c>
      <c r="P131" s="92">
        <f t="shared" ca="1" si="41"/>
        <v>828484.88386418321</v>
      </c>
      <c r="Q131" s="92">
        <f t="shared" ca="1" si="42"/>
        <v>173877.96534062497</v>
      </c>
      <c r="R131" s="25">
        <f t="shared" ca="1" si="31"/>
        <v>-7.0611066916678733E-5</v>
      </c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x14ac:dyDescent="0.2">
      <c r="A132" s="102">
        <v>17188</v>
      </c>
      <c r="B132" s="102">
        <v>7.3775600001681596E-2</v>
      </c>
      <c r="C132" s="102">
        <v>1</v>
      </c>
      <c r="D132" s="103">
        <f t="shared" si="32"/>
        <v>1.7188000000000001</v>
      </c>
      <c r="E132" s="103">
        <f t="shared" si="32"/>
        <v>7.3775600001681596E-2</v>
      </c>
      <c r="F132" s="92">
        <f t="shared" si="33"/>
        <v>1.7188000000000001</v>
      </c>
      <c r="G132" s="92">
        <f t="shared" si="33"/>
        <v>7.3775600001681596E-2</v>
      </c>
      <c r="H132" s="92">
        <f t="shared" si="34"/>
        <v>2.9542734400000006</v>
      </c>
      <c r="I132" s="92">
        <f t="shared" si="35"/>
        <v>5.0778051886720013</v>
      </c>
      <c r="J132" s="92">
        <f t="shared" si="36"/>
        <v>8.7277315582894364</v>
      </c>
      <c r="K132" s="92">
        <f t="shared" si="37"/>
        <v>0.12680550128289034</v>
      </c>
      <c r="L132" s="92">
        <f t="shared" si="38"/>
        <v>0.21795329560503193</v>
      </c>
      <c r="M132" s="92">
        <f t="shared" ca="1" si="30"/>
        <v>7.3826211069103517E-2</v>
      </c>
      <c r="N132" s="92">
        <f t="shared" ca="1" si="39"/>
        <v>2.5614801455862562E-9</v>
      </c>
      <c r="O132" s="112">
        <f t="shared" ca="1" si="40"/>
        <v>106998.37071377938</v>
      </c>
      <c r="P132" s="92">
        <f t="shared" ca="1" si="41"/>
        <v>828484.88386418321</v>
      </c>
      <c r="Q132" s="92">
        <f t="shared" ca="1" si="42"/>
        <v>173877.96534062497</v>
      </c>
      <c r="R132" s="25">
        <f t="shared" ca="1" si="31"/>
        <v>-5.061106742192123E-5</v>
      </c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x14ac:dyDescent="0.2">
      <c r="A133" s="102">
        <v>17188</v>
      </c>
      <c r="B133" s="102">
        <v>7.3855599999660626E-2</v>
      </c>
      <c r="C133" s="102">
        <v>1</v>
      </c>
      <c r="D133" s="103">
        <f t="shared" si="32"/>
        <v>1.7188000000000001</v>
      </c>
      <c r="E133" s="103">
        <f t="shared" si="32"/>
        <v>7.3855599999660626E-2</v>
      </c>
      <c r="F133" s="92">
        <f t="shared" si="33"/>
        <v>1.7188000000000001</v>
      </c>
      <c r="G133" s="92">
        <f t="shared" si="33"/>
        <v>7.3855599999660626E-2</v>
      </c>
      <c r="H133" s="92">
        <f t="shared" si="34"/>
        <v>2.9542734400000006</v>
      </c>
      <c r="I133" s="92">
        <f t="shared" si="35"/>
        <v>5.0778051886720013</v>
      </c>
      <c r="J133" s="92">
        <f t="shared" si="36"/>
        <v>8.7277315582894364</v>
      </c>
      <c r="K133" s="92">
        <f t="shared" si="37"/>
        <v>0.12694300527941668</v>
      </c>
      <c r="L133" s="92">
        <f t="shared" si="38"/>
        <v>0.2181896374742614</v>
      </c>
      <c r="M133" s="92">
        <f t="shared" ca="1" si="30"/>
        <v>7.3826211069103517E-2</v>
      </c>
      <c r="N133" s="92">
        <f t="shared" ca="1" si="39"/>
        <v>8.6370923929056238E-10</v>
      </c>
      <c r="O133" s="112">
        <f t="shared" ca="1" si="40"/>
        <v>106998.37071377938</v>
      </c>
      <c r="P133" s="92">
        <f t="shared" ca="1" si="41"/>
        <v>828484.88386418321</v>
      </c>
      <c r="Q133" s="92">
        <f t="shared" ca="1" si="42"/>
        <v>173877.96534062497</v>
      </c>
      <c r="R133" s="25">
        <f t="shared" ca="1" si="31"/>
        <v>2.9388930557108783E-5</v>
      </c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x14ac:dyDescent="0.2">
      <c r="A134" s="102">
        <v>17188</v>
      </c>
      <c r="B134" s="102">
        <v>7.3875599999155384E-2</v>
      </c>
      <c r="C134" s="102">
        <v>1</v>
      </c>
      <c r="D134" s="103">
        <f t="shared" si="32"/>
        <v>1.7188000000000001</v>
      </c>
      <c r="E134" s="103">
        <f t="shared" si="32"/>
        <v>7.3875599999155384E-2</v>
      </c>
      <c r="F134" s="92">
        <f t="shared" si="33"/>
        <v>1.7188000000000001</v>
      </c>
      <c r="G134" s="92">
        <f t="shared" si="33"/>
        <v>7.3875599999155384E-2</v>
      </c>
      <c r="H134" s="92">
        <f t="shared" si="34"/>
        <v>2.9542734400000006</v>
      </c>
      <c r="I134" s="92">
        <f t="shared" si="35"/>
        <v>5.0778051886720013</v>
      </c>
      <c r="J134" s="92">
        <f t="shared" si="36"/>
        <v>8.7277315582894364</v>
      </c>
      <c r="K134" s="92">
        <f t="shared" si="37"/>
        <v>0.12697738127854827</v>
      </c>
      <c r="L134" s="92">
        <f t="shared" si="38"/>
        <v>0.21824872294156877</v>
      </c>
      <c r="M134" s="92">
        <f t="shared" ca="1" si="30"/>
        <v>7.3826211069103517E-2</v>
      </c>
      <c r="N134" s="92">
        <f t="shared" ca="1" si="39"/>
        <v>2.4392664116681407E-9</v>
      </c>
      <c r="O134" s="112">
        <f t="shared" ca="1" si="40"/>
        <v>106998.37071377938</v>
      </c>
      <c r="P134" s="92">
        <f t="shared" ca="1" si="41"/>
        <v>828484.88386418321</v>
      </c>
      <c r="Q134" s="92">
        <f t="shared" ca="1" si="42"/>
        <v>173877.96534062497</v>
      </c>
      <c r="R134" s="25">
        <f t="shared" ca="1" si="31"/>
        <v>4.9388930051866287E-5</v>
      </c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x14ac:dyDescent="0.2">
      <c r="A135" s="102">
        <v>17188</v>
      </c>
      <c r="B135" s="102">
        <v>7.4175599998852704E-2</v>
      </c>
      <c r="C135" s="102">
        <v>1</v>
      </c>
      <c r="D135" s="103">
        <f t="shared" si="32"/>
        <v>1.7188000000000001</v>
      </c>
      <c r="E135" s="103">
        <f t="shared" si="32"/>
        <v>7.4175599998852704E-2</v>
      </c>
      <c r="F135" s="92">
        <f t="shared" si="33"/>
        <v>1.7188000000000001</v>
      </c>
      <c r="G135" s="92">
        <f t="shared" si="33"/>
        <v>7.4175599998852704E-2</v>
      </c>
      <c r="H135" s="92">
        <f t="shared" si="34"/>
        <v>2.9542734400000006</v>
      </c>
      <c r="I135" s="92">
        <f t="shared" si="35"/>
        <v>5.0778051886720013</v>
      </c>
      <c r="J135" s="92">
        <f t="shared" si="36"/>
        <v>8.7277315582894364</v>
      </c>
      <c r="K135" s="92">
        <f t="shared" si="37"/>
        <v>0.12749302127802803</v>
      </c>
      <c r="L135" s="92">
        <f t="shared" si="38"/>
        <v>0.2191350049726746</v>
      </c>
      <c r="M135" s="92">
        <f t="shared" ca="1" si="30"/>
        <v>7.3826211069103517E-2</v>
      </c>
      <c r="N135" s="92">
        <f t="shared" ca="1" si="39"/>
        <v>1.2207262423128195E-7</v>
      </c>
      <c r="O135" s="112">
        <f t="shared" ca="1" si="40"/>
        <v>106998.37071377938</v>
      </c>
      <c r="P135" s="92">
        <f t="shared" ca="1" si="41"/>
        <v>828484.88386418321</v>
      </c>
      <c r="Q135" s="92">
        <f t="shared" ca="1" si="42"/>
        <v>173877.96534062497</v>
      </c>
      <c r="R135" s="25">
        <f t="shared" ca="1" si="31"/>
        <v>3.4938892974918645E-4</v>
      </c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x14ac:dyDescent="0.2">
      <c r="A136" s="102">
        <v>17188</v>
      </c>
      <c r="B136" s="102">
        <v>7.4255600004107691E-2</v>
      </c>
      <c r="C136" s="102">
        <v>1</v>
      </c>
      <c r="D136" s="103">
        <f t="shared" si="32"/>
        <v>1.7188000000000001</v>
      </c>
      <c r="E136" s="103">
        <f t="shared" si="32"/>
        <v>7.4255600004107691E-2</v>
      </c>
      <c r="F136" s="92">
        <f t="shared" si="33"/>
        <v>1.7188000000000001</v>
      </c>
      <c r="G136" s="92">
        <f t="shared" si="33"/>
        <v>7.4255600004107691E-2</v>
      </c>
      <c r="H136" s="92">
        <f t="shared" si="34"/>
        <v>2.9542734400000006</v>
      </c>
      <c r="I136" s="92">
        <f t="shared" si="35"/>
        <v>5.0778051886720013</v>
      </c>
      <c r="J136" s="92">
        <f t="shared" si="36"/>
        <v>8.7277315582894364</v>
      </c>
      <c r="K136" s="92">
        <f t="shared" si="37"/>
        <v>0.12763052528706031</v>
      </c>
      <c r="L136" s="92">
        <f t="shared" si="38"/>
        <v>0.21937134686339929</v>
      </c>
      <c r="M136" s="92">
        <f t="shared" ca="1" si="30"/>
        <v>7.3826211069103517E-2</v>
      </c>
      <c r="N136" s="92">
        <f t="shared" ca="1" si="39"/>
        <v>1.8437485750401882E-7</v>
      </c>
      <c r="O136" s="112">
        <f t="shared" ca="1" si="40"/>
        <v>106998.37071377938</v>
      </c>
      <c r="P136" s="92">
        <f t="shared" ca="1" si="41"/>
        <v>828484.88386418321</v>
      </c>
      <c r="Q136" s="92">
        <f t="shared" ca="1" si="42"/>
        <v>173877.96534062497</v>
      </c>
      <c r="R136" s="25">
        <f t="shared" ca="1" si="31"/>
        <v>4.2938893500417408E-4</v>
      </c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x14ac:dyDescent="0.2">
      <c r="A137" s="102">
        <v>17188</v>
      </c>
      <c r="B137" s="102">
        <v>7.4275600003602449E-2</v>
      </c>
      <c r="C137" s="102">
        <v>1</v>
      </c>
      <c r="D137" s="103">
        <f t="shared" si="32"/>
        <v>1.7188000000000001</v>
      </c>
      <c r="E137" s="103">
        <f t="shared" si="32"/>
        <v>7.4275600003602449E-2</v>
      </c>
      <c r="F137" s="92">
        <f t="shared" si="33"/>
        <v>1.7188000000000001</v>
      </c>
      <c r="G137" s="92">
        <f t="shared" si="33"/>
        <v>7.4275600003602449E-2</v>
      </c>
      <c r="H137" s="92">
        <f t="shared" si="34"/>
        <v>2.9542734400000006</v>
      </c>
      <c r="I137" s="92">
        <f t="shared" si="35"/>
        <v>5.0778051886720013</v>
      </c>
      <c r="J137" s="92">
        <f t="shared" si="36"/>
        <v>8.7277315582894364</v>
      </c>
      <c r="K137" s="92">
        <f t="shared" si="37"/>
        <v>0.1276649012861919</v>
      </c>
      <c r="L137" s="92">
        <f t="shared" si="38"/>
        <v>0.21943043233070667</v>
      </c>
      <c r="M137" s="92">
        <f t="shared" ca="1" si="30"/>
        <v>7.3826211069103517E-2</v>
      </c>
      <c r="N137" s="92">
        <f t="shared" ca="1" si="39"/>
        <v>2.0195041445008501E-7</v>
      </c>
      <c r="O137" s="112">
        <f t="shared" ca="1" si="40"/>
        <v>106998.37071377938</v>
      </c>
      <c r="P137" s="92">
        <f t="shared" ca="1" si="41"/>
        <v>828484.88386418321</v>
      </c>
      <c r="Q137" s="92">
        <f t="shared" ca="1" si="42"/>
        <v>173877.96534062497</v>
      </c>
      <c r="R137" s="25">
        <f t="shared" ca="1" si="31"/>
        <v>4.4938893449893158E-4</v>
      </c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x14ac:dyDescent="0.2">
      <c r="A138" s="102">
        <v>17205</v>
      </c>
      <c r="B138" s="102">
        <v>7.3908500002289657E-2</v>
      </c>
      <c r="C138" s="102">
        <v>1</v>
      </c>
      <c r="D138" s="103">
        <f t="shared" si="32"/>
        <v>1.7204999999999999</v>
      </c>
      <c r="E138" s="103">
        <f t="shared" si="32"/>
        <v>7.3908500002289657E-2</v>
      </c>
      <c r="F138" s="92">
        <f t="shared" si="33"/>
        <v>1.7204999999999999</v>
      </c>
      <c r="G138" s="92">
        <f t="shared" si="33"/>
        <v>7.3908500002289657E-2</v>
      </c>
      <c r="H138" s="92">
        <f t="shared" si="34"/>
        <v>2.9601202499999997</v>
      </c>
      <c r="I138" s="92">
        <f t="shared" si="35"/>
        <v>5.0928868901249995</v>
      </c>
      <c r="J138" s="92">
        <f t="shared" si="36"/>
        <v>8.762311894460062</v>
      </c>
      <c r="K138" s="92">
        <f t="shared" si="37"/>
        <v>0.12715957425393934</v>
      </c>
      <c r="L138" s="92">
        <f t="shared" si="38"/>
        <v>0.21877804750390262</v>
      </c>
      <c r="M138" s="92">
        <f t="shared" ca="1" si="30"/>
        <v>7.3969034959804419E-2</v>
      </c>
      <c r="N138" s="92">
        <f t="shared" ca="1" si="39"/>
        <v>3.6644810813141493E-9</v>
      </c>
      <c r="O138" s="112">
        <f t="shared" ca="1" si="40"/>
        <v>102034.88070096372</v>
      </c>
      <c r="P138" s="92">
        <f t="shared" ca="1" si="41"/>
        <v>738374.74001464958</v>
      </c>
      <c r="Q138" s="92">
        <f t="shared" ca="1" si="42"/>
        <v>198349.87396262767</v>
      </c>
      <c r="R138" s="25">
        <f t="shared" ca="1" si="31"/>
        <v>-6.0534957514762899E-5</v>
      </c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x14ac:dyDescent="0.2">
      <c r="A139" s="102">
        <v>17243</v>
      </c>
      <c r="B139" s="102">
        <v>7.5029099993116688E-2</v>
      </c>
      <c r="C139" s="102">
        <v>1</v>
      </c>
      <c r="D139" s="103">
        <f t="shared" si="32"/>
        <v>1.7242999999999999</v>
      </c>
      <c r="E139" s="103">
        <f t="shared" si="32"/>
        <v>7.5029099993116688E-2</v>
      </c>
      <c r="F139" s="92">
        <f t="shared" si="33"/>
        <v>1.7242999999999999</v>
      </c>
      <c r="G139" s="92">
        <f t="shared" si="33"/>
        <v>7.5029099993116688E-2</v>
      </c>
      <c r="H139" s="92">
        <f t="shared" si="34"/>
        <v>2.9732104899999996</v>
      </c>
      <c r="I139" s="92">
        <f t="shared" si="35"/>
        <v>5.1267068479069993</v>
      </c>
      <c r="J139" s="92">
        <f t="shared" si="36"/>
        <v>8.8399806178460381</v>
      </c>
      <c r="K139" s="92">
        <f t="shared" si="37"/>
        <v>0.12937267711813111</v>
      </c>
      <c r="L139" s="92">
        <f t="shared" si="38"/>
        <v>0.22307730715479346</v>
      </c>
      <c r="M139" s="92">
        <f t="shared" ca="1" si="30"/>
        <v>7.4288796508839239E-2</v>
      </c>
      <c r="N139" s="92">
        <f t="shared" ca="1" si="39"/>
        <v>5.4804924883333146E-7</v>
      </c>
      <c r="O139" s="112">
        <f t="shared" ca="1" si="40"/>
        <v>91302.456452154889</v>
      </c>
      <c r="P139" s="92">
        <f t="shared" ca="1" si="41"/>
        <v>555018.81090990338</v>
      </c>
      <c r="Q139" s="92">
        <f t="shared" ca="1" si="42"/>
        <v>259115.42738540823</v>
      </c>
      <c r="R139" s="25">
        <f t="shared" ca="1" si="31"/>
        <v>7.4030348427744919E-4</v>
      </c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x14ac:dyDescent="0.2">
      <c r="A140" s="102">
        <v>17258</v>
      </c>
      <c r="B140" s="102">
        <v>7.4734599998919293E-2</v>
      </c>
      <c r="C140" s="102">
        <v>1</v>
      </c>
      <c r="D140" s="103">
        <f t="shared" si="32"/>
        <v>1.7258</v>
      </c>
      <c r="E140" s="103">
        <f t="shared" si="32"/>
        <v>7.4734599998919293E-2</v>
      </c>
      <c r="F140" s="92">
        <f t="shared" si="33"/>
        <v>1.7258</v>
      </c>
      <c r="G140" s="92">
        <f t="shared" si="33"/>
        <v>7.4734599998919293E-2</v>
      </c>
      <c r="H140" s="92">
        <f t="shared" si="34"/>
        <v>2.9783856399999999</v>
      </c>
      <c r="I140" s="92">
        <f t="shared" si="35"/>
        <v>5.1400979375119995</v>
      </c>
      <c r="J140" s="92">
        <f t="shared" si="36"/>
        <v>8.8707810205582085</v>
      </c>
      <c r="K140" s="92">
        <f t="shared" si="37"/>
        <v>0.1289769726781349</v>
      </c>
      <c r="L140" s="92">
        <f t="shared" si="38"/>
        <v>0.22258845944792521</v>
      </c>
      <c r="M140" s="92">
        <f t="shared" ca="1" si="30"/>
        <v>7.4415211463028527E-2</v>
      </c>
      <c r="N140" s="92">
        <f t="shared" ca="1" si="39"/>
        <v>1.0200903685844719E-7</v>
      </c>
      <c r="O140" s="112">
        <f t="shared" ca="1" si="40"/>
        <v>87206.390857595776</v>
      </c>
      <c r="P140" s="92">
        <f t="shared" ca="1" si="41"/>
        <v>489587.60487625259</v>
      </c>
      <c r="Q140" s="92">
        <f t="shared" ca="1" si="42"/>
        <v>285429.34753719205</v>
      </c>
      <c r="R140" s="25">
        <f t="shared" ca="1" si="31"/>
        <v>3.193885358907661E-4</v>
      </c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x14ac:dyDescent="0.2">
      <c r="A141" s="102">
        <v>17287.5</v>
      </c>
      <c r="B141" s="102">
        <v>7.4888749993988313E-2</v>
      </c>
      <c r="C141" s="102">
        <v>1</v>
      </c>
      <c r="D141" s="103">
        <f t="shared" si="32"/>
        <v>1.72875</v>
      </c>
      <c r="E141" s="103">
        <f t="shared" si="32"/>
        <v>7.4888749993988313E-2</v>
      </c>
      <c r="F141" s="92">
        <f t="shared" si="33"/>
        <v>1.72875</v>
      </c>
      <c r="G141" s="92">
        <f t="shared" si="33"/>
        <v>7.4888749993988313E-2</v>
      </c>
      <c r="H141" s="92">
        <f t="shared" si="34"/>
        <v>2.9885765625</v>
      </c>
      <c r="I141" s="92">
        <f t="shared" si="35"/>
        <v>5.1665017324218754</v>
      </c>
      <c r="J141" s="92">
        <f t="shared" si="36"/>
        <v>8.9315898699243164</v>
      </c>
      <c r="K141" s="92">
        <f t="shared" si="37"/>
        <v>0.12946392655210728</v>
      </c>
      <c r="L141" s="92">
        <f t="shared" si="38"/>
        <v>0.22381076302695546</v>
      </c>
      <c r="M141" s="92">
        <f t="shared" ca="1" si="30"/>
        <v>7.4664146711392307E-2</v>
      </c>
      <c r="N141" s="92">
        <f t="shared" ca="1" si="39"/>
        <v>5.0446634552901296E-8</v>
      </c>
      <c r="O141" s="112">
        <f t="shared" ca="1" si="40"/>
        <v>79387.657540068743</v>
      </c>
      <c r="P141" s="92">
        <f t="shared" ca="1" si="41"/>
        <v>372520.34902765497</v>
      </c>
      <c r="Q141" s="92">
        <f t="shared" ca="1" si="42"/>
        <v>341064.41999982623</v>
      </c>
      <c r="R141" s="25">
        <f t="shared" ca="1" si="31"/>
        <v>2.2460328259600593E-4</v>
      </c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x14ac:dyDescent="0.2">
      <c r="A142" s="102">
        <v>17347</v>
      </c>
      <c r="B142" s="102">
        <v>7.5753899996925611E-2</v>
      </c>
      <c r="C142" s="102">
        <v>1</v>
      </c>
      <c r="D142" s="103">
        <f t="shared" si="32"/>
        <v>1.7346999999999999</v>
      </c>
      <c r="E142" s="103">
        <f t="shared" si="32"/>
        <v>7.5753899996925611E-2</v>
      </c>
      <c r="F142" s="92">
        <f t="shared" si="33"/>
        <v>1.7346999999999999</v>
      </c>
      <c r="G142" s="92">
        <f t="shared" si="33"/>
        <v>7.5753899996925611E-2</v>
      </c>
      <c r="H142" s="92">
        <f t="shared" si="34"/>
        <v>3.0091840899999998</v>
      </c>
      <c r="I142" s="92">
        <f t="shared" si="35"/>
        <v>5.2200316409229996</v>
      </c>
      <c r="J142" s="92">
        <f t="shared" si="36"/>
        <v>9.0551888875091269</v>
      </c>
      <c r="K142" s="92">
        <f t="shared" si="37"/>
        <v>0.13141029032466686</v>
      </c>
      <c r="L142" s="92">
        <f t="shared" si="38"/>
        <v>0.22795743062619958</v>
      </c>
      <c r="M142" s="92">
        <f t="shared" ca="1" si="30"/>
        <v>7.5167523956166493E-2</v>
      </c>
      <c r="N142" s="92">
        <f t="shared" ca="1" si="39"/>
        <v>3.4383686117633864E-7</v>
      </c>
      <c r="O142" s="112">
        <f t="shared" ca="1" si="40"/>
        <v>64598.756457431569</v>
      </c>
      <c r="P142" s="92">
        <f t="shared" ca="1" si="41"/>
        <v>183989.18602945894</v>
      </c>
      <c r="Q142" s="92">
        <f t="shared" ca="1" si="42"/>
        <v>469156.30051623355</v>
      </c>
      <c r="R142" s="25">
        <f t="shared" ca="1" si="31"/>
        <v>5.8637604075911787E-4</v>
      </c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x14ac:dyDescent="0.2">
      <c r="A143" s="102">
        <v>17829</v>
      </c>
      <c r="B143" s="102">
        <v>7.6157299998158123E-2</v>
      </c>
      <c r="C143" s="102">
        <v>1</v>
      </c>
      <c r="D143" s="103">
        <f t="shared" si="32"/>
        <v>1.7828999999999999</v>
      </c>
      <c r="E143" s="103">
        <f t="shared" si="32"/>
        <v>7.6157299998158123E-2</v>
      </c>
      <c r="F143" s="92">
        <f t="shared" si="33"/>
        <v>1.7828999999999999</v>
      </c>
      <c r="G143" s="92">
        <f t="shared" si="33"/>
        <v>7.6157299998158123E-2</v>
      </c>
      <c r="H143" s="92">
        <f t="shared" si="34"/>
        <v>3.1787324099999998</v>
      </c>
      <c r="I143" s="92">
        <f t="shared" si="35"/>
        <v>5.6673620137889991</v>
      </c>
      <c r="J143" s="92">
        <f t="shared" si="36"/>
        <v>10.104339734384405</v>
      </c>
      <c r="K143" s="92">
        <f t="shared" si="37"/>
        <v>0.13578085016671612</v>
      </c>
      <c r="L143" s="92">
        <f t="shared" si="38"/>
        <v>0.24208367776223816</v>
      </c>
      <c r="M143" s="92">
        <f t="shared" ca="1" si="30"/>
        <v>7.9308760877725162E-2</v>
      </c>
      <c r="N143" s="92">
        <f t="shared" ca="1" si="39"/>
        <v>9.9317056754414554E-6</v>
      </c>
      <c r="O143" s="112">
        <f t="shared" ca="1" si="40"/>
        <v>304.09367428738273</v>
      </c>
      <c r="P143" s="92">
        <f t="shared" ca="1" si="41"/>
        <v>1206000.5377591259</v>
      </c>
      <c r="Q143" s="92">
        <f t="shared" ca="1" si="42"/>
        <v>2347276.4587902189</v>
      </c>
      <c r="R143" s="25">
        <f t="shared" ca="1" si="31"/>
        <v>-3.151460879567039E-3</v>
      </c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x14ac:dyDescent="0.2">
      <c r="A144" s="102">
        <v>17829</v>
      </c>
      <c r="B144" s="102">
        <v>7.6237300003413111E-2</v>
      </c>
      <c r="C144" s="102">
        <v>1</v>
      </c>
      <c r="D144" s="103">
        <f t="shared" si="32"/>
        <v>1.7828999999999999</v>
      </c>
      <c r="E144" s="103">
        <f t="shared" si="32"/>
        <v>7.6237300003413111E-2</v>
      </c>
      <c r="F144" s="92">
        <f t="shared" si="33"/>
        <v>1.7828999999999999</v>
      </c>
      <c r="G144" s="92">
        <f t="shared" si="33"/>
        <v>7.6237300003413111E-2</v>
      </c>
      <c r="H144" s="92">
        <f t="shared" si="34"/>
        <v>3.1787324099999998</v>
      </c>
      <c r="I144" s="92">
        <f t="shared" si="35"/>
        <v>5.6673620137889991</v>
      </c>
      <c r="J144" s="92">
        <f t="shared" si="36"/>
        <v>10.104339734384405</v>
      </c>
      <c r="K144" s="92">
        <f t="shared" si="37"/>
        <v>0.13592348217608524</v>
      </c>
      <c r="L144" s="92">
        <f t="shared" si="38"/>
        <v>0.24233797637174237</v>
      </c>
      <c r="M144" s="92">
        <f t="shared" ca="1" si="30"/>
        <v>7.9308760877725162E-2</v>
      </c>
      <c r="N144" s="92">
        <f t="shared" ca="1" si="39"/>
        <v>9.433871902429751E-6</v>
      </c>
      <c r="O144" s="112">
        <f t="shared" ca="1" si="40"/>
        <v>304.09367428738273</v>
      </c>
      <c r="P144" s="92">
        <f t="shared" ca="1" si="41"/>
        <v>1206000.5377591259</v>
      </c>
      <c r="Q144" s="92">
        <f t="shared" ca="1" si="42"/>
        <v>2347276.4587902189</v>
      </c>
      <c r="R144" s="25">
        <f t="shared" ca="1" si="31"/>
        <v>-3.0714608743120514E-3</v>
      </c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x14ac:dyDescent="0.2">
      <c r="A145" s="102">
        <v>17829</v>
      </c>
      <c r="B145" s="102">
        <v>7.6257300002907868E-2</v>
      </c>
      <c r="C145" s="102">
        <v>1</v>
      </c>
      <c r="D145" s="103">
        <f t="shared" si="32"/>
        <v>1.7828999999999999</v>
      </c>
      <c r="E145" s="103">
        <f t="shared" si="32"/>
        <v>7.6257300002907868E-2</v>
      </c>
      <c r="F145" s="92">
        <f t="shared" si="33"/>
        <v>1.7828999999999999</v>
      </c>
      <c r="G145" s="92">
        <f t="shared" si="33"/>
        <v>7.6257300002907868E-2</v>
      </c>
      <c r="H145" s="92">
        <f t="shared" si="34"/>
        <v>3.1787324099999998</v>
      </c>
      <c r="I145" s="92">
        <f t="shared" si="35"/>
        <v>5.6673620137889991</v>
      </c>
      <c r="J145" s="92">
        <f t="shared" si="36"/>
        <v>10.104339734384405</v>
      </c>
      <c r="K145" s="92">
        <f t="shared" si="37"/>
        <v>0.13595914017518443</v>
      </c>
      <c r="L145" s="92">
        <f t="shared" si="38"/>
        <v>0.2424015510183363</v>
      </c>
      <c r="M145" s="92">
        <f t="shared" ca="1" si="30"/>
        <v>7.9308760877725162E-2</v>
      </c>
      <c r="N145" s="92">
        <f t="shared" ca="1" si="39"/>
        <v>9.3114134705407249E-6</v>
      </c>
      <c r="O145" s="112">
        <f t="shared" ca="1" si="40"/>
        <v>304.09367428738273</v>
      </c>
      <c r="P145" s="92">
        <f t="shared" ca="1" si="41"/>
        <v>1206000.5377591259</v>
      </c>
      <c r="Q145" s="92">
        <f t="shared" ca="1" si="42"/>
        <v>2347276.4587902189</v>
      </c>
      <c r="R145" s="25">
        <f t="shared" ca="1" si="31"/>
        <v>-3.0514608748172939E-3</v>
      </c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x14ac:dyDescent="0.2">
      <c r="A146" s="102">
        <v>17829</v>
      </c>
      <c r="B146" s="102">
        <v>7.7457300001697149E-2</v>
      </c>
      <c r="C146" s="102">
        <v>1</v>
      </c>
      <c r="D146" s="103">
        <f t="shared" si="32"/>
        <v>1.7828999999999999</v>
      </c>
      <c r="E146" s="103">
        <f t="shared" si="32"/>
        <v>7.7457300001697149E-2</v>
      </c>
      <c r="F146" s="92">
        <f t="shared" si="33"/>
        <v>1.7828999999999999</v>
      </c>
      <c r="G146" s="92">
        <f t="shared" si="33"/>
        <v>7.7457300001697149E-2</v>
      </c>
      <c r="H146" s="92">
        <f t="shared" si="34"/>
        <v>3.1787324099999998</v>
      </c>
      <c r="I146" s="92">
        <f t="shared" si="35"/>
        <v>5.6673620137889991</v>
      </c>
      <c r="J146" s="92">
        <f t="shared" si="36"/>
        <v>10.104339734384405</v>
      </c>
      <c r="K146" s="92">
        <f t="shared" si="37"/>
        <v>0.13809862017302585</v>
      </c>
      <c r="L146" s="92">
        <f t="shared" si="38"/>
        <v>0.24621602990648778</v>
      </c>
      <c r="M146" s="92">
        <f t="shared" ca="1" si="30"/>
        <v>7.9308760877725162E-2</v>
      </c>
      <c r="N146" s="92">
        <f t="shared" ca="1" si="39"/>
        <v>3.4279073754624182E-6</v>
      </c>
      <c r="O146" s="112">
        <f t="shared" ca="1" si="40"/>
        <v>304.09367428738273</v>
      </c>
      <c r="P146" s="92">
        <f t="shared" ca="1" si="41"/>
        <v>1206000.5377591259</v>
      </c>
      <c r="Q146" s="92">
        <f t="shared" ca="1" si="42"/>
        <v>2347276.4587902189</v>
      </c>
      <c r="R146" s="25">
        <f t="shared" ca="1" si="31"/>
        <v>-1.8514608760280132E-3</v>
      </c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x14ac:dyDescent="0.2">
      <c r="A147" s="102">
        <v>17829</v>
      </c>
      <c r="B147" s="102">
        <v>7.7537299999676179E-2</v>
      </c>
      <c r="C147" s="102">
        <v>1</v>
      </c>
      <c r="D147" s="103">
        <f t="shared" si="32"/>
        <v>1.7828999999999999</v>
      </c>
      <c r="E147" s="103">
        <f t="shared" si="32"/>
        <v>7.7537299999676179E-2</v>
      </c>
      <c r="F147" s="92">
        <f t="shared" si="33"/>
        <v>1.7828999999999999</v>
      </c>
      <c r="G147" s="92">
        <f t="shared" si="33"/>
        <v>7.7537299999676179E-2</v>
      </c>
      <c r="H147" s="92">
        <f t="shared" si="34"/>
        <v>3.1787324099999998</v>
      </c>
      <c r="I147" s="92">
        <f t="shared" si="35"/>
        <v>5.6673620137889991</v>
      </c>
      <c r="J147" s="92">
        <f t="shared" si="36"/>
        <v>10.104339734384405</v>
      </c>
      <c r="K147" s="92">
        <f t="shared" si="37"/>
        <v>0.13824125216942265</v>
      </c>
      <c r="L147" s="92">
        <f t="shared" si="38"/>
        <v>0.24647032849286363</v>
      </c>
      <c r="M147" s="92">
        <f t="shared" ca="1" si="30"/>
        <v>7.9308760877725162E-2</v>
      </c>
      <c r="N147" s="92">
        <f t="shared" ca="1" si="39"/>
        <v>3.1380736424580745E-6</v>
      </c>
      <c r="O147" s="112">
        <f t="shared" ca="1" si="40"/>
        <v>304.09367428738273</v>
      </c>
      <c r="P147" s="92">
        <f t="shared" ca="1" si="41"/>
        <v>1206000.5377591259</v>
      </c>
      <c r="Q147" s="92">
        <f t="shared" ca="1" si="42"/>
        <v>2347276.4587902189</v>
      </c>
      <c r="R147" s="25">
        <f t="shared" ca="1" si="31"/>
        <v>-1.7714608780489832E-3</v>
      </c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x14ac:dyDescent="0.2">
      <c r="A148" s="102">
        <v>17829</v>
      </c>
      <c r="B148" s="102">
        <v>7.7557299999170937E-2</v>
      </c>
      <c r="C148" s="102">
        <v>1</v>
      </c>
      <c r="D148" s="103">
        <f t="shared" si="32"/>
        <v>1.7828999999999999</v>
      </c>
      <c r="E148" s="103">
        <f t="shared" si="32"/>
        <v>7.7557299999170937E-2</v>
      </c>
      <c r="F148" s="92">
        <f t="shared" si="33"/>
        <v>1.7828999999999999</v>
      </c>
      <c r="G148" s="92">
        <f t="shared" si="33"/>
        <v>7.7557299999170937E-2</v>
      </c>
      <c r="H148" s="92">
        <f t="shared" si="34"/>
        <v>3.1787324099999998</v>
      </c>
      <c r="I148" s="92">
        <f t="shared" si="35"/>
        <v>5.6673620137889991</v>
      </c>
      <c r="J148" s="92">
        <f t="shared" si="36"/>
        <v>10.104339734384405</v>
      </c>
      <c r="K148" s="92">
        <f t="shared" si="37"/>
        <v>0.13827691016852187</v>
      </c>
      <c r="L148" s="92">
        <f t="shared" si="38"/>
        <v>0.24653390313945764</v>
      </c>
      <c r="M148" s="92">
        <f t="shared" ca="1" si="30"/>
        <v>7.9308760877725162E-2</v>
      </c>
      <c r="N148" s="92">
        <f t="shared" ca="1" si="39"/>
        <v>3.0676152091059402E-6</v>
      </c>
      <c r="O148" s="112">
        <f t="shared" ca="1" si="40"/>
        <v>304.09367428738273</v>
      </c>
      <c r="P148" s="92">
        <f t="shared" ca="1" si="41"/>
        <v>1206000.5377591259</v>
      </c>
      <c r="Q148" s="92">
        <f t="shared" ca="1" si="42"/>
        <v>2347276.4587902189</v>
      </c>
      <c r="R148" s="25">
        <f t="shared" ca="1" si="31"/>
        <v>-1.7514608785542257E-3</v>
      </c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x14ac:dyDescent="0.2">
      <c r="A149" s="102">
        <v>17829</v>
      </c>
      <c r="B149" s="102">
        <v>7.8057300001091789E-2</v>
      </c>
      <c r="C149" s="102">
        <v>1</v>
      </c>
      <c r="D149" s="103">
        <f t="shared" si="32"/>
        <v>1.7828999999999999</v>
      </c>
      <c r="E149" s="103">
        <f t="shared" si="32"/>
        <v>7.8057300001091789E-2</v>
      </c>
      <c r="F149" s="92">
        <f t="shared" si="33"/>
        <v>1.7828999999999999</v>
      </c>
      <c r="G149" s="92">
        <f t="shared" si="33"/>
        <v>7.8057300001091789E-2</v>
      </c>
      <c r="H149" s="92">
        <f t="shared" si="34"/>
        <v>3.1787324099999998</v>
      </c>
      <c r="I149" s="92">
        <f t="shared" si="35"/>
        <v>5.6673620137889991</v>
      </c>
      <c r="J149" s="92">
        <f t="shared" si="36"/>
        <v>10.104339734384405</v>
      </c>
      <c r="K149" s="92">
        <f t="shared" si="37"/>
        <v>0.13916836017194656</v>
      </c>
      <c r="L149" s="92">
        <f t="shared" si="38"/>
        <v>0.2481232693505635</v>
      </c>
      <c r="M149" s="92">
        <f t="shared" ca="1" si="30"/>
        <v>7.9308760877725162E-2</v>
      </c>
      <c r="N149" s="92">
        <f t="shared" ca="1" si="39"/>
        <v>1.5661543257439702E-6</v>
      </c>
      <c r="O149" s="112">
        <f t="shared" ca="1" si="40"/>
        <v>304.09367428738273</v>
      </c>
      <c r="P149" s="92">
        <f t="shared" ca="1" si="41"/>
        <v>1206000.5377591259</v>
      </c>
      <c r="Q149" s="92">
        <f t="shared" ca="1" si="42"/>
        <v>2347276.4587902189</v>
      </c>
      <c r="R149" s="25">
        <f t="shared" ca="1" si="31"/>
        <v>-1.2514608766333729E-3</v>
      </c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x14ac:dyDescent="0.2">
      <c r="A150" s="102">
        <v>17829</v>
      </c>
      <c r="B150" s="102">
        <v>7.8137299999070819E-2</v>
      </c>
      <c r="C150" s="102">
        <v>1</v>
      </c>
      <c r="D150" s="103">
        <f t="shared" si="32"/>
        <v>1.7828999999999999</v>
      </c>
      <c r="E150" s="103">
        <f t="shared" si="32"/>
        <v>7.8137299999070819E-2</v>
      </c>
      <c r="F150" s="92">
        <f t="shared" si="33"/>
        <v>1.7828999999999999</v>
      </c>
      <c r="G150" s="92">
        <f t="shared" si="33"/>
        <v>7.8137299999070819E-2</v>
      </c>
      <c r="H150" s="92">
        <f t="shared" si="34"/>
        <v>3.1787324099999998</v>
      </c>
      <c r="I150" s="92">
        <f t="shared" si="35"/>
        <v>5.6673620137889991</v>
      </c>
      <c r="J150" s="92">
        <f t="shared" si="36"/>
        <v>10.104339734384405</v>
      </c>
      <c r="K150" s="92">
        <f t="shared" si="37"/>
        <v>0.13931099216834336</v>
      </c>
      <c r="L150" s="92">
        <f t="shared" si="38"/>
        <v>0.24837756793693938</v>
      </c>
      <c r="M150" s="92">
        <f t="shared" ca="1" si="30"/>
        <v>7.9308760877725162E-2</v>
      </c>
      <c r="N150" s="92">
        <f t="shared" ca="1" si="39"/>
        <v>1.372320590217605E-6</v>
      </c>
      <c r="O150" s="112">
        <f t="shared" ca="1" si="40"/>
        <v>304.09367428738273</v>
      </c>
      <c r="P150" s="92">
        <f t="shared" ca="1" si="41"/>
        <v>1206000.5377591259</v>
      </c>
      <c r="Q150" s="92">
        <f t="shared" ca="1" si="42"/>
        <v>2347276.4587902189</v>
      </c>
      <c r="R150" s="25">
        <f t="shared" ca="1" si="31"/>
        <v>-1.1714608786543429E-3</v>
      </c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x14ac:dyDescent="0.2">
      <c r="A151" s="102">
        <v>17829</v>
      </c>
      <c r="B151" s="102">
        <v>7.8157299998565577E-2</v>
      </c>
      <c r="C151" s="102">
        <v>1</v>
      </c>
      <c r="D151" s="103">
        <f t="shared" si="32"/>
        <v>1.7828999999999999</v>
      </c>
      <c r="E151" s="103">
        <f t="shared" si="32"/>
        <v>7.8157299998565577E-2</v>
      </c>
      <c r="F151" s="92">
        <f t="shared" si="33"/>
        <v>1.7828999999999999</v>
      </c>
      <c r="G151" s="92">
        <f t="shared" si="33"/>
        <v>7.8157299998565577E-2</v>
      </c>
      <c r="H151" s="92">
        <f t="shared" si="34"/>
        <v>3.1787324099999998</v>
      </c>
      <c r="I151" s="92">
        <f t="shared" si="35"/>
        <v>5.6673620137889991</v>
      </c>
      <c r="J151" s="92">
        <f t="shared" si="36"/>
        <v>10.104339734384405</v>
      </c>
      <c r="K151" s="92">
        <f t="shared" si="37"/>
        <v>0.13934665016744255</v>
      </c>
      <c r="L151" s="92">
        <f t="shared" si="38"/>
        <v>0.24844114258353331</v>
      </c>
      <c r="M151" s="92">
        <f t="shared" ca="1" si="30"/>
        <v>7.9308760877725162E-2</v>
      </c>
      <c r="N151" s="92">
        <f t="shared" ca="1" si="39"/>
        <v>1.3258621562349653E-6</v>
      </c>
      <c r="O151" s="112">
        <f t="shared" ca="1" si="40"/>
        <v>304.09367428738273</v>
      </c>
      <c r="P151" s="92">
        <f t="shared" ca="1" si="41"/>
        <v>1206000.5377591259</v>
      </c>
      <c r="Q151" s="92">
        <f t="shared" ca="1" si="42"/>
        <v>2347276.4587902189</v>
      </c>
      <c r="R151" s="25">
        <f t="shared" ca="1" si="31"/>
        <v>-1.1514608791595854E-3</v>
      </c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x14ac:dyDescent="0.2">
      <c r="A152" s="102">
        <v>17880</v>
      </c>
      <c r="B152" s="102">
        <v>8.1055999995442107E-2</v>
      </c>
      <c r="C152" s="102">
        <v>1</v>
      </c>
      <c r="D152" s="103">
        <f t="shared" si="32"/>
        <v>1.788</v>
      </c>
      <c r="E152" s="103">
        <f t="shared" si="32"/>
        <v>8.1055999995442107E-2</v>
      </c>
      <c r="F152" s="92">
        <f t="shared" si="33"/>
        <v>1.788</v>
      </c>
      <c r="G152" s="92">
        <f t="shared" si="33"/>
        <v>8.1055999995442107E-2</v>
      </c>
      <c r="H152" s="92">
        <f t="shared" si="34"/>
        <v>3.1969440000000002</v>
      </c>
      <c r="I152" s="92">
        <f t="shared" si="35"/>
        <v>5.7161358720000006</v>
      </c>
      <c r="J152" s="92">
        <f t="shared" si="36"/>
        <v>10.220450939136001</v>
      </c>
      <c r="K152" s="92">
        <f t="shared" si="37"/>
        <v>0.14492812799185048</v>
      </c>
      <c r="L152" s="92">
        <f t="shared" si="38"/>
        <v>0.25913149284942866</v>
      </c>
      <c r="M152" s="92">
        <f t="shared" ca="1" si="30"/>
        <v>7.9753550610358215E-2</v>
      </c>
      <c r="N152" s="92">
        <f t="shared" ca="1" si="39"/>
        <v>1.6963744007054097E-6</v>
      </c>
      <c r="O152" s="112">
        <f t="shared" ca="1" si="40"/>
        <v>80.675523250033677</v>
      </c>
      <c r="P152" s="92">
        <f t="shared" ca="1" si="41"/>
        <v>1602152.3018831394</v>
      </c>
      <c r="Q152" s="92">
        <f t="shared" ca="1" si="42"/>
        <v>2639910.0090474165</v>
      </c>
      <c r="R152" s="25">
        <f t="shared" ca="1" si="31"/>
        <v>1.3024493850838925E-3</v>
      </c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x14ac:dyDescent="0.2">
      <c r="A153" s="102">
        <v>17905.5</v>
      </c>
      <c r="B153" s="102">
        <v>8.4455349999188911E-2</v>
      </c>
      <c r="C153" s="102">
        <v>1</v>
      </c>
      <c r="D153" s="103">
        <f t="shared" si="32"/>
        <v>1.7905500000000001</v>
      </c>
      <c r="E153" s="103">
        <f t="shared" si="32"/>
        <v>8.4455349999188911E-2</v>
      </c>
      <c r="F153" s="92">
        <f t="shared" si="33"/>
        <v>1.7905500000000001</v>
      </c>
      <c r="G153" s="92">
        <f t="shared" si="33"/>
        <v>8.4455349999188911E-2</v>
      </c>
      <c r="H153" s="92">
        <f t="shared" si="34"/>
        <v>3.2060693025000004</v>
      </c>
      <c r="I153" s="92">
        <f t="shared" si="35"/>
        <v>5.740627389591376</v>
      </c>
      <c r="J153" s="92">
        <f t="shared" si="36"/>
        <v>10.278880372432839</v>
      </c>
      <c r="K153" s="92">
        <f t="shared" si="37"/>
        <v>0.15122152694104771</v>
      </c>
      <c r="L153" s="92">
        <f t="shared" si="38"/>
        <v>0.27076970506429299</v>
      </c>
      <c r="M153" s="92">
        <f t="shared" ca="1" si="30"/>
        <v>7.997641976680793E-2</v>
      </c>
      <c r="N153" s="92">
        <f t="shared" ca="1" si="39"/>
        <v>2.0060816026536353E-5</v>
      </c>
      <c r="O153" s="112">
        <f t="shared" ca="1" si="40"/>
        <v>496.86986653666997</v>
      </c>
      <c r="P153" s="92">
        <f t="shared" ca="1" si="41"/>
        <v>1822452.6574518885</v>
      </c>
      <c r="Q153" s="92">
        <f t="shared" ca="1" si="42"/>
        <v>2793406.1909400211</v>
      </c>
      <c r="R153" s="25">
        <f t="shared" ca="1" si="31"/>
        <v>4.4789302323809815E-3</v>
      </c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x14ac:dyDescent="0.2">
      <c r="A154" s="102">
        <v>17916</v>
      </c>
      <c r="B154" s="102">
        <v>8.0549199992674403E-2</v>
      </c>
      <c r="C154" s="102">
        <v>1</v>
      </c>
      <c r="D154" s="103">
        <f t="shared" si="32"/>
        <v>1.7916000000000001</v>
      </c>
      <c r="E154" s="103">
        <f t="shared" si="32"/>
        <v>8.0549199992674403E-2</v>
      </c>
      <c r="F154" s="92">
        <f t="shared" si="33"/>
        <v>1.7916000000000001</v>
      </c>
      <c r="G154" s="92">
        <f t="shared" si="33"/>
        <v>8.0549199992674403E-2</v>
      </c>
      <c r="H154" s="92">
        <f t="shared" si="34"/>
        <v>3.2098305600000003</v>
      </c>
      <c r="I154" s="92">
        <f t="shared" si="35"/>
        <v>5.7507324312960009</v>
      </c>
      <c r="J154" s="92">
        <f t="shared" si="36"/>
        <v>10.303012223909915</v>
      </c>
      <c r="K154" s="92">
        <f t="shared" si="37"/>
        <v>0.14431194670687547</v>
      </c>
      <c r="L154" s="92">
        <f t="shared" si="38"/>
        <v>0.2585492837200381</v>
      </c>
      <c r="M154" s="92">
        <f t="shared" ca="1" si="30"/>
        <v>8.0068281323434146E-2</v>
      </c>
      <c r="N154" s="92">
        <f t="shared" ca="1" si="39"/>
        <v>2.3128276642381999E-7</v>
      </c>
      <c r="O154" s="112">
        <f t="shared" ca="1" si="40"/>
        <v>772.26666410923656</v>
      </c>
      <c r="P154" s="92">
        <f t="shared" ca="1" si="41"/>
        <v>1917518.9064922312</v>
      </c>
      <c r="Q154" s="92">
        <f t="shared" ca="1" si="42"/>
        <v>2858015.1851509949</v>
      </c>
      <c r="R154" s="25">
        <f t="shared" ca="1" si="31"/>
        <v>4.8091866924025728E-4</v>
      </c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x14ac:dyDescent="0.2">
      <c r="A155" s="102">
        <v>18024</v>
      </c>
      <c r="B155" s="102">
        <v>8.1428799996501766E-2</v>
      </c>
      <c r="C155" s="102">
        <v>1</v>
      </c>
      <c r="D155" s="103">
        <f t="shared" si="32"/>
        <v>1.8024</v>
      </c>
      <c r="E155" s="103">
        <f t="shared" si="32"/>
        <v>8.1428799996501766E-2</v>
      </c>
      <c r="F155" s="92">
        <f t="shared" si="33"/>
        <v>1.8024</v>
      </c>
      <c r="G155" s="92">
        <f t="shared" si="33"/>
        <v>8.1428799996501766E-2</v>
      </c>
      <c r="H155" s="92">
        <f t="shared" si="34"/>
        <v>3.24864576</v>
      </c>
      <c r="I155" s="92">
        <f t="shared" si="35"/>
        <v>5.8553591178240003</v>
      </c>
      <c r="J155" s="92">
        <f t="shared" si="36"/>
        <v>10.553699273965979</v>
      </c>
      <c r="K155" s="92">
        <f t="shared" si="37"/>
        <v>0.14676726911369478</v>
      </c>
      <c r="L155" s="92">
        <f t="shared" si="38"/>
        <v>0.26453332585052347</v>
      </c>
      <c r="M155" s="92">
        <f t="shared" ca="1" si="30"/>
        <v>8.1016254654588823E-2</v>
      </c>
      <c r="N155" s="92">
        <f t="shared" ca="1" si="39"/>
        <v>1.7019365913406679E-7</v>
      </c>
      <c r="O155" s="112">
        <f t="shared" ca="1" si="40"/>
        <v>7224.6911824495692</v>
      </c>
      <c r="P155" s="92">
        <f t="shared" ca="1" si="41"/>
        <v>3045468.4757515532</v>
      </c>
      <c r="Q155" s="92">
        <f t="shared" ca="1" si="42"/>
        <v>3570885.5707040159</v>
      </c>
      <c r="R155" s="25">
        <f t="shared" ca="1" si="31"/>
        <v>4.1254534191294268E-4</v>
      </c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x14ac:dyDescent="0.2">
      <c r="A156" s="102">
        <v>18417</v>
      </c>
      <c r="B156" s="102">
        <v>8.5612899994885083E-2</v>
      </c>
      <c r="C156" s="102">
        <v>1</v>
      </c>
      <c r="D156" s="103">
        <f t="shared" si="32"/>
        <v>1.8416999999999999</v>
      </c>
      <c r="E156" s="103">
        <f t="shared" si="32"/>
        <v>8.5612899994885083E-2</v>
      </c>
      <c r="F156" s="92">
        <f t="shared" si="33"/>
        <v>1.8416999999999999</v>
      </c>
      <c r="G156" s="92">
        <f t="shared" si="33"/>
        <v>8.5612899994885083E-2</v>
      </c>
      <c r="H156" s="92">
        <f t="shared" si="34"/>
        <v>3.3918588899999995</v>
      </c>
      <c r="I156" s="92">
        <f t="shared" si="35"/>
        <v>6.2467865177129989</v>
      </c>
      <c r="J156" s="92">
        <f t="shared" si="36"/>
        <v>11.50470672967203</v>
      </c>
      <c r="K156" s="92">
        <f t="shared" si="37"/>
        <v>0.15767327792057984</v>
      </c>
      <c r="L156" s="92">
        <f t="shared" si="38"/>
        <v>0.29038687594633189</v>
      </c>
      <c r="M156" s="92">
        <f t="shared" ca="1" si="30"/>
        <v>8.4513695303944092E-2</v>
      </c>
      <c r="N156" s="92">
        <f t="shared" ca="1" si="39"/>
        <v>1.2082509525866803E-6</v>
      </c>
      <c r="O156" s="112">
        <f t="shared" ca="1" si="40"/>
        <v>91879.151503906338</v>
      </c>
      <c r="P156" s="92">
        <f t="shared" ca="1" si="41"/>
        <v>9609753.0498974174</v>
      </c>
      <c r="Q156" s="92">
        <f t="shared" ca="1" si="42"/>
        <v>6950676.2703465968</v>
      </c>
      <c r="R156" s="25">
        <f t="shared" ca="1" si="31"/>
        <v>1.0992046909409914E-3</v>
      </c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x14ac:dyDescent="0.2">
      <c r="A157" s="102">
        <v>18557.5</v>
      </c>
      <c r="B157" s="102">
        <v>8.5387749997607898E-2</v>
      </c>
      <c r="C157" s="102">
        <v>1</v>
      </c>
      <c r="D157" s="103">
        <f t="shared" si="32"/>
        <v>1.85575</v>
      </c>
      <c r="E157" s="103">
        <f t="shared" si="32"/>
        <v>8.5387749997607898E-2</v>
      </c>
      <c r="F157" s="92">
        <f t="shared" si="33"/>
        <v>1.85575</v>
      </c>
      <c r="G157" s="92">
        <f t="shared" si="33"/>
        <v>8.5387749997607898E-2</v>
      </c>
      <c r="H157" s="92">
        <f t="shared" si="34"/>
        <v>3.4438080625</v>
      </c>
      <c r="I157" s="92">
        <f t="shared" si="35"/>
        <v>6.3908468119843755</v>
      </c>
      <c r="J157" s="92">
        <f t="shared" si="36"/>
        <v>11.859813971340005</v>
      </c>
      <c r="K157" s="92">
        <f t="shared" si="37"/>
        <v>0.15845831705806085</v>
      </c>
      <c r="L157" s="92">
        <f t="shared" si="38"/>
        <v>0.29405902188049643</v>
      </c>
      <c r="M157" s="92">
        <f t="shared" ca="1" si="30"/>
        <v>8.5782276983742314E-2</v>
      </c>
      <c r="N157" s="92">
        <f t="shared" ca="1" si="39"/>
        <v>1.5565154278830599E-7</v>
      </c>
      <c r="O157" s="112">
        <f t="shared" ca="1" si="40"/>
        <v>148131.9405631173</v>
      </c>
      <c r="P157" s="92">
        <f t="shared" ca="1" si="41"/>
        <v>12966194.92430733</v>
      </c>
      <c r="Q157" s="92">
        <f t="shared" ca="1" si="42"/>
        <v>8478712.1079581939</v>
      </c>
      <c r="R157" s="25">
        <f t="shared" ca="1" si="31"/>
        <v>-3.9452698613441639E-4</v>
      </c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x14ac:dyDescent="0.2">
      <c r="A158" s="102">
        <v>18588.5</v>
      </c>
      <c r="B158" s="102">
        <v>8.6412449993076734E-2</v>
      </c>
      <c r="C158" s="102">
        <v>1</v>
      </c>
      <c r="D158" s="103">
        <f t="shared" si="32"/>
        <v>1.8588499999999999</v>
      </c>
      <c r="E158" s="103">
        <f t="shared" si="32"/>
        <v>8.6412449993076734E-2</v>
      </c>
      <c r="F158" s="92">
        <f t="shared" si="33"/>
        <v>1.8588499999999999</v>
      </c>
      <c r="G158" s="92">
        <f t="shared" si="33"/>
        <v>8.6412449993076734E-2</v>
      </c>
      <c r="H158" s="92">
        <f t="shared" si="34"/>
        <v>3.4553233224999995</v>
      </c>
      <c r="I158" s="92">
        <f t="shared" si="35"/>
        <v>6.4229277580291235</v>
      </c>
      <c r="J158" s="92">
        <f t="shared" si="36"/>
        <v>11.939259263012435</v>
      </c>
      <c r="K158" s="92">
        <f t="shared" si="37"/>
        <v>0.16062778266963068</v>
      </c>
      <c r="L158" s="92">
        <f t="shared" si="38"/>
        <v>0.29858295381544298</v>
      </c>
      <c r="M158" s="92">
        <f t="shared" ca="1" si="30"/>
        <v>8.6063470180222146E-2</v>
      </c>
      <c r="N158" s="92">
        <f t="shared" ca="1" si="39"/>
        <v>1.2178690978002358E-7</v>
      </c>
      <c r="O158" s="112">
        <f t="shared" ca="1" si="40"/>
        <v>162560.48535543165</v>
      </c>
      <c r="P158" s="92">
        <f t="shared" ca="1" si="41"/>
        <v>13783044.154357862</v>
      </c>
      <c r="Q158" s="92">
        <f t="shared" ca="1" si="42"/>
        <v>8839849.2140817121</v>
      </c>
      <c r="R158" s="25">
        <f t="shared" ca="1" si="31"/>
        <v>3.4897981285458846E-4</v>
      </c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x14ac:dyDescent="0.2">
      <c r="A159" s="102">
        <v>18646.5</v>
      </c>
      <c r="B159" s="102">
        <v>8.7807049996627029E-2</v>
      </c>
      <c r="C159" s="102">
        <v>1</v>
      </c>
      <c r="D159" s="103">
        <f t="shared" si="32"/>
        <v>1.8646499999999999</v>
      </c>
      <c r="E159" s="103">
        <f t="shared" si="32"/>
        <v>8.7807049996627029E-2</v>
      </c>
      <c r="F159" s="92">
        <f t="shared" si="33"/>
        <v>1.8646499999999999</v>
      </c>
      <c r="G159" s="92">
        <f t="shared" si="33"/>
        <v>8.7807049996627029E-2</v>
      </c>
      <c r="H159" s="92">
        <f t="shared" si="34"/>
        <v>3.4769196224999996</v>
      </c>
      <c r="I159" s="92">
        <f t="shared" si="35"/>
        <v>6.4832381740946241</v>
      </c>
      <c r="J159" s="92">
        <f t="shared" si="36"/>
        <v>12.08897006132554</v>
      </c>
      <c r="K159" s="92">
        <f t="shared" si="37"/>
        <v>0.16372941577621059</v>
      </c>
      <c r="L159" s="92">
        <f t="shared" si="38"/>
        <v>0.30529805512711106</v>
      </c>
      <c r="M159" s="92">
        <f t="shared" ca="1" si="30"/>
        <v>8.659082862848827E-2</v>
      </c>
      <c r="N159" s="92">
        <f t="shared" ca="1" si="39"/>
        <v>1.4791944163173149E-6</v>
      </c>
      <c r="O159" s="112">
        <f t="shared" ca="1" si="40"/>
        <v>191584.52448410538</v>
      </c>
      <c r="P159" s="92">
        <f t="shared" ca="1" si="41"/>
        <v>15387286.715456685</v>
      </c>
      <c r="Q159" s="92">
        <f t="shared" ca="1" si="42"/>
        <v>9539345.6244912297</v>
      </c>
      <c r="R159" s="25">
        <f t="shared" ca="1" si="31"/>
        <v>1.216221368138759E-3</v>
      </c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x14ac:dyDescent="0.2">
      <c r="A160" s="102">
        <v>19320.5</v>
      </c>
      <c r="B160" s="102">
        <v>9.3540850000863429E-2</v>
      </c>
      <c r="C160" s="102">
        <v>1</v>
      </c>
      <c r="D160" s="103">
        <f t="shared" si="32"/>
        <v>1.93205</v>
      </c>
      <c r="E160" s="103">
        <f t="shared" si="32"/>
        <v>9.3540850000863429E-2</v>
      </c>
      <c r="F160" s="92">
        <f t="shared" si="33"/>
        <v>1.93205</v>
      </c>
      <c r="G160" s="92">
        <f t="shared" si="33"/>
        <v>9.3540850000863429E-2</v>
      </c>
      <c r="H160" s="92">
        <f t="shared" si="34"/>
        <v>3.7328172025000002</v>
      </c>
      <c r="I160" s="92">
        <f t="shared" si="35"/>
        <v>7.2119894760901255</v>
      </c>
      <c r="J160" s="92">
        <f t="shared" si="36"/>
        <v>13.933924267279927</v>
      </c>
      <c r="K160" s="92">
        <f t="shared" si="37"/>
        <v>0.1807255992441682</v>
      </c>
      <c r="L160" s="92">
        <f t="shared" si="38"/>
        <v>0.3491708940196952</v>
      </c>
      <c r="M160" s="92">
        <f t="shared" ref="M160:M173" ca="1" si="43">+E$4+E$5*D160+E$6*D160^2</f>
        <v>9.2839051138565679E-2</v>
      </c>
      <c r="N160" s="92">
        <f t="shared" ca="1" si="39"/>
        <v>4.9252164312241712E-7</v>
      </c>
      <c r="O160" s="112">
        <f t="shared" ca="1" si="40"/>
        <v>746001.55109120568</v>
      </c>
      <c r="P160" s="92">
        <f t="shared" ca="1" si="41"/>
        <v>41901746.468885899</v>
      </c>
      <c r="Q160" s="92">
        <f t="shared" ca="1" si="42"/>
        <v>20116541.005403373</v>
      </c>
      <c r="R160" s="25">
        <f t="shared" ref="R160:R173" ca="1" si="44">+E160-M160</f>
        <v>7.0179886229775057E-4</v>
      </c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x14ac:dyDescent="0.2">
      <c r="A161" s="102">
        <v>19352.5</v>
      </c>
      <c r="B161" s="102">
        <v>9.2779249993327539E-2</v>
      </c>
      <c r="C161" s="102">
        <v>1</v>
      </c>
      <c r="D161" s="103">
        <f t="shared" ref="D161:D173" si="45">A161/A$18</f>
        <v>1.9352499999999999</v>
      </c>
      <c r="E161" s="103">
        <f t="shared" ref="E161:E173" si="46">B161/B$18</f>
        <v>9.2779249993327539E-2</v>
      </c>
      <c r="F161" s="92">
        <f t="shared" ref="F161:F173" si="47">$C161*D161</f>
        <v>1.9352499999999999</v>
      </c>
      <c r="G161" s="92">
        <f t="shared" ref="G161:G173" si="48">$C161*E161</f>
        <v>9.2779249993327539E-2</v>
      </c>
      <c r="H161" s="92">
        <f t="shared" ref="H161:H173" si="49">C161*D161*D161</f>
        <v>3.7451925624999998</v>
      </c>
      <c r="I161" s="92">
        <f t="shared" ref="I161:I173" si="50">C161*D161*D161*D161</f>
        <v>7.2478839065781244</v>
      </c>
      <c r="J161" s="92">
        <f t="shared" ref="J161:J173" si="51">C161*D161*D161*D161*D161</f>
        <v>14.026467330205314</v>
      </c>
      <c r="K161" s="92">
        <f t="shared" ref="K161:K173" si="52">C161*E161*D161</f>
        <v>0.17955104354958712</v>
      </c>
      <c r="L161" s="92">
        <f t="shared" ref="L161:L173" si="53">C161*E161*D161*D161</f>
        <v>0.34747615702933848</v>
      </c>
      <c r="M161" s="92">
        <f t="shared" ca="1" si="43"/>
        <v>9.3141195494990656E-2</v>
      </c>
      <c r="N161" s="92">
        <f t="shared" ref="N161:N173" ca="1" si="54">C161*(M161-E161)^2</f>
        <v>1.3100454617416487E-7</v>
      </c>
      <c r="O161" s="112">
        <f t="shared" ref="O161:O173" ca="1" si="55">(C161*O$1-O$2*F161+O$3*H161)^2</f>
        <v>783367.67740711279</v>
      </c>
      <c r="P161" s="92">
        <f t="shared" ref="P161:P173" ca="1" si="56">(-C161*O$2+O$4*F161-O$5*H161)^2</f>
        <v>43549866.149718896</v>
      </c>
      <c r="Q161" s="92">
        <f t="shared" ref="Q161:Q173" ca="1" si="57">+(C161*O$3-F161*O$5+H161*O$6)^2</f>
        <v>20738900.344465543</v>
      </c>
      <c r="R161" s="25">
        <f t="shared" ca="1" si="44"/>
        <v>-3.6194550166311623E-4</v>
      </c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x14ac:dyDescent="0.2">
      <c r="A162" s="102">
        <v>19484</v>
      </c>
      <c r="B162" s="102">
        <v>9.6530800001346506E-2</v>
      </c>
      <c r="C162" s="102">
        <v>1</v>
      </c>
      <c r="D162" s="103">
        <f t="shared" si="45"/>
        <v>1.9483999999999999</v>
      </c>
      <c r="E162" s="103">
        <f t="shared" si="46"/>
        <v>9.6530800001346506E-2</v>
      </c>
      <c r="F162" s="92">
        <f t="shared" si="47"/>
        <v>1.9483999999999999</v>
      </c>
      <c r="G162" s="92">
        <f t="shared" si="48"/>
        <v>9.6530800001346506E-2</v>
      </c>
      <c r="H162" s="92">
        <f t="shared" si="49"/>
        <v>3.7962625599999997</v>
      </c>
      <c r="I162" s="92">
        <f t="shared" si="50"/>
        <v>7.3966379719039992</v>
      </c>
      <c r="J162" s="92">
        <f t="shared" si="51"/>
        <v>14.411609424457751</v>
      </c>
      <c r="K162" s="92">
        <f t="shared" si="52"/>
        <v>0.18808061072262353</v>
      </c>
      <c r="L162" s="92">
        <f t="shared" si="53"/>
        <v>0.36645626193195968</v>
      </c>
      <c r="M162" s="92">
        <f t="shared" ca="1" si="43"/>
        <v>9.4388047362692018E-2</v>
      </c>
      <c r="N162" s="92">
        <f t="shared" ca="1" si="54"/>
        <v>4.5913888704607718E-6</v>
      </c>
      <c r="O162" s="112">
        <f t="shared" ca="1" si="55"/>
        <v>948618.39672641084</v>
      </c>
      <c r="P162" s="92">
        <f t="shared" ca="1" si="56"/>
        <v>50723900.196599104</v>
      </c>
      <c r="Q162" s="92">
        <f t="shared" ca="1" si="57"/>
        <v>23419386.443459466</v>
      </c>
      <c r="R162" s="25">
        <f t="shared" ca="1" si="44"/>
        <v>2.1427526386544882E-3</v>
      </c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x14ac:dyDescent="0.2">
      <c r="A163" s="102">
        <v>19541</v>
      </c>
      <c r="B163" s="102">
        <v>9.4411699996271636E-2</v>
      </c>
      <c r="C163" s="102">
        <v>1</v>
      </c>
      <c r="D163" s="103">
        <f t="shared" si="45"/>
        <v>1.9540999999999999</v>
      </c>
      <c r="E163" s="103">
        <f t="shared" si="46"/>
        <v>9.4411699996271636E-2</v>
      </c>
      <c r="F163" s="92">
        <f t="shared" si="47"/>
        <v>1.9540999999999999</v>
      </c>
      <c r="G163" s="92">
        <f t="shared" si="48"/>
        <v>9.4411699996271636E-2</v>
      </c>
      <c r="H163" s="92">
        <f t="shared" si="49"/>
        <v>3.8185068099999997</v>
      </c>
      <c r="I163" s="92">
        <f t="shared" si="50"/>
        <v>7.4617441574209993</v>
      </c>
      <c r="J163" s="92">
        <f t="shared" si="51"/>
        <v>14.580994258016375</v>
      </c>
      <c r="K163" s="92">
        <f t="shared" si="52"/>
        <v>0.18448990296271439</v>
      </c>
      <c r="L163" s="92">
        <f t="shared" si="53"/>
        <v>0.36051171937944021</v>
      </c>
      <c r="M163" s="92">
        <f t="shared" ca="1" si="43"/>
        <v>9.4931120201973598E-2</v>
      </c>
      <c r="N163" s="92">
        <f t="shared" ca="1" si="54"/>
        <v>2.6979735009146851E-7</v>
      </c>
      <c r="O163" s="112">
        <f t="shared" ca="1" si="55"/>
        <v>1026256.4578807768</v>
      </c>
      <c r="P163" s="92">
        <f t="shared" ca="1" si="56"/>
        <v>54038258.334180973</v>
      </c>
      <c r="Q163" s="92">
        <f t="shared" ca="1" si="57"/>
        <v>24643886.536250554</v>
      </c>
      <c r="R163" s="25">
        <f t="shared" ca="1" si="44"/>
        <v>-5.1942020570196201E-4</v>
      </c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x14ac:dyDescent="0.2">
      <c r="A164" s="102">
        <v>20067.5</v>
      </c>
      <c r="B164" s="102">
        <v>0.10083474999555619</v>
      </c>
      <c r="C164" s="102">
        <v>1</v>
      </c>
      <c r="D164" s="103">
        <f t="shared" si="45"/>
        <v>2.0067499999999998</v>
      </c>
      <c r="E164" s="103">
        <f t="shared" si="46"/>
        <v>0.10083474999555619</v>
      </c>
      <c r="F164" s="92">
        <f t="shared" si="47"/>
        <v>2.0067499999999998</v>
      </c>
      <c r="G164" s="92">
        <f t="shared" si="48"/>
        <v>0.10083474999555619</v>
      </c>
      <c r="H164" s="92">
        <f t="shared" si="49"/>
        <v>4.0270455624999997</v>
      </c>
      <c r="I164" s="92">
        <f t="shared" si="50"/>
        <v>8.0812736825468736</v>
      </c>
      <c r="J164" s="92">
        <f t="shared" si="51"/>
        <v>16.217095962450937</v>
      </c>
      <c r="K164" s="92">
        <f t="shared" si="52"/>
        <v>0.20235013455358236</v>
      </c>
      <c r="L164" s="92">
        <f t="shared" si="53"/>
        <v>0.40606613251540136</v>
      </c>
      <c r="M164" s="92">
        <f t="shared" ca="1" si="43"/>
        <v>0.10002209158091198</v>
      </c>
      <c r="N164" s="92">
        <f t="shared" ca="1" si="54"/>
        <v>6.6041369889204988E-7</v>
      </c>
      <c r="O164" s="112">
        <f t="shared" ca="1" si="55"/>
        <v>1930612.1747453245</v>
      </c>
      <c r="P164" s="92">
        <f t="shared" ca="1" si="56"/>
        <v>90899032.601034746</v>
      </c>
      <c r="Q164" s="92">
        <f t="shared" ca="1" si="57"/>
        <v>37854346.692602091</v>
      </c>
      <c r="R164" s="25">
        <f t="shared" ca="1" si="44"/>
        <v>8.1265841464421562E-4</v>
      </c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x14ac:dyDescent="0.2">
      <c r="A165" s="102">
        <v>20067.5</v>
      </c>
      <c r="B165" s="102">
        <v>0.10087474999454571</v>
      </c>
      <c r="C165" s="102">
        <v>1</v>
      </c>
      <c r="D165" s="103">
        <f t="shared" si="45"/>
        <v>2.0067499999999998</v>
      </c>
      <c r="E165" s="103">
        <f t="shared" si="46"/>
        <v>0.10087474999454571</v>
      </c>
      <c r="F165" s="92">
        <f t="shared" si="47"/>
        <v>2.0067499999999998</v>
      </c>
      <c r="G165" s="92">
        <f t="shared" si="48"/>
        <v>0.10087474999454571</v>
      </c>
      <c r="H165" s="92">
        <f t="shared" si="49"/>
        <v>4.0270455624999997</v>
      </c>
      <c r="I165" s="92">
        <f t="shared" si="50"/>
        <v>8.0812736825468736</v>
      </c>
      <c r="J165" s="92">
        <f t="shared" si="51"/>
        <v>16.217095962450937</v>
      </c>
      <c r="K165" s="92">
        <f t="shared" si="52"/>
        <v>0.20243040455155459</v>
      </c>
      <c r="L165" s="92">
        <f t="shared" si="53"/>
        <v>0.40622721433383213</v>
      </c>
      <c r="M165" s="92">
        <f t="shared" ca="1" si="43"/>
        <v>0.10002209158091198</v>
      </c>
      <c r="N165" s="92">
        <f t="shared" ca="1" si="54"/>
        <v>7.2702637034039007E-7</v>
      </c>
      <c r="O165" s="112">
        <f t="shared" ca="1" si="55"/>
        <v>1930612.1747453245</v>
      </c>
      <c r="P165" s="92">
        <f t="shared" ca="1" si="56"/>
        <v>90899032.601034746</v>
      </c>
      <c r="Q165" s="92">
        <f t="shared" ca="1" si="57"/>
        <v>37854346.692602091</v>
      </c>
      <c r="R165" s="25">
        <f t="shared" ca="1" si="44"/>
        <v>8.5265841363373063E-4</v>
      </c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x14ac:dyDescent="0.2">
      <c r="A166" s="102">
        <v>20067.5</v>
      </c>
      <c r="B166" s="102">
        <v>0.10107474999676924</v>
      </c>
      <c r="C166" s="102">
        <v>1</v>
      </c>
      <c r="D166" s="103">
        <f t="shared" si="45"/>
        <v>2.0067499999999998</v>
      </c>
      <c r="E166" s="103">
        <f t="shared" si="46"/>
        <v>0.10107474999676924</v>
      </c>
      <c r="F166" s="92">
        <f t="shared" si="47"/>
        <v>2.0067499999999998</v>
      </c>
      <c r="G166" s="92">
        <f t="shared" si="48"/>
        <v>0.10107474999676924</v>
      </c>
      <c r="H166" s="92">
        <f t="shared" si="49"/>
        <v>4.0270455624999997</v>
      </c>
      <c r="I166" s="92">
        <f t="shared" si="50"/>
        <v>8.0812736825468736</v>
      </c>
      <c r="J166" s="92">
        <f t="shared" si="51"/>
        <v>16.217095962450937</v>
      </c>
      <c r="K166" s="92">
        <f t="shared" si="52"/>
        <v>0.20283175455601665</v>
      </c>
      <c r="L166" s="92">
        <f t="shared" si="53"/>
        <v>0.4070326234552864</v>
      </c>
      <c r="M166" s="92">
        <f t="shared" ca="1" si="43"/>
        <v>0.10002209158091198</v>
      </c>
      <c r="N166" s="92">
        <f t="shared" ca="1" si="54"/>
        <v>1.1080897404751231E-6</v>
      </c>
      <c r="O166" s="112">
        <f t="shared" ca="1" si="55"/>
        <v>1930612.1747453245</v>
      </c>
      <c r="P166" s="92">
        <f t="shared" ca="1" si="56"/>
        <v>90899032.601034746</v>
      </c>
      <c r="Q166" s="92">
        <f t="shared" ca="1" si="57"/>
        <v>37854346.692602091</v>
      </c>
      <c r="R166" s="25">
        <f t="shared" ca="1" si="44"/>
        <v>1.0526584158572633E-3</v>
      </c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x14ac:dyDescent="0.2">
      <c r="A167" s="102">
        <v>20067.5</v>
      </c>
      <c r="B167" s="102">
        <v>0.10111474999575876</v>
      </c>
      <c r="C167" s="102">
        <v>1</v>
      </c>
      <c r="D167" s="103">
        <f t="shared" si="45"/>
        <v>2.0067499999999998</v>
      </c>
      <c r="E167" s="103">
        <f t="shared" si="46"/>
        <v>0.10111474999575876</v>
      </c>
      <c r="F167" s="92">
        <f t="shared" si="47"/>
        <v>2.0067499999999998</v>
      </c>
      <c r="G167" s="92">
        <f t="shared" si="48"/>
        <v>0.10111474999575876</v>
      </c>
      <c r="H167" s="92">
        <f t="shared" si="49"/>
        <v>4.0270455624999997</v>
      </c>
      <c r="I167" s="92">
        <f t="shared" si="50"/>
        <v>8.0812736825468736</v>
      </c>
      <c r="J167" s="92">
        <f t="shared" si="51"/>
        <v>16.217095962450937</v>
      </c>
      <c r="K167" s="92">
        <f t="shared" si="52"/>
        <v>0.20291202455398888</v>
      </c>
      <c r="L167" s="92">
        <f t="shared" si="53"/>
        <v>0.40719370527371712</v>
      </c>
      <c r="M167" s="92">
        <f t="shared" ca="1" si="43"/>
        <v>0.10002209158091198</v>
      </c>
      <c r="N167" s="92">
        <f t="shared" ca="1" si="54"/>
        <v>1.1939024115354742E-6</v>
      </c>
      <c r="O167" s="112">
        <f t="shared" ca="1" si="55"/>
        <v>1930612.1747453245</v>
      </c>
      <c r="P167" s="92">
        <f t="shared" ca="1" si="56"/>
        <v>90899032.601034746</v>
      </c>
      <c r="Q167" s="92">
        <f t="shared" ca="1" si="57"/>
        <v>37854346.692602091</v>
      </c>
      <c r="R167" s="25">
        <f t="shared" ca="1" si="44"/>
        <v>1.0926584148467783E-3</v>
      </c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x14ac:dyDescent="0.2">
      <c r="A168" s="102">
        <v>20067.5</v>
      </c>
      <c r="B168" s="102">
        <v>0.10204474999773083</v>
      </c>
      <c r="C168" s="102">
        <v>1</v>
      </c>
      <c r="D168" s="103">
        <f t="shared" si="45"/>
        <v>2.0067499999999998</v>
      </c>
      <c r="E168" s="103">
        <f t="shared" si="46"/>
        <v>0.10204474999773083</v>
      </c>
      <c r="F168" s="92">
        <f t="shared" si="47"/>
        <v>2.0067499999999998</v>
      </c>
      <c r="G168" s="92">
        <f t="shared" si="48"/>
        <v>0.10204474999773083</v>
      </c>
      <c r="H168" s="92">
        <f t="shared" si="49"/>
        <v>4.0270455624999997</v>
      </c>
      <c r="I168" s="92">
        <f t="shared" si="50"/>
        <v>8.0812736825468736</v>
      </c>
      <c r="J168" s="92">
        <f t="shared" si="51"/>
        <v>16.217095962450937</v>
      </c>
      <c r="K168" s="92">
        <f t="shared" si="52"/>
        <v>0.20477830205794634</v>
      </c>
      <c r="L168" s="92">
        <f t="shared" si="53"/>
        <v>0.41093885765478377</v>
      </c>
      <c r="M168" s="92">
        <f t="shared" ca="1" si="43"/>
        <v>0.10002209158091198</v>
      </c>
      <c r="N168" s="92">
        <f t="shared" ca="1" si="54"/>
        <v>4.0911470711281526E-6</v>
      </c>
      <c r="O168" s="112">
        <f t="shared" ca="1" si="55"/>
        <v>1930612.1747453245</v>
      </c>
      <c r="P168" s="92">
        <f t="shared" ca="1" si="56"/>
        <v>90899032.601034746</v>
      </c>
      <c r="Q168" s="92">
        <f t="shared" ca="1" si="57"/>
        <v>37854346.692602091</v>
      </c>
      <c r="R168" s="25">
        <f t="shared" ca="1" si="44"/>
        <v>2.0226584168188538E-3</v>
      </c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x14ac:dyDescent="0.2">
      <c r="A169" s="102">
        <v>20067.5</v>
      </c>
      <c r="B169" s="102">
        <v>0.10207474999333499</v>
      </c>
      <c r="C169" s="102">
        <v>1</v>
      </c>
      <c r="D169" s="103">
        <f t="shared" si="45"/>
        <v>2.0067499999999998</v>
      </c>
      <c r="E169" s="103">
        <f t="shared" si="46"/>
        <v>0.10207474999333499</v>
      </c>
      <c r="F169" s="92">
        <f t="shared" si="47"/>
        <v>2.0067499999999998</v>
      </c>
      <c r="G169" s="92">
        <f t="shared" si="48"/>
        <v>0.10207474999333499</v>
      </c>
      <c r="H169" s="92">
        <f t="shared" si="49"/>
        <v>4.0270455624999997</v>
      </c>
      <c r="I169" s="92">
        <f t="shared" si="50"/>
        <v>8.0812736825468736</v>
      </c>
      <c r="J169" s="92">
        <f t="shared" si="51"/>
        <v>16.217095962450937</v>
      </c>
      <c r="K169" s="92">
        <f t="shared" si="52"/>
        <v>0.20483850454912497</v>
      </c>
      <c r="L169" s="92">
        <f t="shared" si="53"/>
        <v>0.41105966900395652</v>
      </c>
      <c r="M169" s="92">
        <f t="shared" ca="1" si="43"/>
        <v>0.10002209158091198</v>
      </c>
      <c r="N169" s="92">
        <f t="shared" ca="1" si="54"/>
        <v>4.2134065580909574E-6</v>
      </c>
      <c r="O169" s="112">
        <f t="shared" ca="1" si="55"/>
        <v>1930612.1747453245</v>
      </c>
      <c r="P169" s="92">
        <f t="shared" ca="1" si="56"/>
        <v>90899032.601034746</v>
      </c>
      <c r="Q169" s="92">
        <f t="shared" ca="1" si="57"/>
        <v>37854346.692602091</v>
      </c>
      <c r="R169" s="25">
        <f t="shared" ca="1" si="44"/>
        <v>2.0526584124230113E-3</v>
      </c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x14ac:dyDescent="0.2">
      <c r="A170" s="102">
        <v>20349.5</v>
      </c>
      <c r="B170" s="102">
        <v>0.10263814999780152</v>
      </c>
      <c r="C170" s="102">
        <v>1</v>
      </c>
      <c r="D170" s="103">
        <f t="shared" si="45"/>
        <v>2.0349499999999998</v>
      </c>
      <c r="E170" s="103">
        <f t="shared" si="46"/>
        <v>0.10263814999780152</v>
      </c>
      <c r="F170" s="92">
        <f t="shared" si="47"/>
        <v>2.0349499999999998</v>
      </c>
      <c r="G170" s="92">
        <f t="shared" si="48"/>
        <v>0.10263814999780152</v>
      </c>
      <c r="H170" s="92">
        <f t="shared" si="49"/>
        <v>4.1410215024999992</v>
      </c>
      <c r="I170" s="92">
        <f t="shared" si="50"/>
        <v>8.4267717065123726</v>
      </c>
      <c r="J170" s="92">
        <f t="shared" si="51"/>
        <v>17.14805908416735</v>
      </c>
      <c r="K170" s="92">
        <f t="shared" si="52"/>
        <v>0.2088635033380262</v>
      </c>
      <c r="L170" s="92">
        <f t="shared" si="53"/>
        <v>0.42502678611771638</v>
      </c>
      <c r="M170" s="92">
        <f t="shared" ca="1" si="43"/>
        <v>0.10280431308142333</v>
      </c>
      <c r="N170" s="92">
        <f t="shared" ca="1" si="54"/>
        <v>2.7610170358710203E-8</v>
      </c>
      <c r="O170" s="112">
        <f t="shared" ca="1" si="55"/>
        <v>2568306.2617617892</v>
      </c>
      <c r="P170" s="92">
        <f t="shared" ca="1" si="56"/>
        <v>115641218.73607691</v>
      </c>
      <c r="Q170" s="92">
        <f t="shared" ca="1" si="57"/>
        <v>46441017.861625321</v>
      </c>
      <c r="R170" s="25">
        <f t="shared" ca="1" si="44"/>
        <v>-1.6616308362181476E-4</v>
      </c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x14ac:dyDescent="0.2">
      <c r="A171" s="102">
        <v>20830</v>
      </c>
      <c r="B171" s="102">
        <v>0.10307099999772618</v>
      </c>
      <c r="C171" s="102">
        <v>1</v>
      </c>
      <c r="D171" s="103">
        <f t="shared" si="45"/>
        <v>2.0830000000000002</v>
      </c>
      <c r="E171" s="103">
        <f t="shared" si="46"/>
        <v>0.10307099999772618</v>
      </c>
      <c r="F171" s="92">
        <f t="shared" si="47"/>
        <v>2.0830000000000002</v>
      </c>
      <c r="G171" s="92">
        <f t="shared" si="48"/>
        <v>0.10307099999772618</v>
      </c>
      <c r="H171" s="92">
        <f t="shared" si="49"/>
        <v>4.3388890000000009</v>
      </c>
      <c r="I171" s="92">
        <f t="shared" si="50"/>
        <v>9.0379057870000032</v>
      </c>
      <c r="J171" s="92">
        <f t="shared" si="51"/>
        <v>18.82595775432101</v>
      </c>
      <c r="K171" s="92">
        <f t="shared" si="52"/>
        <v>0.21469689299526365</v>
      </c>
      <c r="L171" s="92">
        <f t="shared" si="53"/>
        <v>0.44721362810913423</v>
      </c>
      <c r="M171" s="92">
        <f t="shared" ca="1" si="43"/>
        <v>0.10763402134758412</v>
      </c>
      <c r="N171" s="92">
        <f t="shared" ca="1" si="54"/>
        <v>2.0821163839259457E-5</v>
      </c>
      <c r="O171" s="112">
        <f t="shared" ca="1" si="55"/>
        <v>3937226.8392621279</v>
      </c>
      <c r="P171" s="92">
        <f t="shared" ca="1" si="56"/>
        <v>166732997.93669826</v>
      </c>
      <c r="Q171" s="92">
        <f t="shared" ca="1" si="57"/>
        <v>63749594.381990209</v>
      </c>
      <c r="R171" s="25">
        <f t="shared" ca="1" si="44"/>
        <v>-4.5630213498579486E-3</v>
      </c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x14ac:dyDescent="0.2">
      <c r="A172" s="102">
        <v>20832</v>
      </c>
      <c r="B172" s="102">
        <v>0.10669839999900432</v>
      </c>
      <c r="C172" s="102">
        <v>1</v>
      </c>
      <c r="D172" s="103">
        <f t="shared" si="45"/>
        <v>2.0832000000000002</v>
      </c>
      <c r="E172" s="103">
        <f t="shared" si="46"/>
        <v>0.10669839999900432</v>
      </c>
      <c r="F172" s="92">
        <f t="shared" si="47"/>
        <v>2.0832000000000002</v>
      </c>
      <c r="G172" s="92">
        <f t="shared" si="48"/>
        <v>0.10669839999900432</v>
      </c>
      <c r="H172" s="92">
        <f t="shared" si="49"/>
        <v>4.3397222400000004</v>
      </c>
      <c r="I172" s="92">
        <f t="shared" si="50"/>
        <v>9.0405093703680013</v>
      </c>
      <c r="J172" s="92">
        <f t="shared" si="51"/>
        <v>18.833189120350621</v>
      </c>
      <c r="K172" s="92">
        <f t="shared" si="52"/>
        <v>0.22227410687792581</v>
      </c>
      <c r="L172" s="92">
        <f t="shared" si="53"/>
        <v>0.46304141944809507</v>
      </c>
      <c r="M172" s="92">
        <f t="shared" ca="1" si="43"/>
        <v>0.10765435881413402</v>
      </c>
      <c r="N172" s="92">
        <f t="shared" ca="1" si="54"/>
        <v>9.13857256224166E-7</v>
      </c>
      <c r="O172" s="112">
        <f t="shared" ca="1" si="55"/>
        <v>3943727.072002945</v>
      </c>
      <c r="P172" s="92">
        <f t="shared" ca="1" si="56"/>
        <v>166970641.26629677</v>
      </c>
      <c r="Q172" s="92">
        <f t="shared" ca="1" si="57"/>
        <v>63829093.31689173</v>
      </c>
      <c r="R172" s="25">
        <f t="shared" ca="1" si="44"/>
        <v>-9.5595881512969272E-4</v>
      </c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x14ac:dyDescent="0.2">
      <c r="A173" s="102">
        <v>21602.5</v>
      </c>
      <c r="B173" s="102">
        <v>0.11410424999485258</v>
      </c>
      <c r="C173" s="102">
        <v>1</v>
      </c>
      <c r="D173" s="103">
        <f t="shared" si="45"/>
        <v>2.16025</v>
      </c>
      <c r="E173" s="103">
        <f t="shared" si="46"/>
        <v>0.11410424999485258</v>
      </c>
      <c r="F173" s="92">
        <f t="shared" si="47"/>
        <v>2.16025</v>
      </c>
      <c r="G173" s="92">
        <f t="shared" si="48"/>
        <v>0.11410424999485258</v>
      </c>
      <c r="H173" s="92">
        <f t="shared" si="49"/>
        <v>4.6666800625000002</v>
      </c>
      <c r="I173" s="92">
        <f t="shared" si="50"/>
        <v>10.081195605015626</v>
      </c>
      <c r="J173" s="92">
        <f t="shared" si="51"/>
        <v>21.777902805735007</v>
      </c>
      <c r="K173" s="92">
        <f t="shared" si="52"/>
        <v>0.2464937060513803</v>
      </c>
      <c r="L173" s="92">
        <f t="shared" si="53"/>
        <v>0.53248802849749433</v>
      </c>
      <c r="M173" s="92">
        <f t="shared" ca="1" si="43"/>
        <v>0.11563408282134738</v>
      </c>
      <c r="N173" s="92">
        <f t="shared" ca="1" si="54"/>
        <v>2.3403884770210628E-6</v>
      </c>
      <c r="O173" s="112">
        <f t="shared" ca="1" si="55"/>
        <v>7005030.4577155681</v>
      </c>
      <c r="P173" s="92">
        <f t="shared" ca="1" si="56"/>
        <v>275456121.11722398</v>
      </c>
      <c r="Q173" s="92">
        <f t="shared" ca="1" si="57"/>
        <v>99475264.438035533</v>
      </c>
      <c r="R173" s="25">
        <f t="shared" ca="1" si="44"/>
        <v>-1.529832826494798E-3</v>
      </c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x14ac:dyDescent="0.2">
      <c r="A174" s="102"/>
      <c r="B174" s="102"/>
      <c r="C174" s="102"/>
      <c r="D174" s="103"/>
      <c r="E174" s="103"/>
      <c r="F174" s="92"/>
      <c r="G174" s="92"/>
      <c r="H174" s="92"/>
      <c r="I174" s="92"/>
      <c r="J174" s="92"/>
      <c r="K174" s="92"/>
      <c r="L174" s="92"/>
      <c r="M174" s="92"/>
      <c r="N174" s="92"/>
      <c r="O174" s="112"/>
      <c r="P174" s="92"/>
      <c r="Q174" s="92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x14ac:dyDescent="0.2">
      <c r="A175" s="102"/>
      <c r="B175" s="102"/>
      <c r="C175" s="102"/>
      <c r="D175" s="103"/>
      <c r="E175" s="103"/>
      <c r="F175" s="92"/>
      <c r="G175" s="92"/>
      <c r="H175" s="92"/>
      <c r="I175" s="92"/>
      <c r="J175" s="92"/>
      <c r="K175" s="92"/>
      <c r="L175" s="92"/>
      <c r="M175" s="92"/>
      <c r="N175" s="92"/>
      <c r="O175" s="112"/>
      <c r="P175" s="92"/>
      <c r="Q175" s="92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x14ac:dyDescent="0.2">
      <c r="A176" s="102"/>
      <c r="B176" s="102"/>
      <c r="C176" s="102"/>
      <c r="D176" s="103"/>
      <c r="E176" s="103"/>
      <c r="F176" s="92"/>
      <c r="G176" s="92"/>
      <c r="H176" s="92"/>
      <c r="I176" s="92"/>
      <c r="J176" s="92"/>
      <c r="K176" s="92"/>
      <c r="L176" s="92"/>
      <c r="M176" s="92"/>
      <c r="N176" s="92"/>
      <c r="O176" s="112"/>
      <c r="P176" s="92"/>
      <c r="Q176" s="92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x14ac:dyDescent="0.2">
      <c r="A177" s="102"/>
      <c r="B177" s="102"/>
      <c r="C177" s="102"/>
      <c r="D177" s="103"/>
      <c r="E177" s="103"/>
      <c r="F177" s="92"/>
      <c r="G177" s="92"/>
      <c r="H177" s="92"/>
      <c r="I177" s="92"/>
      <c r="J177" s="92"/>
      <c r="K177" s="92"/>
      <c r="L177" s="92"/>
      <c r="M177" s="92"/>
      <c r="N177" s="92"/>
      <c r="O177" s="112"/>
      <c r="P177" s="92"/>
      <c r="Q177" s="92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x14ac:dyDescent="0.2">
      <c r="A178" s="102"/>
      <c r="B178" s="102"/>
      <c r="C178" s="102"/>
      <c r="D178" s="103"/>
      <c r="E178" s="103"/>
      <c r="F178" s="92"/>
      <c r="G178" s="92"/>
      <c r="H178" s="92"/>
      <c r="I178" s="92"/>
      <c r="J178" s="92"/>
      <c r="K178" s="92"/>
      <c r="L178" s="92"/>
      <c r="M178" s="92"/>
      <c r="N178" s="92"/>
      <c r="O178" s="112"/>
      <c r="P178" s="92"/>
      <c r="Q178" s="92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x14ac:dyDescent="0.2">
      <c r="A179" s="102"/>
      <c r="B179" s="102"/>
      <c r="C179" s="102"/>
      <c r="D179" s="103"/>
      <c r="E179" s="103"/>
      <c r="F179" s="92"/>
      <c r="G179" s="92"/>
      <c r="H179" s="92"/>
      <c r="I179" s="92"/>
      <c r="J179" s="92"/>
      <c r="K179" s="92"/>
      <c r="L179" s="92"/>
      <c r="M179" s="92"/>
      <c r="N179" s="92"/>
      <c r="O179" s="112"/>
      <c r="P179" s="92"/>
      <c r="Q179" s="92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x14ac:dyDescent="0.2">
      <c r="A180" s="102"/>
      <c r="B180" s="102"/>
      <c r="C180" s="102"/>
      <c r="D180" s="103"/>
      <c r="E180" s="103"/>
      <c r="F180" s="92"/>
      <c r="G180" s="92"/>
      <c r="H180" s="92"/>
      <c r="I180" s="92"/>
      <c r="J180" s="92"/>
      <c r="K180" s="92"/>
      <c r="L180" s="92"/>
      <c r="M180" s="92"/>
      <c r="N180" s="92"/>
      <c r="O180" s="112"/>
      <c r="P180" s="92"/>
      <c r="Q180" s="92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x14ac:dyDescent="0.2">
      <c r="A181" s="102"/>
      <c r="B181" s="102"/>
      <c r="C181" s="102"/>
      <c r="D181" s="103"/>
      <c r="E181" s="103"/>
      <c r="F181" s="92"/>
      <c r="G181" s="92"/>
      <c r="H181" s="92"/>
      <c r="I181" s="92"/>
      <c r="J181" s="92"/>
      <c r="K181" s="92"/>
      <c r="L181" s="92"/>
      <c r="M181" s="92"/>
      <c r="N181" s="92"/>
      <c r="O181" s="112"/>
      <c r="P181" s="92"/>
      <c r="Q181" s="92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x14ac:dyDescent="0.2">
      <c r="A182" s="102"/>
      <c r="B182" s="102"/>
      <c r="C182" s="102"/>
      <c r="D182" s="103"/>
      <c r="E182" s="103"/>
      <c r="F182" s="92"/>
      <c r="G182" s="92"/>
      <c r="H182" s="92"/>
      <c r="I182" s="92"/>
      <c r="J182" s="92"/>
      <c r="K182" s="92"/>
      <c r="L182" s="92"/>
      <c r="M182" s="92"/>
      <c r="N182" s="92"/>
      <c r="O182" s="112"/>
      <c r="P182" s="92"/>
      <c r="Q182" s="92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x14ac:dyDescent="0.2">
      <c r="A183" s="102"/>
      <c r="B183" s="102"/>
      <c r="C183" s="102"/>
      <c r="D183" s="103"/>
      <c r="E183" s="103"/>
      <c r="F183" s="92"/>
      <c r="G183" s="92"/>
      <c r="H183" s="92"/>
      <c r="I183" s="92"/>
      <c r="J183" s="92"/>
      <c r="K183" s="92"/>
      <c r="L183" s="92"/>
      <c r="M183" s="92"/>
      <c r="N183" s="92"/>
      <c r="O183" s="112"/>
      <c r="P183" s="92"/>
      <c r="Q183" s="92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x14ac:dyDescent="0.2">
      <c r="A184" s="102"/>
      <c r="B184" s="102"/>
      <c r="C184" s="102"/>
      <c r="D184" s="103"/>
      <c r="E184" s="103"/>
      <c r="F184" s="92"/>
      <c r="G184" s="92"/>
      <c r="H184" s="92"/>
      <c r="I184" s="92"/>
      <c r="J184" s="92"/>
      <c r="K184" s="92"/>
      <c r="L184" s="92"/>
      <c r="M184" s="92"/>
      <c r="N184" s="92"/>
      <c r="O184" s="112"/>
      <c r="P184" s="92"/>
      <c r="Q184" s="92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x14ac:dyDescent="0.2">
      <c r="A185" s="102"/>
      <c r="B185" s="102"/>
      <c r="C185" s="102"/>
      <c r="D185" s="103"/>
      <c r="E185" s="103"/>
      <c r="F185" s="92"/>
      <c r="G185" s="92"/>
      <c r="H185" s="92"/>
      <c r="I185" s="92"/>
      <c r="J185" s="92"/>
      <c r="K185" s="92"/>
      <c r="L185" s="92"/>
      <c r="M185" s="92"/>
      <c r="N185" s="92"/>
      <c r="O185" s="112"/>
      <c r="P185" s="92"/>
      <c r="Q185" s="92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x14ac:dyDescent="0.2">
      <c r="A186" s="102"/>
      <c r="B186" s="102"/>
      <c r="C186" s="102"/>
      <c r="D186" s="103"/>
      <c r="E186" s="103"/>
      <c r="F186" s="92"/>
      <c r="G186" s="92"/>
      <c r="H186" s="92"/>
      <c r="I186" s="92"/>
      <c r="J186" s="92"/>
      <c r="K186" s="92"/>
      <c r="L186" s="92"/>
      <c r="M186" s="92"/>
      <c r="N186" s="92"/>
      <c r="O186" s="112"/>
      <c r="P186" s="92"/>
      <c r="Q186" s="92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x14ac:dyDescent="0.2">
      <c r="A187" s="102"/>
      <c r="B187" s="102"/>
      <c r="C187" s="102"/>
      <c r="D187" s="103"/>
      <c r="E187" s="103"/>
      <c r="F187" s="92"/>
      <c r="G187" s="92"/>
      <c r="H187" s="92"/>
      <c r="I187" s="92"/>
      <c r="J187" s="92"/>
      <c r="K187" s="92"/>
      <c r="L187" s="92"/>
      <c r="M187" s="92"/>
      <c r="N187" s="92"/>
      <c r="O187" s="112"/>
      <c r="P187" s="92"/>
      <c r="Q187" s="92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x14ac:dyDescent="0.2">
      <c r="A188" s="102"/>
      <c r="B188" s="102"/>
      <c r="C188" s="102"/>
      <c r="D188" s="103"/>
      <c r="E188" s="103"/>
      <c r="F188" s="92"/>
      <c r="G188" s="92"/>
      <c r="H188" s="92"/>
      <c r="I188" s="92"/>
      <c r="J188" s="92"/>
      <c r="K188" s="92"/>
      <c r="L188" s="92"/>
      <c r="M188" s="92"/>
      <c r="N188" s="92"/>
      <c r="O188" s="112"/>
      <c r="P188" s="92"/>
      <c r="Q188" s="92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x14ac:dyDescent="0.2">
      <c r="A189" s="102"/>
      <c r="B189" s="102"/>
      <c r="C189" s="102"/>
      <c r="D189" s="103"/>
      <c r="E189" s="103"/>
      <c r="F189" s="92"/>
      <c r="G189" s="92"/>
      <c r="H189" s="92"/>
      <c r="I189" s="92"/>
      <c r="J189" s="92"/>
      <c r="K189" s="92"/>
      <c r="L189" s="92"/>
      <c r="M189" s="92"/>
      <c r="N189" s="92"/>
      <c r="O189" s="112"/>
      <c r="P189" s="92"/>
      <c r="Q189" s="92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x14ac:dyDescent="0.2">
      <c r="A190" s="102"/>
      <c r="B190" s="102"/>
      <c r="C190" s="102"/>
      <c r="D190" s="103"/>
      <c r="E190" s="103"/>
      <c r="F190" s="92"/>
      <c r="G190" s="92"/>
      <c r="H190" s="92"/>
      <c r="I190" s="92"/>
      <c r="J190" s="92"/>
      <c r="K190" s="92"/>
      <c r="L190" s="92"/>
      <c r="M190" s="92"/>
      <c r="N190" s="92"/>
      <c r="O190" s="112"/>
      <c r="P190" s="92"/>
      <c r="Q190" s="92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x14ac:dyDescent="0.2">
      <c r="A191" s="102"/>
      <c r="B191" s="102"/>
      <c r="C191" s="102"/>
      <c r="D191" s="103"/>
      <c r="E191" s="103"/>
      <c r="F191" s="92"/>
      <c r="G191" s="92"/>
      <c r="H191" s="92"/>
      <c r="I191" s="92"/>
      <c r="J191" s="92"/>
      <c r="K191" s="92"/>
      <c r="L191" s="92"/>
      <c r="M191" s="92"/>
      <c r="N191" s="92"/>
      <c r="O191" s="112"/>
      <c r="P191" s="92"/>
      <c r="Q191" s="92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x14ac:dyDescent="0.2">
      <c r="A192" s="102"/>
      <c r="B192" s="102"/>
      <c r="C192" s="102"/>
      <c r="D192" s="103"/>
      <c r="E192" s="103"/>
      <c r="F192" s="92"/>
      <c r="G192" s="92"/>
      <c r="H192" s="92"/>
      <c r="I192" s="92"/>
      <c r="J192" s="92"/>
      <c r="K192" s="92"/>
      <c r="L192" s="92"/>
      <c r="M192" s="92"/>
      <c r="N192" s="92"/>
      <c r="O192" s="112"/>
      <c r="P192" s="92"/>
      <c r="Q192" s="92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x14ac:dyDescent="0.2">
      <c r="A193" s="102"/>
      <c r="B193" s="102"/>
      <c r="C193" s="102"/>
      <c r="D193" s="103"/>
      <c r="E193" s="103"/>
      <c r="F193" s="92"/>
      <c r="G193" s="92"/>
      <c r="H193" s="92"/>
      <c r="I193" s="92"/>
      <c r="J193" s="92"/>
      <c r="K193" s="92"/>
      <c r="L193" s="92"/>
      <c r="M193" s="92"/>
      <c r="N193" s="92"/>
      <c r="O193" s="112"/>
      <c r="P193" s="92"/>
      <c r="Q193" s="92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x14ac:dyDescent="0.2">
      <c r="A194" s="102"/>
      <c r="B194" s="102"/>
      <c r="C194" s="102"/>
      <c r="D194" s="103"/>
      <c r="E194" s="103"/>
      <c r="F194" s="92"/>
      <c r="G194" s="92"/>
      <c r="H194" s="92"/>
      <c r="I194" s="92"/>
      <c r="J194" s="92"/>
      <c r="K194" s="92"/>
      <c r="L194" s="92"/>
      <c r="M194" s="92"/>
      <c r="N194" s="92"/>
      <c r="O194" s="112"/>
      <c r="P194" s="92"/>
      <c r="Q194" s="92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x14ac:dyDescent="0.2">
      <c r="A195" s="102"/>
      <c r="B195" s="102"/>
      <c r="C195" s="102"/>
      <c r="D195" s="103"/>
      <c r="E195" s="103"/>
      <c r="F195" s="92"/>
      <c r="G195" s="92"/>
      <c r="H195" s="92"/>
      <c r="I195" s="92"/>
      <c r="J195" s="92"/>
      <c r="K195" s="92"/>
      <c r="L195" s="92"/>
      <c r="M195" s="92"/>
      <c r="N195" s="92"/>
      <c r="O195" s="112"/>
      <c r="P195" s="92"/>
      <c r="Q195" s="92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x14ac:dyDescent="0.2">
      <c r="A196" s="102"/>
      <c r="B196" s="102"/>
      <c r="C196" s="102"/>
      <c r="D196" s="103"/>
      <c r="E196" s="103"/>
      <c r="F196" s="92"/>
      <c r="G196" s="92"/>
      <c r="H196" s="92"/>
      <c r="I196" s="92"/>
      <c r="J196" s="92"/>
      <c r="K196" s="92"/>
      <c r="L196" s="92"/>
      <c r="M196" s="92"/>
      <c r="N196" s="92"/>
      <c r="O196" s="112"/>
      <c r="P196" s="92"/>
      <c r="Q196" s="92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x14ac:dyDescent="0.2">
      <c r="A197" s="102"/>
      <c r="B197" s="102"/>
      <c r="C197" s="102"/>
      <c r="D197" s="103"/>
      <c r="E197" s="103"/>
      <c r="F197" s="92"/>
      <c r="G197" s="92"/>
      <c r="H197" s="92"/>
      <c r="I197" s="92"/>
      <c r="J197" s="92"/>
      <c r="K197" s="92"/>
      <c r="L197" s="92"/>
      <c r="M197" s="92"/>
      <c r="N197" s="92"/>
      <c r="O197" s="112"/>
      <c r="P197" s="92"/>
      <c r="Q197" s="92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x14ac:dyDescent="0.2">
      <c r="A198" s="102"/>
      <c r="B198" s="102"/>
      <c r="C198" s="102"/>
      <c r="D198" s="103"/>
      <c r="E198" s="103"/>
      <c r="F198" s="92"/>
      <c r="G198" s="92"/>
      <c r="H198" s="92"/>
      <c r="I198" s="92"/>
      <c r="J198" s="92"/>
      <c r="K198" s="92"/>
      <c r="L198" s="92"/>
      <c r="M198" s="92"/>
      <c r="N198" s="92"/>
      <c r="O198" s="112"/>
      <c r="P198" s="92"/>
      <c r="Q198" s="92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x14ac:dyDescent="0.2">
      <c r="A199" s="102"/>
      <c r="B199" s="102"/>
      <c r="C199" s="102"/>
      <c r="D199" s="103"/>
      <c r="E199" s="103"/>
      <c r="F199" s="92"/>
      <c r="G199" s="92"/>
      <c r="H199" s="92"/>
      <c r="I199" s="92"/>
      <c r="J199" s="92"/>
      <c r="K199" s="92"/>
      <c r="L199" s="92"/>
      <c r="M199" s="92"/>
      <c r="N199" s="92"/>
      <c r="O199" s="112"/>
      <c r="P199" s="92"/>
      <c r="Q199" s="92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x14ac:dyDescent="0.2">
      <c r="A200" s="102"/>
      <c r="B200" s="102"/>
      <c r="C200" s="102"/>
      <c r="D200" s="103"/>
      <c r="E200" s="103"/>
      <c r="F200" s="92"/>
      <c r="G200" s="92"/>
      <c r="H200" s="92"/>
      <c r="I200" s="92"/>
      <c r="J200" s="92"/>
      <c r="K200" s="92"/>
      <c r="L200" s="92"/>
      <c r="M200" s="92"/>
      <c r="N200" s="92"/>
      <c r="O200" s="112"/>
      <c r="P200" s="92"/>
      <c r="Q200" s="92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x14ac:dyDescent="0.2">
      <c r="A201" s="102"/>
      <c r="B201" s="102"/>
      <c r="C201" s="102"/>
      <c r="D201" s="103"/>
      <c r="E201" s="103"/>
      <c r="F201" s="92"/>
      <c r="G201" s="92"/>
      <c r="H201" s="92"/>
      <c r="I201" s="92"/>
      <c r="J201" s="92"/>
      <c r="K201" s="92"/>
      <c r="L201" s="92"/>
      <c r="M201" s="92"/>
      <c r="N201" s="92"/>
      <c r="O201" s="112"/>
      <c r="P201" s="92"/>
      <c r="Q201" s="92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x14ac:dyDescent="0.2">
      <c r="A202" s="102"/>
      <c r="B202" s="102"/>
      <c r="C202" s="102"/>
      <c r="D202" s="103"/>
      <c r="E202" s="103"/>
      <c r="F202" s="92"/>
      <c r="G202" s="92"/>
      <c r="H202" s="92"/>
      <c r="I202" s="92"/>
      <c r="J202" s="92"/>
      <c r="K202" s="92"/>
      <c r="L202" s="92"/>
      <c r="M202" s="92"/>
      <c r="N202" s="92"/>
      <c r="O202" s="112"/>
      <c r="P202" s="92"/>
      <c r="Q202" s="92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x14ac:dyDescent="0.2">
      <c r="A203" s="102"/>
      <c r="B203" s="102"/>
      <c r="C203" s="102"/>
      <c r="D203" s="103"/>
      <c r="E203" s="103"/>
      <c r="F203" s="92"/>
      <c r="G203" s="92"/>
      <c r="H203" s="92"/>
      <c r="I203" s="92"/>
      <c r="J203" s="92"/>
      <c r="K203" s="92"/>
      <c r="L203" s="92"/>
      <c r="M203" s="92"/>
      <c r="N203" s="92"/>
      <c r="O203" s="112"/>
      <c r="P203" s="92"/>
      <c r="Q203" s="92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x14ac:dyDescent="0.2">
      <c r="A204" s="102"/>
      <c r="B204" s="102"/>
      <c r="C204" s="102"/>
      <c r="D204" s="103"/>
      <c r="E204" s="103"/>
      <c r="F204" s="92"/>
      <c r="G204" s="92"/>
      <c r="H204" s="92"/>
      <c r="I204" s="92"/>
      <c r="J204" s="92"/>
      <c r="K204" s="92"/>
      <c r="L204" s="92"/>
      <c r="M204" s="92"/>
      <c r="N204" s="92"/>
      <c r="O204" s="112"/>
      <c r="P204" s="92"/>
      <c r="Q204" s="92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x14ac:dyDescent="0.2">
      <c r="A205" s="102"/>
      <c r="B205" s="102"/>
      <c r="C205" s="102"/>
      <c r="D205" s="103"/>
      <c r="E205" s="103"/>
      <c r="F205" s="92"/>
      <c r="G205" s="92"/>
      <c r="H205" s="92"/>
      <c r="I205" s="92"/>
      <c r="J205" s="92"/>
      <c r="K205" s="92"/>
      <c r="L205" s="92"/>
      <c r="M205" s="92"/>
      <c r="N205" s="92"/>
      <c r="O205" s="112"/>
      <c r="P205" s="92"/>
      <c r="Q205" s="92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x14ac:dyDescent="0.2">
      <c r="A206" s="102"/>
      <c r="B206" s="102"/>
      <c r="C206" s="102"/>
      <c r="D206" s="103"/>
      <c r="E206" s="103"/>
      <c r="F206" s="92"/>
      <c r="G206" s="92"/>
      <c r="H206" s="92"/>
      <c r="I206" s="92"/>
      <c r="J206" s="92"/>
      <c r="K206" s="92"/>
      <c r="L206" s="92"/>
      <c r="M206" s="92"/>
      <c r="N206" s="92"/>
      <c r="O206" s="112"/>
      <c r="P206" s="92"/>
      <c r="Q206" s="92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x14ac:dyDescent="0.2">
      <c r="A207" s="102"/>
      <c r="B207" s="102"/>
      <c r="C207" s="102"/>
      <c r="D207" s="103"/>
      <c r="E207" s="103"/>
      <c r="F207" s="92"/>
      <c r="G207" s="92"/>
      <c r="H207" s="92"/>
      <c r="I207" s="92"/>
      <c r="J207" s="92"/>
      <c r="K207" s="92"/>
      <c r="L207" s="92"/>
      <c r="M207" s="92"/>
      <c r="N207" s="92"/>
      <c r="O207" s="112"/>
      <c r="P207" s="92"/>
      <c r="Q207" s="92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x14ac:dyDescent="0.2">
      <c r="A208" s="102"/>
      <c r="B208" s="102"/>
      <c r="C208" s="102"/>
      <c r="D208" s="103"/>
      <c r="E208" s="103"/>
      <c r="F208" s="92"/>
      <c r="G208" s="92"/>
      <c r="H208" s="92"/>
      <c r="I208" s="92"/>
      <c r="J208" s="92"/>
      <c r="K208" s="92"/>
      <c r="L208" s="92"/>
      <c r="M208" s="92"/>
      <c r="N208" s="92"/>
      <c r="O208" s="112"/>
      <c r="P208" s="92"/>
      <c r="Q208" s="92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x14ac:dyDescent="0.2">
      <c r="A209" s="102"/>
      <c r="B209" s="102"/>
      <c r="C209" s="102"/>
      <c r="D209" s="103"/>
      <c r="E209" s="103"/>
      <c r="F209" s="92"/>
      <c r="G209" s="92"/>
      <c r="H209" s="92"/>
      <c r="I209" s="92"/>
      <c r="J209" s="92"/>
      <c r="K209" s="92"/>
      <c r="L209" s="92"/>
      <c r="M209" s="92"/>
      <c r="N209" s="92"/>
      <c r="O209" s="112"/>
      <c r="P209" s="92"/>
      <c r="Q209" s="92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x14ac:dyDescent="0.2">
      <c r="A210" s="102"/>
      <c r="B210" s="102"/>
      <c r="C210" s="102"/>
      <c r="D210" s="103"/>
      <c r="E210" s="103"/>
      <c r="F210" s="92"/>
      <c r="G210" s="92"/>
      <c r="H210" s="92"/>
      <c r="I210" s="92"/>
      <c r="J210" s="92"/>
      <c r="K210" s="92"/>
      <c r="L210" s="92"/>
      <c r="M210" s="92"/>
      <c r="N210" s="92"/>
      <c r="O210" s="112"/>
      <c r="P210" s="92"/>
      <c r="Q210" s="92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x14ac:dyDescent="0.2">
      <c r="A211" s="102"/>
      <c r="B211" s="102"/>
      <c r="C211" s="102"/>
      <c r="D211" s="103"/>
      <c r="E211" s="103"/>
      <c r="F211" s="92"/>
      <c r="G211" s="92"/>
      <c r="H211" s="92"/>
      <c r="I211" s="92"/>
      <c r="J211" s="92"/>
      <c r="K211" s="92"/>
      <c r="L211" s="92"/>
      <c r="M211" s="92"/>
      <c r="N211" s="92"/>
      <c r="O211" s="112"/>
      <c r="P211" s="92"/>
      <c r="Q211" s="92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x14ac:dyDescent="0.2">
      <c r="A212" s="102"/>
      <c r="B212" s="102"/>
      <c r="C212" s="102"/>
      <c r="D212" s="103"/>
      <c r="E212" s="103"/>
      <c r="F212" s="92"/>
      <c r="G212" s="92"/>
      <c r="H212" s="92"/>
      <c r="I212" s="92"/>
      <c r="J212" s="92"/>
      <c r="K212" s="92"/>
      <c r="L212" s="92"/>
      <c r="M212" s="92"/>
      <c r="N212" s="92"/>
      <c r="O212" s="112"/>
      <c r="P212" s="92"/>
      <c r="Q212" s="92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x14ac:dyDescent="0.2">
      <c r="A213" s="102"/>
      <c r="B213" s="102"/>
      <c r="C213" s="102"/>
      <c r="D213" s="103"/>
      <c r="E213" s="103"/>
      <c r="F213" s="92"/>
      <c r="G213" s="92"/>
      <c r="H213" s="92"/>
      <c r="I213" s="92"/>
      <c r="J213" s="92"/>
      <c r="K213" s="92"/>
      <c r="L213" s="92"/>
      <c r="M213" s="92"/>
      <c r="N213" s="92"/>
      <c r="O213" s="112"/>
      <c r="P213" s="92"/>
      <c r="Q213" s="92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x14ac:dyDescent="0.2">
      <c r="A214" s="102"/>
      <c r="B214" s="102"/>
      <c r="C214" s="102"/>
      <c r="D214" s="103"/>
      <c r="E214" s="103"/>
      <c r="F214" s="92"/>
      <c r="G214" s="92"/>
      <c r="H214" s="92"/>
      <c r="I214" s="92"/>
      <c r="J214" s="92"/>
      <c r="K214" s="92"/>
      <c r="L214" s="92"/>
      <c r="M214" s="92"/>
      <c r="N214" s="92"/>
      <c r="O214" s="112"/>
      <c r="P214" s="92"/>
      <c r="Q214" s="92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x14ac:dyDescent="0.2">
      <c r="A215" s="102"/>
      <c r="B215" s="102"/>
      <c r="C215" s="102"/>
      <c r="D215" s="103"/>
      <c r="E215" s="103"/>
      <c r="F215" s="92"/>
      <c r="G215" s="92"/>
      <c r="H215" s="92"/>
      <c r="I215" s="92"/>
      <c r="J215" s="92"/>
      <c r="K215" s="92"/>
      <c r="L215" s="92"/>
      <c r="M215" s="92"/>
      <c r="N215" s="92"/>
      <c r="O215" s="112"/>
      <c r="P215" s="92"/>
      <c r="Q215" s="92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x14ac:dyDescent="0.2">
      <c r="A216" s="102"/>
      <c r="B216" s="102"/>
      <c r="C216" s="102"/>
      <c r="D216" s="103"/>
      <c r="E216" s="103"/>
      <c r="F216" s="92"/>
      <c r="G216" s="92"/>
      <c r="H216" s="92"/>
      <c r="I216" s="92"/>
      <c r="J216" s="92"/>
      <c r="K216" s="92"/>
      <c r="L216" s="92"/>
      <c r="M216" s="92"/>
      <c r="N216" s="92"/>
      <c r="O216" s="112"/>
      <c r="P216" s="92"/>
      <c r="Q216" s="92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x14ac:dyDescent="0.2">
      <c r="A217" s="102"/>
      <c r="B217" s="102"/>
      <c r="C217" s="102"/>
      <c r="D217" s="103"/>
      <c r="E217" s="103"/>
      <c r="F217" s="92"/>
      <c r="G217" s="92"/>
      <c r="H217" s="92"/>
      <c r="I217" s="92"/>
      <c r="J217" s="92"/>
      <c r="K217" s="92"/>
      <c r="L217" s="92"/>
      <c r="M217" s="92"/>
      <c r="N217" s="92"/>
      <c r="O217" s="112"/>
      <c r="P217" s="92"/>
      <c r="Q217" s="92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x14ac:dyDescent="0.2">
      <c r="A218" s="102"/>
      <c r="B218" s="102"/>
      <c r="C218" s="102"/>
      <c r="D218" s="103"/>
      <c r="E218" s="103"/>
      <c r="F218" s="92"/>
      <c r="G218" s="92"/>
      <c r="H218" s="92"/>
      <c r="I218" s="92"/>
      <c r="J218" s="92"/>
      <c r="K218" s="92"/>
      <c r="L218" s="92"/>
      <c r="M218" s="92"/>
      <c r="N218" s="92"/>
      <c r="O218" s="112"/>
      <c r="P218" s="92"/>
      <c r="Q218" s="92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x14ac:dyDescent="0.2">
      <c r="A219" s="102"/>
      <c r="B219" s="102"/>
      <c r="C219" s="102"/>
      <c r="D219" s="103"/>
      <c r="E219" s="103"/>
      <c r="F219" s="92"/>
      <c r="G219" s="92"/>
      <c r="H219" s="92"/>
      <c r="I219" s="92"/>
      <c r="J219" s="92"/>
      <c r="K219" s="92"/>
      <c r="L219" s="92"/>
      <c r="M219" s="92"/>
      <c r="N219" s="92"/>
      <c r="O219" s="112"/>
      <c r="P219" s="92"/>
      <c r="Q219" s="92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x14ac:dyDescent="0.2">
      <c r="A220" s="102"/>
      <c r="B220" s="102"/>
      <c r="C220" s="102"/>
      <c r="D220" s="103"/>
      <c r="E220" s="103"/>
      <c r="F220" s="92"/>
      <c r="G220" s="92"/>
      <c r="H220" s="92"/>
      <c r="I220" s="92"/>
      <c r="J220" s="92"/>
      <c r="K220" s="92"/>
      <c r="L220" s="92"/>
      <c r="M220" s="92"/>
      <c r="N220" s="92"/>
      <c r="O220" s="112"/>
      <c r="P220" s="92"/>
      <c r="Q220" s="92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x14ac:dyDescent="0.2">
      <c r="A221" s="102"/>
      <c r="B221" s="102"/>
      <c r="C221" s="102"/>
      <c r="D221" s="103"/>
      <c r="E221" s="103"/>
      <c r="F221" s="92"/>
      <c r="G221" s="92"/>
      <c r="H221" s="92"/>
      <c r="I221" s="92"/>
      <c r="J221" s="92"/>
      <c r="K221" s="92"/>
      <c r="L221" s="92"/>
      <c r="M221" s="92"/>
      <c r="N221" s="92"/>
      <c r="O221" s="112"/>
      <c r="P221" s="92"/>
      <c r="Q221" s="92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x14ac:dyDescent="0.2">
      <c r="A222" s="102"/>
      <c r="B222" s="102"/>
      <c r="C222" s="102"/>
      <c r="D222" s="103"/>
      <c r="E222" s="103"/>
      <c r="F222" s="92"/>
      <c r="G222" s="92"/>
      <c r="H222" s="92"/>
      <c r="I222" s="92"/>
      <c r="J222" s="92"/>
      <c r="K222" s="92"/>
      <c r="L222" s="92"/>
      <c r="M222" s="92"/>
      <c r="N222" s="92"/>
      <c r="O222" s="112"/>
      <c r="P222" s="92"/>
      <c r="Q222" s="92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x14ac:dyDescent="0.2">
      <c r="A223" s="102"/>
      <c r="B223" s="102"/>
      <c r="C223" s="102"/>
      <c r="D223" s="103"/>
      <c r="E223" s="103"/>
      <c r="F223" s="92"/>
      <c r="G223" s="92"/>
      <c r="H223" s="92"/>
      <c r="I223" s="92"/>
      <c r="J223" s="92"/>
      <c r="K223" s="92"/>
      <c r="L223" s="92"/>
      <c r="M223" s="92"/>
      <c r="N223" s="92"/>
      <c r="O223" s="112"/>
      <c r="P223" s="92"/>
      <c r="Q223" s="92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x14ac:dyDescent="0.2">
      <c r="A224" s="102"/>
      <c r="B224" s="102"/>
      <c r="C224" s="102"/>
      <c r="D224" s="103"/>
      <c r="E224" s="103"/>
      <c r="F224" s="92"/>
      <c r="G224" s="92"/>
      <c r="H224" s="92"/>
      <c r="I224" s="92"/>
      <c r="J224" s="92"/>
      <c r="K224" s="92"/>
      <c r="L224" s="92"/>
      <c r="M224" s="92"/>
      <c r="N224" s="92"/>
      <c r="O224" s="112"/>
      <c r="P224" s="92"/>
      <c r="Q224" s="92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x14ac:dyDescent="0.2">
      <c r="A225" s="102"/>
      <c r="B225" s="102"/>
      <c r="C225" s="102"/>
      <c r="D225" s="103"/>
      <c r="E225" s="103"/>
      <c r="F225" s="92"/>
      <c r="G225" s="92"/>
      <c r="H225" s="92"/>
      <c r="I225" s="92"/>
      <c r="J225" s="92"/>
      <c r="K225" s="92"/>
      <c r="L225" s="92"/>
      <c r="M225" s="92"/>
      <c r="N225" s="92"/>
      <c r="O225" s="112"/>
      <c r="P225" s="92"/>
      <c r="Q225" s="92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x14ac:dyDescent="0.2">
      <c r="A226" s="102"/>
      <c r="B226" s="102"/>
      <c r="C226" s="102"/>
      <c r="D226" s="103"/>
      <c r="E226" s="103"/>
      <c r="F226" s="92"/>
      <c r="G226" s="92"/>
      <c r="H226" s="92"/>
      <c r="I226" s="92"/>
      <c r="J226" s="92"/>
      <c r="K226" s="92"/>
      <c r="L226" s="92"/>
      <c r="M226" s="92"/>
      <c r="N226" s="92"/>
      <c r="O226" s="112"/>
      <c r="P226" s="92"/>
      <c r="Q226" s="92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x14ac:dyDescent="0.2">
      <c r="A227" s="102"/>
      <c r="B227" s="102"/>
      <c r="C227" s="102"/>
      <c r="D227" s="103"/>
      <c r="E227" s="103"/>
      <c r="F227" s="92"/>
      <c r="G227" s="92"/>
      <c r="H227" s="92"/>
      <c r="I227" s="92"/>
      <c r="J227" s="92"/>
      <c r="K227" s="92"/>
      <c r="L227" s="92"/>
      <c r="M227" s="92"/>
      <c r="N227" s="92"/>
      <c r="O227" s="112"/>
      <c r="P227" s="92"/>
      <c r="Q227" s="92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x14ac:dyDescent="0.2">
      <c r="A228" s="102"/>
      <c r="B228" s="102"/>
      <c r="C228" s="102"/>
      <c r="D228" s="103"/>
      <c r="E228" s="103"/>
      <c r="F228" s="92"/>
      <c r="G228" s="92"/>
      <c r="H228" s="92"/>
      <c r="I228" s="92"/>
      <c r="J228" s="92"/>
      <c r="K228" s="92"/>
      <c r="L228" s="92"/>
      <c r="M228" s="92"/>
      <c r="N228" s="92"/>
      <c r="O228" s="112"/>
      <c r="P228" s="92"/>
      <c r="Q228" s="92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x14ac:dyDescent="0.2">
      <c r="A229" s="102"/>
      <c r="B229" s="102"/>
      <c r="C229" s="102"/>
      <c r="D229" s="103"/>
      <c r="E229" s="103"/>
      <c r="F229" s="92"/>
      <c r="G229" s="92"/>
      <c r="H229" s="92"/>
      <c r="I229" s="92"/>
      <c r="J229" s="92"/>
      <c r="K229" s="92"/>
      <c r="L229" s="92"/>
      <c r="M229" s="92"/>
      <c r="N229" s="92"/>
      <c r="O229" s="112"/>
      <c r="P229" s="92"/>
      <c r="Q229" s="92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x14ac:dyDescent="0.2">
      <c r="A230" s="102"/>
      <c r="B230" s="102"/>
      <c r="C230" s="102"/>
      <c r="D230" s="103"/>
      <c r="E230" s="103"/>
      <c r="F230" s="92"/>
      <c r="G230" s="92"/>
      <c r="H230" s="92"/>
      <c r="I230" s="92"/>
      <c r="J230" s="92"/>
      <c r="K230" s="92"/>
      <c r="L230" s="92"/>
      <c r="M230" s="92"/>
      <c r="N230" s="92"/>
      <c r="O230" s="112"/>
      <c r="P230" s="92"/>
      <c r="Q230" s="92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x14ac:dyDescent="0.2">
      <c r="A231" s="102"/>
      <c r="B231" s="102"/>
      <c r="C231" s="102"/>
      <c r="D231" s="103"/>
      <c r="E231" s="103"/>
      <c r="F231" s="92"/>
      <c r="G231" s="92"/>
      <c r="H231" s="92"/>
      <c r="I231" s="92"/>
      <c r="J231" s="92"/>
      <c r="K231" s="92"/>
      <c r="L231" s="92"/>
      <c r="M231" s="92"/>
      <c r="N231" s="92"/>
      <c r="O231" s="112"/>
      <c r="P231" s="92"/>
      <c r="Q231" s="92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x14ac:dyDescent="0.2">
      <c r="A232" s="102"/>
      <c r="B232" s="102"/>
      <c r="C232" s="102"/>
      <c r="D232" s="103"/>
      <c r="E232" s="103"/>
      <c r="F232" s="92"/>
      <c r="G232" s="92"/>
      <c r="H232" s="92"/>
      <c r="I232" s="92"/>
      <c r="J232" s="92"/>
      <c r="K232" s="92"/>
      <c r="L232" s="92"/>
      <c r="M232" s="92"/>
      <c r="N232" s="92"/>
      <c r="O232" s="112"/>
      <c r="P232" s="92"/>
      <c r="Q232" s="92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x14ac:dyDescent="0.2">
      <c r="A233" s="102"/>
      <c r="B233" s="102"/>
      <c r="C233" s="102"/>
      <c r="D233" s="103"/>
      <c r="E233" s="103"/>
      <c r="F233" s="92"/>
      <c r="G233" s="92"/>
      <c r="H233" s="92"/>
      <c r="I233" s="92"/>
      <c r="J233" s="92"/>
      <c r="K233" s="92"/>
      <c r="L233" s="92"/>
      <c r="M233" s="92"/>
      <c r="N233" s="92"/>
      <c r="O233" s="112"/>
      <c r="P233" s="92"/>
      <c r="Q233" s="92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x14ac:dyDescent="0.2">
      <c r="A234" s="102"/>
      <c r="B234" s="102"/>
      <c r="C234" s="102"/>
      <c r="D234" s="103"/>
      <c r="E234" s="103"/>
      <c r="F234" s="92"/>
      <c r="G234" s="92"/>
      <c r="H234" s="92"/>
      <c r="I234" s="92"/>
      <c r="J234" s="92"/>
      <c r="K234" s="92"/>
      <c r="L234" s="92"/>
      <c r="M234" s="92"/>
      <c r="N234" s="92"/>
      <c r="O234" s="112"/>
      <c r="P234" s="92"/>
      <c r="Q234" s="92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x14ac:dyDescent="0.2">
      <c r="A235" s="102"/>
      <c r="B235" s="102"/>
      <c r="C235" s="102"/>
      <c r="D235" s="103"/>
      <c r="E235" s="103"/>
      <c r="F235" s="92"/>
      <c r="G235" s="92"/>
      <c r="H235" s="92"/>
      <c r="I235" s="92"/>
      <c r="J235" s="92"/>
      <c r="K235" s="92"/>
      <c r="L235" s="92"/>
      <c r="M235" s="92"/>
      <c r="N235" s="92"/>
      <c r="O235" s="112"/>
      <c r="P235" s="92"/>
      <c r="Q235" s="92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x14ac:dyDescent="0.2">
      <c r="A236" s="102"/>
      <c r="B236" s="102"/>
      <c r="C236" s="102"/>
      <c r="D236" s="103"/>
      <c r="E236" s="103"/>
      <c r="F236" s="92"/>
      <c r="G236" s="92"/>
      <c r="H236" s="92"/>
      <c r="I236" s="92"/>
      <c r="J236" s="92"/>
      <c r="K236" s="92"/>
      <c r="L236" s="92"/>
      <c r="M236" s="92"/>
      <c r="N236" s="92"/>
      <c r="O236" s="112"/>
      <c r="P236" s="92"/>
      <c r="Q236" s="92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x14ac:dyDescent="0.2">
      <c r="A237" s="102"/>
      <c r="B237" s="102"/>
      <c r="C237" s="102"/>
      <c r="D237" s="103"/>
      <c r="E237" s="103"/>
      <c r="F237" s="92"/>
      <c r="G237" s="92"/>
      <c r="H237" s="92"/>
      <c r="I237" s="92"/>
      <c r="J237" s="92"/>
      <c r="K237" s="92"/>
      <c r="L237" s="92"/>
      <c r="M237" s="92"/>
      <c r="N237" s="92"/>
      <c r="O237" s="112"/>
      <c r="P237" s="92"/>
      <c r="Q237" s="92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x14ac:dyDescent="0.2">
      <c r="A238" s="102"/>
      <c r="B238" s="102"/>
      <c r="C238" s="102"/>
      <c r="D238" s="103"/>
      <c r="E238" s="103"/>
      <c r="F238" s="92"/>
      <c r="G238" s="92"/>
      <c r="H238" s="92"/>
      <c r="I238" s="92"/>
      <c r="J238" s="92"/>
      <c r="K238" s="92"/>
      <c r="L238" s="92"/>
      <c r="M238" s="92"/>
      <c r="N238" s="92"/>
      <c r="O238" s="112"/>
      <c r="P238" s="92"/>
      <c r="Q238" s="92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x14ac:dyDescent="0.2">
      <c r="A239" s="102"/>
      <c r="B239" s="102"/>
      <c r="C239" s="102"/>
      <c r="D239" s="103"/>
      <c r="E239" s="103"/>
      <c r="F239" s="92"/>
      <c r="G239" s="92"/>
      <c r="H239" s="92"/>
      <c r="I239" s="92"/>
      <c r="J239" s="92"/>
      <c r="K239" s="92"/>
      <c r="L239" s="92"/>
      <c r="M239" s="92"/>
      <c r="N239" s="92"/>
      <c r="O239" s="112"/>
      <c r="P239" s="92"/>
      <c r="Q239" s="92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x14ac:dyDescent="0.2">
      <c r="A240" s="102"/>
      <c r="B240" s="102"/>
      <c r="C240" s="102"/>
      <c r="D240" s="103"/>
      <c r="E240" s="103"/>
      <c r="F240" s="92"/>
      <c r="G240" s="92"/>
      <c r="H240" s="92"/>
      <c r="I240" s="92"/>
      <c r="J240" s="92"/>
      <c r="K240" s="92"/>
      <c r="L240" s="92"/>
      <c r="M240" s="92"/>
      <c r="N240" s="92"/>
      <c r="O240" s="112"/>
      <c r="P240" s="92"/>
      <c r="Q240" s="92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x14ac:dyDescent="0.2">
      <c r="A241" s="102"/>
      <c r="B241" s="102"/>
      <c r="C241" s="102"/>
      <c r="D241" s="103"/>
      <c r="E241" s="103"/>
      <c r="F241" s="92"/>
      <c r="G241" s="92"/>
      <c r="H241" s="92"/>
      <c r="I241" s="92"/>
      <c r="J241" s="92"/>
      <c r="K241" s="92"/>
      <c r="L241" s="92"/>
      <c r="M241" s="92"/>
      <c r="N241" s="92"/>
      <c r="O241" s="112"/>
      <c r="P241" s="92"/>
      <c r="Q241" s="92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x14ac:dyDescent="0.2">
      <c r="A242" s="102"/>
      <c r="B242" s="102"/>
      <c r="C242" s="102"/>
      <c r="D242" s="103"/>
      <c r="E242" s="103"/>
      <c r="F242" s="92"/>
      <c r="G242" s="92"/>
      <c r="H242" s="92"/>
      <c r="I242" s="92"/>
      <c r="J242" s="92"/>
      <c r="K242" s="92"/>
      <c r="L242" s="92"/>
      <c r="M242" s="92"/>
      <c r="N242" s="92"/>
      <c r="O242" s="112"/>
      <c r="P242" s="92"/>
      <c r="Q242" s="92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x14ac:dyDescent="0.2">
      <c r="A243" s="102"/>
      <c r="B243" s="102"/>
      <c r="C243" s="102"/>
      <c r="D243" s="103"/>
      <c r="E243" s="103"/>
      <c r="F243" s="92"/>
      <c r="G243" s="92"/>
      <c r="H243" s="92"/>
      <c r="I243" s="92"/>
      <c r="J243" s="92"/>
      <c r="K243" s="92"/>
      <c r="L243" s="92"/>
      <c r="M243" s="92"/>
      <c r="N243" s="92"/>
      <c r="O243" s="112"/>
      <c r="P243" s="92"/>
      <c r="Q243" s="92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x14ac:dyDescent="0.2">
      <c r="A244" s="102"/>
      <c r="B244" s="102"/>
      <c r="C244" s="102"/>
      <c r="D244" s="103"/>
      <c r="E244" s="103"/>
      <c r="F244" s="92"/>
      <c r="G244" s="92"/>
      <c r="H244" s="92"/>
      <c r="I244" s="92"/>
      <c r="J244" s="92"/>
      <c r="K244" s="92"/>
      <c r="L244" s="92"/>
      <c r="M244" s="92"/>
      <c r="N244" s="92"/>
      <c r="O244" s="112"/>
      <c r="P244" s="92"/>
      <c r="Q244" s="92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x14ac:dyDescent="0.2">
      <c r="A245" s="102"/>
      <c r="B245" s="102"/>
      <c r="C245" s="102"/>
      <c r="D245" s="103"/>
      <c r="E245" s="103"/>
      <c r="F245" s="92"/>
      <c r="G245" s="92"/>
      <c r="H245" s="92"/>
      <c r="I245" s="92"/>
      <c r="J245" s="92"/>
      <c r="K245" s="92"/>
      <c r="L245" s="92"/>
      <c r="M245" s="92"/>
      <c r="N245" s="92"/>
      <c r="O245" s="112"/>
      <c r="P245" s="92"/>
      <c r="Q245" s="92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x14ac:dyDescent="0.2">
      <c r="A246" s="102"/>
      <c r="B246" s="102"/>
      <c r="C246" s="102"/>
      <c r="D246" s="103"/>
      <c r="E246" s="103"/>
      <c r="F246" s="92"/>
      <c r="G246" s="92"/>
      <c r="H246" s="92"/>
      <c r="I246" s="92"/>
      <c r="J246" s="92"/>
      <c r="K246" s="92"/>
      <c r="L246" s="92"/>
      <c r="M246" s="92"/>
      <c r="N246" s="92"/>
      <c r="O246" s="112"/>
      <c r="P246" s="92"/>
      <c r="Q246" s="92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x14ac:dyDescent="0.2">
      <c r="A247" s="102"/>
      <c r="B247" s="102"/>
      <c r="C247" s="102"/>
      <c r="D247" s="103"/>
      <c r="E247" s="103"/>
      <c r="F247" s="92"/>
      <c r="G247" s="92"/>
      <c r="H247" s="92"/>
      <c r="I247" s="92"/>
      <c r="J247" s="92"/>
      <c r="K247" s="92"/>
      <c r="L247" s="92"/>
      <c r="M247" s="92"/>
      <c r="N247" s="92"/>
      <c r="O247" s="112"/>
      <c r="P247" s="92"/>
      <c r="Q247" s="92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x14ac:dyDescent="0.2">
      <c r="A248" s="102"/>
      <c r="B248" s="102"/>
      <c r="C248" s="102"/>
      <c r="D248" s="103"/>
      <c r="E248" s="103"/>
      <c r="F248" s="92"/>
      <c r="G248" s="92"/>
      <c r="H248" s="92"/>
      <c r="I248" s="92"/>
      <c r="J248" s="92"/>
      <c r="K248" s="92"/>
      <c r="L248" s="92"/>
      <c r="M248" s="92"/>
      <c r="N248" s="92"/>
      <c r="O248" s="112"/>
      <c r="P248" s="92"/>
      <c r="Q248" s="92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x14ac:dyDescent="0.2">
      <c r="A249" s="102"/>
      <c r="B249" s="102"/>
      <c r="C249" s="102"/>
      <c r="D249" s="103"/>
      <c r="E249" s="103"/>
      <c r="F249" s="92"/>
      <c r="G249" s="92"/>
      <c r="H249" s="92"/>
      <c r="I249" s="92"/>
      <c r="J249" s="92"/>
      <c r="K249" s="92"/>
      <c r="L249" s="92"/>
      <c r="M249" s="92"/>
      <c r="N249" s="92"/>
      <c r="O249" s="112"/>
      <c r="P249" s="92"/>
      <c r="Q249" s="92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x14ac:dyDescent="0.2">
      <c r="A250" s="102"/>
      <c r="B250" s="102"/>
      <c r="C250" s="102"/>
      <c r="D250" s="103"/>
      <c r="E250" s="103"/>
      <c r="F250" s="92"/>
      <c r="G250" s="92"/>
      <c r="H250" s="92"/>
      <c r="I250" s="92"/>
      <c r="J250" s="92"/>
      <c r="K250" s="92"/>
      <c r="L250" s="92"/>
      <c r="M250" s="92"/>
      <c r="N250" s="92"/>
      <c r="O250" s="112"/>
      <c r="P250" s="92"/>
      <c r="Q250" s="92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x14ac:dyDescent="0.2">
      <c r="A251" s="102"/>
      <c r="B251" s="102"/>
      <c r="C251" s="102"/>
      <c r="D251" s="103"/>
      <c r="E251" s="103"/>
      <c r="F251" s="92"/>
      <c r="G251" s="92"/>
      <c r="H251" s="92"/>
      <c r="I251" s="92"/>
      <c r="J251" s="92"/>
      <c r="K251" s="92"/>
      <c r="L251" s="92"/>
      <c r="M251" s="92"/>
      <c r="N251" s="92"/>
      <c r="O251" s="112"/>
      <c r="P251" s="92"/>
      <c r="Q251" s="92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x14ac:dyDescent="0.2">
      <c r="A252" s="102"/>
      <c r="B252" s="102"/>
      <c r="C252" s="102"/>
      <c r="D252" s="103"/>
      <c r="E252" s="103"/>
      <c r="F252" s="92"/>
      <c r="G252" s="92"/>
      <c r="H252" s="92"/>
      <c r="I252" s="92"/>
      <c r="J252" s="92"/>
      <c r="K252" s="92"/>
      <c r="L252" s="92"/>
      <c r="M252" s="92"/>
      <c r="N252" s="92"/>
      <c r="O252" s="112"/>
      <c r="P252" s="92"/>
      <c r="Q252" s="92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x14ac:dyDescent="0.2">
      <c r="A253" s="102"/>
      <c r="B253" s="102"/>
      <c r="C253" s="102"/>
      <c r="D253" s="103"/>
      <c r="E253" s="103"/>
      <c r="F253" s="92"/>
      <c r="G253" s="92"/>
      <c r="H253" s="92"/>
      <c r="I253" s="92"/>
      <c r="J253" s="92"/>
      <c r="K253" s="92"/>
      <c r="L253" s="92"/>
      <c r="M253" s="92"/>
      <c r="N253" s="92"/>
      <c r="O253" s="112"/>
      <c r="P253" s="92"/>
      <c r="Q253" s="92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x14ac:dyDescent="0.2">
      <c r="A254" s="102"/>
      <c r="B254" s="102"/>
      <c r="C254" s="102"/>
      <c r="D254" s="103"/>
      <c r="E254" s="103"/>
      <c r="F254" s="92"/>
      <c r="G254" s="92"/>
      <c r="H254" s="92"/>
      <c r="I254" s="92"/>
      <c r="J254" s="92"/>
      <c r="K254" s="92"/>
      <c r="L254" s="92"/>
      <c r="M254" s="92"/>
      <c r="N254" s="92"/>
      <c r="O254" s="112"/>
      <c r="P254" s="92"/>
      <c r="Q254" s="92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 x14ac:dyDescent="0.2">
      <c r="A255" s="102"/>
      <c r="B255" s="102"/>
      <c r="C255" s="102"/>
      <c r="D255" s="103"/>
      <c r="E255" s="103"/>
      <c r="F255" s="92"/>
      <c r="G255" s="92"/>
      <c r="H255" s="92"/>
      <c r="I255" s="92"/>
      <c r="J255" s="92"/>
      <c r="K255" s="92"/>
      <c r="L255" s="92"/>
      <c r="M255" s="92"/>
      <c r="N255" s="92"/>
      <c r="O255" s="112"/>
      <c r="P255" s="92"/>
      <c r="Q255" s="92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 x14ac:dyDescent="0.2">
      <c r="A256" s="102"/>
      <c r="B256" s="102"/>
      <c r="C256" s="102"/>
      <c r="D256" s="103"/>
      <c r="E256" s="103"/>
      <c r="F256" s="92"/>
      <c r="G256" s="92"/>
      <c r="H256" s="92"/>
      <c r="I256" s="92"/>
      <c r="J256" s="92"/>
      <c r="K256" s="92"/>
      <c r="L256" s="92"/>
      <c r="M256" s="92"/>
      <c r="N256" s="92"/>
      <c r="O256" s="112"/>
      <c r="P256" s="92"/>
      <c r="Q256" s="92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 x14ac:dyDescent="0.2">
      <c r="A257" s="102"/>
      <c r="B257" s="102"/>
      <c r="C257" s="102"/>
      <c r="D257" s="103"/>
      <c r="E257" s="103"/>
      <c r="F257" s="92"/>
      <c r="G257" s="92"/>
      <c r="H257" s="92"/>
      <c r="I257" s="92"/>
      <c r="J257" s="92"/>
      <c r="K257" s="92"/>
      <c r="L257" s="92"/>
      <c r="M257" s="92"/>
      <c r="N257" s="92"/>
      <c r="O257" s="112"/>
      <c r="P257" s="92"/>
      <c r="Q257" s="92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 x14ac:dyDescent="0.2">
      <c r="A258" s="102"/>
      <c r="B258" s="102"/>
      <c r="C258" s="102"/>
      <c r="D258" s="103"/>
      <c r="E258" s="103"/>
      <c r="F258" s="92"/>
      <c r="G258" s="92"/>
      <c r="H258" s="92"/>
      <c r="I258" s="92"/>
      <c r="J258" s="92"/>
      <c r="K258" s="92"/>
      <c r="L258" s="92"/>
      <c r="M258" s="92"/>
      <c r="N258" s="92"/>
      <c r="O258" s="112"/>
      <c r="P258" s="92"/>
      <c r="Q258" s="92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 x14ac:dyDescent="0.2">
      <c r="A259" s="102"/>
      <c r="B259" s="102"/>
      <c r="C259" s="102"/>
      <c r="D259" s="103"/>
      <c r="E259" s="103"/>
      <c r="F259" s="92"/>
      <c r="G259" s="92"/>
      <c r="H259" s="92"/>
      <c r="I259" s="92"/>
      <c r="J259" s="92"/>
      <c r="K259" s="92"/>
      <c r="L259" s="92"/>
      <c r="M259" s="92"/>
      <c r="N259" s="92"/>
      <c r="O259" s="112"/>
      <c r="P259" s="92"/>
      <c r="Q259" s="92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 x14ac:dyDescent="0.2">
      <c r="A260" s="102"/>
      <c r="B260" s="102"/>
      <c r="C260" s="102"/>
      <c r="D260" s="103"/>
      <c r="E260" s="103"/>
      <c r="F260" s="92"/>
      <c r="G260" s="92"/>
      <c r="H260" s="92"/>
      <c r="I260" s="92"/>
      <c r="J260" s="92"/>
      <c r="K260" s="92"/>
      <c r="L260" s="92"/>
      <c r="M260" s="92"/>
      <c r="N260" s="92"/>
      <c r="O260" s="112"/>
      <c r="P260" s="92"/>
      <c r="Q260" s="92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 x14ac:dyDescent="0.2">
      <c r="A261" s="102"/>
      <c r="B261" s="102"/>
      <c r="C261" s="102"/>
      <c r="D261" s="103"/>
      <c r="E261" s="103"/>
      <c r="F261" s="92"/>
      <c r="G261" s="92"/>
      <c r="H261" s="92"/>
      <c r="I261" s="92"/>
      <c r="J261" s="92"/>
      <c r="K261" s="92"/>
      <c r="L261" s="92"/>
      <c r="M261" s="92"/>
      <c r="N261" s="92"/>
      <c r="O261" s="112"/>
      <c r="P261" s="92"/>
      <c r="Q261" s="92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 x14ac:dyDescent="0.2">
      <c r="A262" s="102"/>
      <c r="B262" s="102"/>
      <c r="C262" s="102"/>
      <c r="D262" s="103"/>
      <c r="E262" s="103"/>
      <c r="F262" s="92"/>
      <c r="G262" s="92"/>
      <c r="H262" s="92"/>
      <c r="I262" s="92"/>
      <c r="J262" s="92"/>
      <c r="K262" s="92"/>
      <c r="L262" s="92"/>
      <c r="M262" s="92"/>
      <c r="N262" s="92"/>
      <c r="O262" s="112"/>
      <c r="P262" s="92"/>
      <c r="Q262" s="92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x14ac:dyDescent="0.2">
      <c r="A263" s="102"/>
      <c r="B263" s="102"/>
      <c r="C263" s="102"/>
      <c r="D263" s="103"/>
      <c r="E263" s="103"/>
      <c r="F263" s="92"/>
      <c r="G263" s="92"/>
      <c r="H263" s="92"/>
      <c r="I263" s="92"/>
      <c r="J263" s="92"/>
      <c r="K263" s="92"/>
      <c r="L263" s="92"/>
      <c r="M263" s="92"/>
      <c r="N263" s="92"/>
      <c r="O263" s="112"/>
      <c r="P263" s="92"/>
      <c r="Q263" s="92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 x14ac:dyDescent="0.2">
      <c r="A264" s="102"/>
      <c r="B264" s="102"/>
      <c r="C264" s="102"/>
      <c r="D264" s="103"/>
      <c r="E264" s="103"/>
      <c r="F264" s="92"/>
      <c r="G264" s="92"/>
      <c r="H264" s="92"/>
      <c r="I264" s="92"/>
      <c r="J264" s="92"/>
      <c r="K264" s="92"/>
      <c r="L264" s="92"/>
      <c r="M264" s="92"/>
      <c r="N264" s="92"/>
      <c r="O264" s="112"/>
      <c r="P264" s="92"/>
      <c r="Q264" s="92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 x14ac:dyDescent="0.2">
      <c r="A265" s="102"/>
      <c r="B265" s="102"/>
      <c r="C265" s="102"/>
      <c r="D265" s="103"/>
      <c r="E265" s="103"/>
      <c r="F265" s="92"/>
      <c r="G265" s="92"/>
      <c r="H265" s="92"/>
      <c r="I265" s="92"/>
      <c r="J265" s="92"/>
      <c r="K265" s="92"/>
      <c r="L265" s="92"/>
      <c r="M265" s="92"/>
      <c r="N265" s="92"/>
      <c r="O265" s="112"/>
      <c r="P265" s="92"/>
      <c r="Q265" s="92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 x14ac:dyDescent="0.2">
      <c r="A266" s="102"/>
      <c r="B266" s="102"/>
      <c r="C266" s="102"/>
      <c r="D266" s="103"/>
      <c r="E266" s="103"/>
      <c r="F266" s="92"/>
      <c r="G266" s="92"/>
      <c r="H266" s="92"/>
      <c r="I266" s="92"/>
      <c r="J266" s="92"/>
      <c r="K266" s="92"/>
      <c r="L266" s="92"/>
      <c r="M266" s="92"/>
      <c r="N266" s="92"/>
      <c r="O266" s="112"/>
      <c r="P266" s="92"/>
      <c r="Q266" s="92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 x14ac:dyDescent="0.2">
      <c r="A267" s="102"/>
      <c r="B267" s="102"/>
      <c r="C267" s="102"/>
      <c r="D267" s="103"/>
      <c r="E267" s="103"/>
      <c r="F267" s="92"/>
      <c r="G267" s="92"/>
      <c r="H267" s="92"/>
      <c r="I267" s="92"/>
      <c r="J267" s="92"/>
      <c r="K267" s="92"/>
      <c r="L267" s="92"/>
      <c r="M267" s="92"/>
      <c r="N267" s="92"/>
      <c r="O267" s="112"/>
      <c r="P267" s="92"/>
      <c r="Q267" s="92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 x14ac:dyDescent="0.2">
      <c r="A268" s="102"/>
      <c r="B268" s="102"/>
      <c r="C268" s="102"/>
      <c r="D268" s="103"/>
      <c r="E268" s="103"/>
      <c r="F268" s="92"/>
      <c r="G268" s="92"/>
      <c r="H268" s="92"/>
      <c r="I268" s="92"/>
      <c r="J268" s="92"/>
      <c r="K268" s="92"/>
      <c r="L268" s="92"/>
      <c r="M268" s="92"/>
      <c r="N268" s="92"/>
      <c r="O268" s="112"/>
      <c r="P268" s="92"/>
      <c r="Q268" s="92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 x14ac:dyDescent="0.2">
      <c r="A269" s="102"/>
      <c r="B269" s="102"/>
      <c r="C269" s="102"/>
      <c r="D269" s="103"/>
      <c r="E269" s="103"/>
      <c r="F269" s="92"/>
      <c r="G269" s="92"/>
      <c r="H269" s="92"/>
      <c r="I269" s="92"/>
      <c r="J269" s="92"/>
      <c r="K269" s="92"/>
      <c r="L269" s="92"/>
      <c r="M269" s="92"/>
      <c r="N269" s="92"/>
      <c r="O269" s="112"/>
      <c r="P269" s="92"/>
      <c r="Q269" s="92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 x14ac:dyDescent="0.2">
      <c r="A270" s="102"/>
      <c r="B270" s="102"/>
      <c r="C270" s="102"/>
      <c r="D270" s="103"/>
      <c r="E270" s="103"/>
      <c r="F270" s="92"/>
      <c r="G270" s="92"/>
      <c r="H270" s="92"/>
      <c r="I270" s="92"/>
      <c r="J270" s="92"/>
      <c r="K270" s="92"/>
      <c r="L270" s="92"/>
      <c r="M270" s="92"/>
      <c r="N270" s="92"/>
      <c r="O270" s="112"/>
      <c r="P270" s="92"/>
      <c r="Q270" s="92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 x14ac:dyDescent="0.2">
      <c r="A271" s="102"/>
      <c r="B271" s="102"/>
      <c r="C271" s="102"/>
      <c r="D271" s="103"/>
      <c r="E271" s="103"/>
      <c r="F271" s="92"/>
      <c r="G271" s="92"/>
      <c r="H271" s="92"/>
      <c r="I271" s="92"/>
      <c r="J271" s="92"/>
      <c r="K271" s="92"/>
      <c r="L271" s="92"/>
      <c r="M271" s="92"/>
      <c r="N271" s="92"/>
      <c r="O271" s="112"/>
      <c r="P271" s="92"/>
      <c r="Q271" s="92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 x14ac:dyDescent="0.2">
      <c r="A272" s="102"/>
      <c r="B272" s="102"/>
      <c r="C272" s="102"/>
      <c r="D272" s="103"/>
      <c r="E272" s="103"/>
      <c r="F272" s="92"/>
      <c r="G272" s="92"/>
      <c r="H272" s="92"/>
      <c r="I272" s="92"/>
      <c r="J272" s="92"/>
      <c r="K272" s="92"/>
      <c r="L272" s="92"/>
      <c r="M272" s="92"/>
      <c r="N272" s="92"/>
      <c r="O272" s="112"/>
      <c r="P272" s="92"/>
      <c r="Q272" s="92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 x14ac:dyDescent="0.2">
      <c r="A273" s="102"/>
      <c r="B273" s="102"/>
      <c r="C273" s="102"/>
      <c r="D273" s="103"/>
      <c r="E273" s="103"/>
      <c r="F273" s="92"/>
      <c r="G273" s="92"/>
      <c r="H273" s="92"/>
      <c r="I273" s="92"/>
      <c r="J273" s="92"/>
      <c r="K273" s="92"/>
      <c r="L273" s="92"/>
      <c r="M273" s="92"/>
      <c r="N273" s="92"/>
      <c r="O273" s="112"/>
      <c r="P273" s="92"/>
      <c r="Q273" s="92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 x14ac:dyDescent="0.2">
      <c r="A274" s="102"/>
      <c r="B274" s="102"/>
      <c r="C274" s="102"/>
      <c r="D274" s="103"/>
      <c r="E274" s="103"/>
      <c r="F274" s="92"/>
      <c r="G274" s="92"/>
      <c r="H274" s="92"/>
      <c r="I274" s="92"/>
      <c r="J274" s="92"/>
      <c r="K274" s="92"/>
      <c r="L274" s="92"/>
      <c r="M274" s="92"/>
      <c r="N274" s="92"/>
      <c r="O274" s="112"/>
      <c r="P274" s="92"/>
      <c r="Q274" s="92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 x14ac:dyDescent="0.2">
      <c r="A275" s="102"/>
      <c r="B275" s="102"/>
      <c r="C275" s="102"/>
      <c r="D275" s="103"/>
      <c r="E275" s="103"/>
      <c r="F275" s="92"/>
      <c r="G275" s="92"/>
      <c r="H275" s="92"/>
      <c r="I275" s="92"/>
      <c r="J275" s="92"/>
      <c r="K275" s="92"/>
      <c r="L275" s="92"/>
      <c r="M275" s="92"/>
      <c r="N275" s="92"/>
      <c r="O275" s="112"/>
      <c r="P275" s="92"/>
      <c r="Q275" s="92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 x14ac:dyDescent="0.2">
      <c r="A276" s="102"/>
      <c r="B276" s="102"/>
      <c r="C276" s="102"/>
      <c r="D276" s="103"/>
      <c r="E276" s="103"/>
      <c r="F276" s="92"/>
      <c r="G276" s="92"/>
      <c r="H276" s="92"/>
      <c r="I276" s="92"/>
      <c r="J276" s="92"/>
      <c r="K276" s="92"/>
      <c r="L276" s="92"/>
      <c r="M276" s="92"/>
      <c r="N276" s="92"/>
      <c r="O276" s="112"/>
      <c r="P276" s="92"/>
      <c r="Q276" s="92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 x14ac:dyDescent="0.2">
      <c r="A277" s="102"/>
      <c r="B277" s="102"/>
      <c r="C277" s="102"/>
      <c r="D277" s="103"/>
      <c r="E277" s="103"/>
      <c r="F277" s="92"/>
      <c r="G277" s="92"/>
      <c r="H277" s="92"/>
      <c r="I277" s="92"/>
      <c r="J277" s="92"/>
      <c r="K277" s="92"/>
      <c r="L277" s="92"/>
      <c r="M277" s="92"/>
      <c r="N277" s="92"/>
      <c r="O277" s="112"/>
      <c r="P277" s="92"/>
      <c r="Q277" s="92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 x14ac:dyDescent="0.2">
      <c r="A278" s="102"/>
      <c r="B278" s="102"/>
      <c r="C278" s="102"/>
      <c r="D278" s="103"/>
      <c r="E278" s="103"/>
      <c r="F278" s="92"/>
      <c r="G278" s="92"/>
      <c r="H278" s="92"/>
      <c r="I278" s="92"/>
      <c r="J278" s="92"/>
      <c r="K278" s="92"/>
      <c r="L278" s="92"/>
      <c r="M278" s="92"/>
      <c r="N278" s="92"/>
      <c r="O278" s="112"/>
      <c r="P278" s="92"/>
      <c r="Q278" s="92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 x14ac:dyDescent="0.2">
      <c r="A279" s="102"/>
      <c r="B279" s="102"/>
      <c r="C279" s="102"/>
      <c r="D279" s="103"/>
      <c r="E279" s="103"/>
      <c r="F279" s="92"/>
      <c r="G279" s="92"/>
      <c r="H279" s="92"/>
      <c r="I279" s="92"/>
      <c r="J279" s="92"/>
      <c r="K279" s="92"/>
      <c r="L279" s="92"/>
      <c r="M279" s="92"/>
      <c r="N279" s="92"/>
      <c r="O279" s="112"/>
      <c r="P279" s="92"/>
      <c r="Q279" s="92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 x14ac:dyDescent="0.2">
      <c r="A280" s="102"/>
      <c r="B280" s="102"/>
      <c r="C280" s="102"/>
      <c r="D280" s="103"/>
      <c r="E280" s="103"/>
      <c r="F280" s="92"/>
      <c r="G280" s="92"/>
      <c r="H280" s="92"/>
      <c r="I280" s="92"/>
      <c r="J280" s="92"/>
      <c r="K280" s="92"/>
      <c r="L280" s="92"/>
      <c r="M280" s="92"/>
      <c r="N280" s="92"/>
      <c r="O280" s="112"/>
      <c r="P280" s="92"/>
      <c r="Q280" s="92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 x14ac:dyDescent="0.2">
      <c r="A281" s="102"/>
      <c r="B281" s="102"/>
      <c r="C281" s="102"/>
      <c r="D281" s="103"/>
      <c r="E281" s="103"/>
      <c r="F281" s="92"/>
      <c r="G281" s="92"/>
      <c r="H281" s="92"/>
      <c r="I281" s="92"/>
      <c r="J281" s="92"/>
      <c r="K281" s="92"/>
      <c r="L281" s="92"/>
      <c r="M281" s="92"/>
      <c r="N281" s="92"/>
      <c r="O281" s="112"/>
      <c r="P281" s="92"/>
      <c r="Q281" s="92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 x14ac:dyDescent="0.2">
      <c r="A282" s="102"/>
      <c r="B282" s="102"/>
      <c r="C282" s="102"/>
      <c r="D282" s="103"/>
      <c r="E282" s="103"/>
      <c r="F282" s="92"/>
      <c r="G282" s="92"/>
      <c r="H282" s="92"/>
      <c r="I282" s="92"/>
      <c r="J282" s="92"/>
      <c r="K282" s="92"/>
      <c r="L282" s="92"/>
      <c r="M282" s="92"/>
      <c r="N282" s="92"/>
      <c r="O282" s="112"/>
      <c r="P282" s="92"/>
      <c r="Q282" s="92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 x14ac:dyDescent="0.2">
      <c r="A283" s="102"/>
      <c r="B283" s="102"/>
      <c r="C283" s="102"/>
      <c r="D283" s="103"/>
      <c r="E283" s="103"/>
      <c r="F283" s="92"/>
      <c r="G283" s="92"/>
      <c r="H283" s="92"/>
      <c r="I283" s="92"/>
      <c r="J283" s="92"/>
      <c r="K283" s="92"/>
      <c r="L283" s="92"/>
      <c r="M283" s="92"/>
      <c r="N283" s="92"/>
      <c r="O283" s="112"/>
      <c r="P283" s="92"/>
      <c r="Q283" s="92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 x14ac:dyDescent="0.2">
      <c r="A284" s="102"/>
      <c r="B284" s="102"/>
      <c r="C284" s="102"/>
      <c r="D284" s="103"/>
      <c r="E284" s="103"/>
      <c r="F284" s="92"/>
      <c r="G284" s="92"/>
      <c r="H284" s="92"/>
      <c r="I284" s="92"/>
      <c r="J284" s="92"/>
      <c r="K284" s="92"/>
      <c r="L284" s="92"/>
      <c r="M284" s="92"/>
      <c r="N284" s="92"/>
      <c r="O284" s="112"/>
      <c r="P284" s="92"/>
      <c r="Q284" s="92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 x14ac:dyDescent="0.2">
      <c r="A285" s="102"/>
      <c r="B285" s="102"/>
      <c r="C285" s="102"/>
      <c r="D285" s="103"/>
      <c r="E285" s="103"/>
      <c r="F285" s="92"/>
      <c r="G285" s="92"/>
      <c r="H285" s="92"/>
      <c r="I285" s="92"/>
      <c r="J285" s="92"/>
      <c r="K285" s="92"/>
      <c r="L285" s="92"/>
      <c r="M285" s="92"/>
      <c r="N285" s="92"/>
      <c r="O285" s="112"/>
      <c r="P285" s="92"/>
      <c r="Q285" s="92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 x14ac:dyDescent="0.2">
      <c r="A286" s="102"/>
      <c r="B286" s="102"/>
      <c r="C286" s="102"/>
      <c r="D286" s="103"/>
      <c r="E286" s="103"/>
      <c r="F286" s="92"/>
      <c r="G286" s="92"/>
      <c r="H286" s="92"/>
      <c r="I286" s="92"/>
      <c r="J286" s="92"/>
      <c r="K286" s="92"/>
      <c r="L286" s="92"/>
      <c r="M286" s="92"/>
      <c r="N286" s="92"/>
      <c r="O286" s="112"/>
      <c r="P286" s="92"/>
      <c r="Q286" s="92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 x14ac:dyDescent="0.2">
      <c r="A287" s="102"/>
      <c r="B287" s="102"/>
      <c r="C287" s="102"/>
      <c r="D287" s="103"/>
      <c r="E287" s="103"/>
      <c r="F287" s="92"/>
      <c r="G287" s="92"/>
      <c r="H287" s="92"/>
      <c r="I287" s="92"/>
      <c r="J287" s="92"/>
      <c r="K287" s="92"/>
      <c r="L287" s="92"/>
      <c r="M287" s="92"/>
      <c r="N287" s="92"/>
      <c r="O287" s="112"/>
      <c r="P287" s="92"/>
      <c r="Q287" s="92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 x14ac:dyDescent="0.2">
      <c r="A288" s="102"/>
      <c r="B288" s="102"/>
      <c r="C288" s="102"/>
      <c r="D288" s="103"/>
      <c r="E288" s="103"/>
      <c r="F288" s="92"/>
      <c r="G288" s="92"/>
      <c r="H288" s="92"/>
      <c r="I288" s="92"/>
      <c r="J288" s="92"/>
      <c r="K288" s="92"/>
      <c r="L288" s="92"/>
      <c r="M288" s="92"/>
      <c r="N288" s="92"/>
      <c r="O288" s="112"/>
      <c r="P288" s="92"/>
      <c r="Q288" s="92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 x14ac:dyDescent="0.2">
      <c r="A289" s="102"/>
      <c r="B289" s="102"/>
      <c r="C289" s="102"/>
      <c r="D289" s="103"/>
      <c r="E289" s="103"/>
      <c r="F289" s="92"/>
      <c r="G289" s="92"/>
      <c r="H289" s="92"/>
      <c r="I289" s="92"/>
      <c r="J289" s="92"/>
      <c r="K289" s="92"/>
      <c r="L289" s="92"/>
      <c r="M289" s="92"/>
      <c r="N289" s="92"/>
      <c r="O289" s="112"/>
      <c r="P289" s="92"/>
      <c r="Q289" s="92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</row>
    <row r="382" spans="1:35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</row>
    <row r="383" spans="1:35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</row>
    <row r="384" spans="1:35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</row>
    <row r="385" spans="1:35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</row>
    <row r="386" spans="1:35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</row>
    <row r="387" spans="1:35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</row>
    <row r="388" spans="1:35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</row>
    <row r="389" spans="1:35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</row>
    <row r="390" spans="1:35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</row>
    <row r="391" spans="1:35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</row>
    <row r="392" spans="1:35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</row>
    <row r="393" spans="1:35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</row>
    <row r="394" spans="1:35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</row>
    <row r="395" spans="1:35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</row>
    <row r="396" spans="1:35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</row>
    <row r="397" spans="1:35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</row>
    <row r="398" spans="1:35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</row>
    <row r="399" spans="1:35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</row>
    <row r="400" spans="1:35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</row>
    <row r="401" spans="1:35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</row>
    <row r="402" spans="1:35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</row>
    <row r="403" spans="1:35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</row>
    <row r="404" spans="1:35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</row>
    <row r="405" spans="1:35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</row>
    <row r="406" spans="1:35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</row>
    <row r="407" spans="1:35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</row>
    <row r="408" spans="1:35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</row>
    <row r="409" spans="1:35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</row>
    <row r="410" spans="1:35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</row>
    <row r="411" spans="1:35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</row>
    <row r="412" spans="1:35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</row>
    <row r="413" spans="1:35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</row>
    <row r="414" spans="1:35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</row>
    <row r="415" spans="1:35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</row>
    <row r="416" spans="1:35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</row>
    <row r="417" spans="1:35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</row>
    <row r="418" spans="1:35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</row>
    <row r="419" spans="1:35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</row>
    <row r="420" spans="1:35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</row>
    <row r="421" spans="1:35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</row>
    <row r="422" spans="1:35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</row>
    <row r="423" spans="1:35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</row>
    <row r="424" spans="1:35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</row>
    <row r="425" spans="1:35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</row>
    <row r="426" spans="1:35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</row>
    <row r="427" spans="1:35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</row>
    <row r="428" spans="1:35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</row>
    <row r="429" spans="1:35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</row>
    <row r="430" spans="1:35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</row>
    <row r="431" spans="1:35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</row>
    <row r="432" spans="1:35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</row>
    <row r="433" spans="1:35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</row>
    <row r="434" spans="1:35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</row>
    <row r="435" spans="1:35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</row>
    <row r="436" spans="1:35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</row>
    <row r="437" spans="1:35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</row>
    <row r="438" spans="1:35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</row>
    <row r="439" spans="1:35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</row>
    <row r="440" spans="1:35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</row>
    <row r="441" spans="1:35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</row>
    <row r="442" spans="1:35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</row>
    <row r="443" spans="1:35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</row>
    <row r="444" spans="1:35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</row>
    <row r="445" spans="1:35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</row>
    <row r="446" spans="1:35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</row>
    <row r="447" spans="1:35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</row>
    <row r="448" spans="1:35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</row>
    <row r="449" spans="1:35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</row>
    <row r="450" spans="1:35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</row>
    <row r="451" spans="1:35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</row>
    <row r="452" spans="1:35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</row>
    <row r="453" spans="1:35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</row>
    <row r="454" spans="1:35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</row>
    <row r="455" spans="1:35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</row>
    <row r="456" spans="1:35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</row>
    <row r="457" spans="1:35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</row>
    <row r="458" spans="1:35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</row>
    <row r="459" spans="1:35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</row>
    <row r="460" spans="1:35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</row>
    <row r="461" spans="1:35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</row>
    <row r="462" spans="1:35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</row>
    <row r="463" spans="1:35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</row>
    <row r="464" spans="1:35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</row>
    <row r="465" spans="1:35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</row>
    <row r="466" spans="1:35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</row>
    <row r="467" spans="1:35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</row>
    <row r="468" spans="1:35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</row>
    <row r="469" spans="1:35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</row>
    <row r="470" spans="1:35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</row>
    <row r="471" spans="1:35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</row>
    <row r="472" spans="1:35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</row>
    <row r="473" spans="1:35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</row>
    <row r="474" spans="1:35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</row>
    <row r="475" spans="1:35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</row>
    <row r="476" spans="1:35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</row>
    <row r="477" spans="1:35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</row>
    <row r="478" spans="1:35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</row>
    <row r="479" spans="1:35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</row>
    <row r="480" spans="1:35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</row>
    <row r="481" spans="1:35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</row>
    <row r="482" spans="1:35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</row>
    <row r="483" spans="1:35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</row>
    <row r="484" spans="1:35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</row>
    <row r="485" spans="1:35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</row>
    <row r="486" spans="1:35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</row>
    <row r="487" spans="1:35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</row>
    <row r="488" spans="1:35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</row>
    <row r="489" spans="1:35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</row>
    <row r="490" spans="1:35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</row>
    <row r="491" spans="1:35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</row>
    <row r="492" spans="1:35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</row>
    <row r="493" spans="1:35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</row>
    <row r="494" spans="1:35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</row>
    <row r="495" spans="1:35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</row>
    <row r="496" spans="1:35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</row>
    <row r="497" spans="1:35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</row>
    <row r="498" spans="1:35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</row>
    <row r="499" spans="1:35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</row>
    <row r="500" spans="1:35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</row>
    <row r="501" spans="1:35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</row>
    <row r="502" spans="1:35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</row>
    <row r="503" spans="1:35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</row>
    <row r="504" spans="1:35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</row>
    <row r="505" spans="1:35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</row>
    <row r="506" spans="1:35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</row>
    <row r="507" spans="1:35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</row>
    <row r="508" spans="1:35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</row>
    <row r="509" spans="1:35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</row>
    <row r="510" spans="1:35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</row>
    <row r="511" spans="1:35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</row>
    <row r="512" spans="1:35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</row>
    <row r="513" spans="1:35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</row>
    <row r="514" spans="1:35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</row>
    <row r="515" spans="1:35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</row>
    <row r="516" spans="1:35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</row>
    <row r="517" spans="1:35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</row>
    <row r="518" spans="1:35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</row>
    <row r="519" spans="1:35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</row>
    <row r="520" spans="1:35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</row>
    <row r="521" spans="1:35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</row>
    <row r="522" spans="1:35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</row>
    <row r="523" spans="1:35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</row>
    <row r="524" spans="1:35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</row>
    <row r="525" spans="1:35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</row>
    <row r="526" spans="1:35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</row>
    <row r="527" spans="1:35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</row>
    <row r="528" spans="1:35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</row>
    <row r="529" spans="1:35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</row>
    <row r="530" spans="1:35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</row>
    <row r="531" spans="1:35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</row>
    <row r="532" spans="1:35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</row>
    <row r="533" spans="1:35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</row>
    <row r="534" spans="1:35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</row>
    <row r="535" spans="1:35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</row>
    <row r="536" spans="1:35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</row>
    <row r="537" spans="1:35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</row>
    <row r="538" spans="1:35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</row>
    <row r="539" spans="1:35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</row>
    <row r="540" spans="1:35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</row>
    <row r="541" spans="1:35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</row>
    <row r="542" spans="1:35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</row>
    <row r="543" spans="1:35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</row>
    <row r="544" spans="1:35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</row>
    <row r="545" spans="1:35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</row>
    <row r="546" spans="1:35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</row>
    <row r="547" spans="1:35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</row>
    <row r="548" spans="1:35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</row>
    <row r="549" spans="1:35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</row>
    <row r="550" spans="1:35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</row>
    <row r="551" spans="1:35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</row>
    <row r="552" spans="1:35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</row>
    <row r="553" spans="1:35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</row>
    <row r="554" spans="1:35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</row>
    <row r="555" spans="1:35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</row>
    <row r="556" spans="1:35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</row>
    <row r="557" spans="1:35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</row>
    <row r="558" spans="1:35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</row>
    <row r="559" spans="1:35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</row>
    <row r="560" spans="1:35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</row>
    <row r="562" spans="1:35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</row>
    <row r="563" spans="1:35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</row>
    <row r="564" spans="1:35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</row>
    <row r="565" spans="1:35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</row>
    <row r="566" spans="1:35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</row>
    <row r="567" spans="1:35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</row>
    <row r="568" spans="1:35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</row>
    <row r="569" spans="1:35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</row>
    <row r="570" spans="1:35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</row>
    <row r="571" spans="1:35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</row>
    <row r="572" spans="1:35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</row>
    <row r="573" spans="1:35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</row>
    <row r="574" spans="1:35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</row>
    <row r="575" spans="1:35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</row>
    <row r="576" spans="1:35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</row>
    <row r="577" spans="1:35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</row>
    <row r="578" spans="1:35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</row>
    <row r="579" spans="1:35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</row>
    <row r="580" spans="1:35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</row>
    <row r="581" spans="1:35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</row>
    <row r="582" spans="1:35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</row>
    <row r="583" spans="1:35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</row>
    <row r="584" spans="1:35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</row>
    <row r="585" spans="1:35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</row>
    <row r="586" spans="1:35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</row>
    <row r="587" spans="1:35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</row>
    <row r="588" spans="1:35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</row>
    <row r="589" spans="1:35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</row>
    <row r="590" spans="1:35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</row>
    <row r="591" spans="1:35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</row>
    <row r="592" spans="1:35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</row>
    <row r="593" spans="1:35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</row>
    <row r="594" spans="1:35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</row>
    <row r="595" spans="1:35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</row>
    <row r="596" spans="1:35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</row>
    <row r="597" spans="1:35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</row>
    <row r="598" spans="1:35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</row>
    <row r="599" spans="1:35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</row>
    <row r="600" spans="1:35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</row>
    <row r="601" spans="1:35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</row>
    <row r="602" spans="1:35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</row>
    <row r="603" spans="1:35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</row>
    <row r="604" spans="1:35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</row>
    <row r="605" spans="1:35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</row>
    <row r="606" spans="1:35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</row>
    <row r="607" spans="1:35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</row>
    <row r="608" spans="1:35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</row>
    <row r="609" spans="1:35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</row>
    <row r="610" spans="1:35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</row>
    <row r="611" spans="1:35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</row>
    <row r="612" spans="1:35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</row>
    <row r="613" spans="1:35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</row>
    <row r="614" spans="1:35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</row>
    <row r="615" spans="1:35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</row>
    <row r="616" spans="1:35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</row>
    <row r="617" spans="1:35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</row>
    <row r="618" spans="1:35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</row>
    <row r="619" spans="1:35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</row>
    <row r="620" spans="1:35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</row>
    <row r="621" spans="1:35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</row>
    <row r="622" spans="1:35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</row>
    <row r="623" spans="1:35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</row>
    <row r="624" spans="1:35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</row>
    <row r="625" spans="1:35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</row>
    <row r="626" spans="1:35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</row>
    <row r="627" spans="1:35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</row>
    <row r="628" spans="1:35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</row>
    <row r="629" spans="1:35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</row>
    <row r="630" spans="1:35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</row>
    <row r="631" spans="1:35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</row>
    <row r="632" spans="1:35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</row>
    <row r="633" spans="1:35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</row>
    <row r="634" spans="1:35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</row>
    <row r="635" spans="1:35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</row>
    <row r="636" spans="1:35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</row>
    <row r="637" spans="1:35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</row>
    <row r="638" spans="1:35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</row>
    <row r="639" spans="1:35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</row>
    <row r="640" spans="1:35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</row>
    <row r="641" spans="1:35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</row>
    <row r="642" spans="1:35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</row>
    <row r="643" spans="1:35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</row>
    <row r="644" spans="1:35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</row>
    <row r="645" spans="1:35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</row>
    <row r="646" spans="1:35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</row>
    <row r="647" spans="1:35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</row>
    <row r="648" spans="1:35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</row>
    <row r="649" spans="1:35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</row>
    <row r="650" spans="1:35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</row>
    <row r="651" spans="1:35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</row>
    <row r="652" spans="1:35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</row>
    <row r="653" spans="1:35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</row>
    <row r="654" spans="1:35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</row>
    <row r="655" spans="1:35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</row>
    <row r="656" spans="1:35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</row>
    <row r="657" spans="1:35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</row>
    <row r="658" spans="1:35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</row>
    <row r="659" spans="1:35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</row>
    <row r="660" spans="1:35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</row>
    <row r="661" spans="1:35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</row>
    <row r="662" spans="1:35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</row>
    <row r="663" spans="1:35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</row>
    <row r="664" spans="1:35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</row>
    <row r="665" spans="1:35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</row>
    <row r="666" spans="1:35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</row>
    <row r="667" spans="1:35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</row>
    <row r="668" spans="1:35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</row>
    <row r="669" spans="1:35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</row>
    <row r="670" spans="1:35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</row>
    <row r="671" spans="1:35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</row>
    <row r="672" spans="1:35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</row>
    <row r="673" spans="1:35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</row>
    <row r="674" spans="1:35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</row>
    <row r="675" spans="1:35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</row>
    <row r="676" spans="1:35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</row>
    <row r="677" spans="1:35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</row>
    <row r="678" spans="1:35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</row>
    <row r="679" spans="1:35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</row>
    <row r="680" spans="1:35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</row>
    <row r="681" spans="1:35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</row>
    <row r="682" spans="1:35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</row>
    <row r="683" spans="1:35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</row>
    <row r="684" spans="1:35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</row>
    <row r="685" spans="1:35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</row>
    <row r="686" spans="1:35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</row>
    <row r="687" spans="1:35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</row>
    <row r="688" spans="1:35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</row>
    <row r="689" spans="1:35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</row>
    <row r="690" spans="1:35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</row>
    <row r="691" spans="1:35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</row>
    <row r="692" spans="1:35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</row>
    <row r="693" spans="1:35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</row>
    <row r="694" spans="1:35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</row>
    <row r="695" spans="1:35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</row>
    <row r="696" spans="1:35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</row>
    <row r="697" spans="1:35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</row>
    <row r="698" spans="1:35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</row>
    <row r="699" spans="1:35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</row>
    <row r="700" spans="1:35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</row>
    <row r="701" spans="1:35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</row>
    <row r="702" spans="1:35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</row>
    <row r="703" spans="1:35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</row>
    <row r="704" spans="1:35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</row>
    <row r="705" spans="1:35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</row>
    <row r="706" spans="1:35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</row>
    <row r="707" spans="1:35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</row>
    <row r="708" spans="1:35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</row>
    <row r="709" spans="1:35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</row>
    <row r="710" spans="1:35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</row>
    <row r="711" spans="1:35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</row>
    <row r="712" spans="1:35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</row>
    <row r="713" spans="1:35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</row>
    <row r="714" spans="1:35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</row>
    <row r="715" spans="1:35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</row>
    <row r="716" spans="1:35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</row>
    <row r="717" spans="1:35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</row>
    <row r="718" spans="1:35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</row>
    <row r="719" spans="1:35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</row>
    <row r="720" spans="1:35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</row>
    <row r="721" spans="1:35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</row>
    <row r="722" spans="1:35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</row>
    <row r="723" spans="1:35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</row>
    <row r="724" spans="1:35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</row>
    <row r="725" spans="1:35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</row>
    <row r="726" spans="1:35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</row>
    <row r="727" spans="1:35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</row>
    <row r="728" spans="1:35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</row>
    <row r="729" spans="1:35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</row>
    <row r="730" spans="1:35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</row>
    <row r="731" spans="1:35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</row>
    <row r="732" spans="1:35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</row>
    <row r="733" spans="1:35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</row>
    <row r="734" spans="1:35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</row>
    <row r="735" spans="1:35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</row>
    <row r="736" spans="1:35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</row>
    <row r="737" spans="1:35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</row>
    <row r="738" spans="1:35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</row>
    <row r="739" spans="1:35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</row>
    <row r="740" spans="1:35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</row>
    <row r="741" spans="1:35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</row>
    <row r="742" spans="1:35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</row>
    <row r="743" spans="1:35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</row>
    <row r="744" spans="1:35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</row>
    <row r="745" spans="1:35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</row>
    <row r="746" spans="1:35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</row>
    <row r="747" spans="1:35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</row>
    <row r="748" spans="1:35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</row>
    <row r="749" spans="1:35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</row>
    <row r="750" spans="1:35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</row>
    <row r="751" spans="1:35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</row>
    <row r="752" spans="1:35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</row>
    <row r="753" spans="1:35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</row>
    <row r="754" spans="1:35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</row>
    <row r="755" spans="1:35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</row>
    <row r="756" spans="1:35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</row>
    <row r="757" spans="1:35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</row>
    <row r="758" spans="1:35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</row>
    <row r="759" spans="1:35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</row>
    <row r="760" spans="1:35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</row>
    <row r="761" spans="1:35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</row>
    <row r="762" spans="1:35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</row>
    <row r="763" spans="1:35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</row>
    <row r="764" spans="1:35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</row>
    <row r="765" spans="1:35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</row>
    <row r="766" spans="1:35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</row>
    <row r="767" spans="1:35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</row>
    <row r="768" spans="1:35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</row>
    <row r="769" spans="1:35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</row>
    <row r="770" spans="1:35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</row>
    <row r="771" spans="1:35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</row>
    <row r="772" spans="1:35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</row>
    <row r="773" spans="1:35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</row>
    <row r="774" spans="1:35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</row>
    <row r="775" spans="1:35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</row>
    <row r="776" spans="1:35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</row>
    <row r="777" spans="1:35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</row>
    <row r="778" spans="1:35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</row>
    <row r="779" spans="1:35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</row>
    <row r="780" spans="1:35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</row>
    <row r="781" spans="1:35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</row>
    <row r="782" spans="1:35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</row>
    <row r="783" spans="1:35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</row>
    <row r="784" spans="1:35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</row>
    <row r="785" spans="1:35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</row>
    <row r="786" spans="1:35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</row>
    <row r="787" spans="1:35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</row>
    <row r="788" spans="1:35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</row>
    <row r="789" spans="1:35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</row>
    <row r="790" spans="1:35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</row>
    <row r="791" spans="1:35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</row>
    <row r="792" spans="1:35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</row>
    <row r="793" spans="1:35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</row>
    <row r="794" spans="1:35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</row>
    <row r="795" spans="1:35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</row>
    <row r="796" spans="1:35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</row>
    <row r="797" spans="1:35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</row>
    <row r="798" spans="1:35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</row>
    <row r="799" spans="1:35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</row>
    <row r="800" spans="1:35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</row>
    <row r="801" spans="1:35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</row>
    <row r="802" spans="1:35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</row>
    <row r="803" spans="1:35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</row>
    <row r="804" spans="1:35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</row>
    <row r="805" spans="1:35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</row>
    <row r="806" spans="1:35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</row>
    <row r="807" spans="1:35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</row>
    <row r="809" spans="1:35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</row>
    <row r="810" spans="1:35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</row>
    <row r="811" spans="1:35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</row>
    <row r="812" spans="1:35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</row>
    <row r="813" spans="1:35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</row>
    <row r="814" spans="1:35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</row>
    <row r="815" spans="1:35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</row>
    <row r="816" spans="1:35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</row>
    <row r="817" spans="1:35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</row>
    <row r="818" spans="1:35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</row>
    <row r="819" spans="1:35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</row>
    <row r="820" spans="1:35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</row>
    <row r="821" spans="1:35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</row>
    <row r="822" spans="1:35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</row>
    <row r="823" spans="1:35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</row>
    <row r="824" spans="1:35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</row>
    <row r="825" spans="1:35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</row>
    <row r="826" spans="1:35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</row>
    <row r="827" spans="1:35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</row>
    <row r="828" spans="1:35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</row>
    <row r="829" spans="1:35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</row>
    <row r="830" spans="1:35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</row>
    <row r="831" spans="1:35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</row>
    <row r="832" spans="1:35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</row>
    <row r="833" spans="1:35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</row>
    <row r="834" spans="1:35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</row>
    <row r="835" spans="1:35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</row>
    <row r="836" spans="1:35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</row>
    <row r="837" spans="1:35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</row>
    <row r="838" spans="1:35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</row>
    <row r="839" spans="1:35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</row>
    <row r="840" spans="1:35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</row>
    <row r="841" spans="1:35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</row>
    <row r="842" spans="1:35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</row>
    <row r="843" spans="1:35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</row>
    <row r="844" spans="1:35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</row>
    <row r="845" spans="1:35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</row>
    <row r="846" spans="1:35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</row>
    <row r="847" spans="1:35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</row>
    <row r="848" spans="1:35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</row>
    <row r="849" spans="1:35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</row>
    <row r="850" spans="1:35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</row>
    <row r="851" spans="1:35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</row>
    <row r="852" spans="1:35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</row>
    <row r="853" spans="1:35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</row>
    <row r="854" spans="1:35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</row>
    <row r="855" spans="1:35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</row>
    <row r="856" spans="1:35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</row>
    <row r="857" spans="1:35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</row>
    <row r="858" spans="1:35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</row>
    <row r="859" spans="1:35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</row>
    <row r="860" spans="1:35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</row>
    <row r="861" spans="1:35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</row>
    <row r="862" spans="1:35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</row>
    <row r="863" spans="1:35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</row>
    <row r="864" spans="1:35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</row>
    <row r="865" spans="1:35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</row>
    <row r="866" spans="1:35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</row>
    <row r="867" spans="1:35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</row>
    <row r="868" spans="1:35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</row>
    <row r="869" spans="1:35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</row>
    <row r="870" spans="1:35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</row>
    <row r="871" spans="1:35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</row>
    <row r="872" spans="1:35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</row>
    <row r="873" spans="1:35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</row>
    <row r="874" spans="1:35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</row>
    <row r="875" spans="1:35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</row>
    <row r="876" spans="1:35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</row>
    <row r="877" spans="1:35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</row>
    <row r="878" spans="1:35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</row>
    <row r="879" spans="1:35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</row>
    <row r="880" spans="1:35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</row>
    <row r="881" spans="1:35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</row>
    <row r="882" spans="1:35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</row>
    <row r="883" spans="1:35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</row>
    <row r="884" spans="1:35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</row>
    <row r="885" spans="1:35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</row>
    <row r="886" spans="1:35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</row>
    <row r="887" spans="1:35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</row>
    <row r="888" spans="1:35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</row>
    <row r="889" spans="1:35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</row>
    <row r="890" spans="1:35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</row>
    <row r="891" spans="1:35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</row>
    <row r="892" spans="1:35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</row>
    <row r="893" spans="1:35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</row>
    <row r="894" spans="1:35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</row>
    <row r="895" spans="1:35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</row>
    <row r="896" spans="1:35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</row>
    <row r="897" spans="1:35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</row>
    <row r="898" spans="1:35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</row>
    <row r="899" spans="1:35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</row>
    <row r="900" spans="1:35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</row>
    <row r="901" spans="1:35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22"/>
  <sheetViews>
    <sheetView topLeftCell="A4" workbookViewId="0">
      <selection activeCell="A21" sqref="A21:B73"/>
    </sheetView>
  </sheetViews>
  <sheetFormatPr defaultRowHeight="12.75" x14ac:dyDescent="0.2"/>
  <cols>
    <col min="2" max="2" width="10.140625" customWidth="1"/>
  </cols>
  <sheetData>
    <row r="1" spans="1:19" ht="18" x14ac:dyDescent="0.2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K1" s="75" t="s">
        <v>87</v>
      </c>
      <c r="L1" s="25" t="s">
        <v>88</v>
      </c>
      <c r="M1" s="25">
        <f ca="1">F18*H18-G18*G18</f>
        <v>161.36524319916498</v>
      </c>
      <c r="N1" s="25"/>
      <c r="O1" s="25"/>
      <c r="P1" s="25"/>
      <c r="Q1" s="25"/>
      <c r="R1" s="25">
        <v>1</v>
      </c>
      <c r="S1" s="25" t="s">
        <v>89</v>
      </c>
    </row>
    <row r="2" spans="1:19" x14ac:dyDescent="0.2">
      <c r="A2" s="25"/>
      <c r="B2" s="25"/>
      <c r="C2" s="25"/>
      <c r="D2" s="25"/>
      <c r="E2" s="25"/>
      <c r="F2" s="25"/>
      <c r="G2" s="25"/>
      <c r="H2" s="25"/>
      <c r="K2" s="75" t="s">
        <v>90</v>
      </c>
      <c r="L2" s="25" t="s">
        <v>91</v>
      </c>
      <c r="M2" s="25">
        <f ca="1">+D18*H18-F18*G18</f>
        <v>307.59193222273188</v>
      </c>
      <c r="N2" s="25"/>
      <c r="O2" s="25"/>
      <c r="P2" s="25"/>
      <c r="Q2" s="25"/>
      <c r="R2" s="25">
        <v>2</v>
      </c>
      <c r="S2" s="25" t="s">
        <v>92</v>
      </c>
    </row>
    <row r="3" spans="1:19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100" t="s">
        <v>98</v>
      </c>
      <c r="K3" s="75" t="s">
        <v>99</v>
      </c>
      <c r="L3" s="25" t="s">
        <v>100</v>
      </c>
      <c r="M3" s="25">
        <f ca="1">+D18*G18-F18*F18</f>
        <v>135.71546495122811</v>
      </c>
      <c r="N3" s="25"/>
      <c r="O3" s="25"/>
      <c r="P3" s="25"/>
      <c r="Q3" s="25"/>
      <c r="R3" s="25">
        <v>3</v>
      </c>
      <c r="S3" s="25" t="s">
        <v>101</v>
      </c>
    </row>
    <row r="4" spans="1:19" x14ac:dyDescent="0.2">
      <c r="A4" s="25" t="s">
        <v>102</v>
      </c>
      <c r="B4" s="25" t="s">
        <v>103</v>
      </c>
      <c r="C4" s="25"/>
      <c r="D4" s="77" t="s">
        <v>104</v>
      </c>
      <c r="E4" s="78">
        <f ca="1">(E18*M1-I18*M2+J18*M3)/M7</f>
        <v>-2.5297204534783947E-2</v>
      </c>
      <c r="F4" s="79">
        <f ca="1">+E7/M7*M18</f>
        <v>3.8512856085566052E-2</v>
      </c>
      <c r="G4" s="80">
        <f>+B18</f>
        <v>0.01</v>
      </c>
      <c r="H4" s="106">
        <f ca="1">ABS(F4/E4)</f>
        <v>1.5224154919018991</v>
      </c>
      <c r="K4" s="75" t="s">
        <v>105</v>
      </c>
      <c r="L4" s="25" t="s">
        <v>106</v>
      </c>
      <c r="M4" s="25">
        <f ca="1">+D17*H18-F18*F18</f>
        <v>2098.2726204363953</v>
      </c>
      <c r="N4" s="25"/>
      <c r="O4" s="25"/>
      <c r="P4" s="25"/>
      <c r="Q4" s="25"/>
      <c r="R4" s="25">
        <v>4</v>
      </c>
      <c r="S4" s="25" t="s">
        <v>107</v>
      </c>
    </row>
    <row r="5" spans="1:19" x14ac:dyDescent="0.2">
      <c r="A5" s="25" t="s">
        <v>108</v>
      </c>
      <c r="B5" s="81">
        <v>40323</v>
      </c>
      <c r="C5" s="25"/>
      <c r="D5" s="82" t="s">
        <v>109</v>
      </c>
      <c r="E5" s="83">
        <f ca="1">+(-E18*M2+I18*M4-J18*M5)/M7</f>
        <v>0.18506861156007012</v>
      </c>
      <c r="F5" s="84">
        <f ca="1">N18*E7/M7</f>
        <v>0.13887743452769755</v>
      </c>
      <c r="G5" s="85">
        <f>+B18/A18</f>
        <v>9.9999999999999995E-7</v>
      </c>
      <c r="H5" s="106">
        <f ca="1">ABS(F5/E5)</f>
        <v>0.75041052805769981</v>
      </c>
      <c r="K5" s="75" t="s">
        <v>110</v>
      </c>
      <c r="L5" s="25" t="s">
        <v>111</v>
      </c>
      <c r="M5" s="25">
        <f ca="1">+D17*G18-D18*F18</f>
        <v>1384.3358004577899</v>
      </c>
      <c r="N5" s="25"/>
      <c r="O5" s="25"/>
      <c r="P5" s="25"/>
      <c r="Q5" s="25"/>
      <c r="R5" s="25">
        <v>5</v>
      </c>
      <c r="S5" s="25" t="s">
        <v>112</v>
      </c>
    </row>
    <row r="6" spans="1:19" ht="13.5" thickBot="1" x14ac:dyDescent="0.25">
      <c r="A6" s="25"/>
      <c r="B6" s="25"/>
      <c r="C6" s="25"/>
      <c r="D6" s="86" t="s">
        <v>113</v>
      </c>
      <c r="E6" s="87">
        <f ca="1">+(E18*M3-I18*M5+J18*M6)/M7</f>
        <v>2.4268085117669833</v>
      </c>
      <c r="F6" s="88">
        <f ca="1">O18*E7/M7</f>
        <v>9.5306648748006137E-2</v>
      </c>
      <c r="G6" s="89">
        <f>+B18/A18^2</f>
        <v>1E-10</v>
      </c>
      <c r="H6" s="106">
        <f ca="1">ABS(F6/E6)</f>
        <v>3.9272422313457449E-2</v>
      </c>
      <c r="K6" s="90" t="s">
        <v>114</v>
      </c>
      <c r="L6" s="91" t="s">
        <v>115</v>
      </c>
      <c r="M6" s="91">
        <f ca="1">+D17*F18-D18*D18</f>
        <v>988.20020777999957</v>
      </c>
      <c r="N6" s="25"/>
      <c r="O6" s="25"/>
      <c r="P6" s="25"/>
      <c r="Q6" s="25"/>
      <c r="R6" s="25">
        <v>6</v>
      </c>
      <c r="S6" s="25" t="s">
        <v>116</v>
      </c>
    </row>
    <row r="7" spans="1:19" x14ac:dyDescent="0.2">
      <c r="A7" s="92">
        <v>21</v>
      </c>
      <c r="B7" s="25"/>
      <c r="C7" s="25"/>
      <c r="D7" s="61" t="s">
        <v>117</v>
      </c>
      <c r="E7" s="93">
        <f ca="1">SQRT(L18/(D17-3))</f>
        <v>0.16507805810262785</v>
      </c>
      <c r="F7" s="25"/>
      <c r="G7" s="94">
        <f>+B22</f>
        <v>-1.5173249994404614E-3</v>
      </c>
      <c r="H7" s="25"/>
      <c r="K7" s="75" t="s">
        <v>118</v>
      </c>
      <c r="L7" s="25" t="s">
        <v>119</v>
      </c>
      <c r="M7" s="25">
        <f ca="1">+D17*M1-D18*M2+F18*M3</f>
        <v>2964.6760578343428</v>
      </c>
      <c r="N7" s="25"/>
      <c r="O7" s="25"/>
      <c r="P7" s="25"/>
      <c r="Q7" s="25"/>
      <c r="R7" s="25">
        <v>7</v>
      </c>
      <c r="S7" s="25" t="s">
        <v>120</v>
      </c>
    </row>
    <row r="8" spans="1:19" x14ac:dyDescent="0.2">
      <c r="A8" s="92">
        <f>20+COUNT(A21:A1449)</f>
        <v>73</v>
      </c>
      <c r="B8" s="25"/>
      <c r="C8" s="25"/>
      <c r="D8" s="61" t="s">
        <v>163</v>
      </c>
      <c r="E8" s="25"/>
      <c r="F8" s="108">
        <f ca="1">CORREL(E21:E73,K21:K73)</f>
        <v>0.99736232155672377</v>
      </c>
      <c r="G8" s="93"/>
      <c r="I8" s="94"/>
      <c r="J8" s="25"/>
      <c r="K8" s="25"/>
      <c r="L8" s="25"/>
      <c r="M8" s="25"/>
      <c r="N8" s="25"/>
      <c r="O8" s="25"/>
      <c r="P8" s="25"/>
      <c r="Q8" s="25"/>
      <c r="R8" s="25">
        <v>8</v>
      </c>
      <c r="S8" s="25" t="s">
        <v>121</v>
      </c>
    </row>
    <row r="9" spans="1:19" x14ac:dyDescent="0.2">
      <c r="A9" s="25"/>
      <c r="B9" s="25"/>
      <c r="C9" s="25"/>
      <c r="D9" s="25"/>
      <c r="E9" s="109">
        <f ca="1">E6*G6</f>
        <v>2.4268085117669833E-10</v>
      </c>
      <c r="F9" s="110">
        <f ca="1">H6</f>
        <v>3.9272422313457449E-2</v>
      </c>
      <c r="G9" s="111">
        <f ca="1">F8</f>
        <v>0.99736232155672377</v>
      </c>
      <c r="H9" s="25"/>
      <c r="I9" s="94"/>
      <c r="J9" s="25"/>
      <c r="K9" s="25"/>
      <c r="L9" s="25"/>
      <c r="M9" s="25"/>
      <c r="N9" s="25"/>
      <c r="O9" s="25"/>
      <c r="P9" s="25"/>
      <c r="Q9" s="25"/>
      <c r="R9" s="25">
        <v>9</v>
      </c>
      <c r="S9" s="25" t="s">
        <v>64</v>
      </c>
    </row>
    <row r="10" spans="1:19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10</v>
      </c>
      <c r="S10" s="25" t="s">
        <v>122</v>
      </c>
    </row>
    <row r="11" spans="1:19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11</v>
      </c>
      <c r="S11" s="25" t="s">
        <v>123</v>
      </c>
    </row>
    <row r="12" spans="1:19" x14ac:dyDescent="0.2">
      <c r="A12" s="5" t="str">
        <f>A$15&amp;$C12</f>
        <v>A21</v>
      </c>
      <c r="B12" s="25" t="s">
        <v>124</v>
      </c>
      <c r="C12" s="95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25"/>
      <c r="Q12" s="25"/>
      <c r="R12" s="25">
        <v>12</v>
      </c>
      <c r="S12" s="25" t="s">
        <v>125</v>
      </c>
    </row>
    <row r="13" spans="1:19" x14ac:dyDescent="0.2">
      <c r="A13" s="5" t="str">
        <f>A$15&amp;$C13</f>
        <v>A73</v>
      </c>
      <c r="B13" s="25" t="s">
        <v>126</v>
      </c>
      <c r="C13" s="95">
        <v>73</v>
      </c>
      <c r="D13" s="5" t="str">
        <f>D$15&amp;$C13</f>
        <v>D73</v>
      </c>
      <c r="E13" s="5" t="str">
        <f t="shared" ref="E13:O13" si="1">E$15&amp;$C13</f>
        <v>E73</v>
      </c>
      <c r="F13" s="5" t="str">
        <f t="shared" si="1"/>
        <v>F73</v>
      </c>
      <c r="G13" s="5" t="str">
        <f t="shared" si="1"/>
        <v>G73</v>
      </c>
      <c r="H13" s="5" t="str">
        <f t="shared" si="1"/>
        <v>H73</v>
      </c>
      <c r="I13" s="5" t="str">
        <f t="shared" si="1"/>
        <v>I73</v>
      </c>
      <c r="J13" s="5" t="str">
        <f t="shared" si="1"/>
        <v>J73</v>
      </c>
      <c r="K13" s="5" t="str">
        <f t="shared" si="1"/>
        <v>K73</v>
      </c>
      <c r="L13" s="5" t="str">
        <f t="shared" si="1"/>
        <v>L73</v>
      </c>
      <c r="M13" s="5" t="str">
        <f t="shared" si="1"/>
        <v>M73</v>
      </c>
      <c r="N13" s="5" t="str">
        <f t="shared" si="1"/>
        <v>N73</v>
      </c>
      <c r="O13" s="5" t="str">
        <f t="shared" si="1"/>
        <v>O73</v>
      </c>
      <c r="P13" s="25"/>
      <c r="Q13" s="25"/>
      <c r="R13" s="25">
        <v>13</v>
      </c>
      <c r="S13" s="25" t="s">
        <v>127</v>
      </c>
    </row>
    <row r="14" spans="1:19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14</v>
      </c>
      <c r="S14" s="25" t="s">
        <v>128</v>
      </c>
    </row>
    <row r="15" spans="1:19" x14ac:dyDescent="0.2">
      <c r="A15" s="5" t="s">
        <v>89</v>
      </c>
      <c r="B15" s="25"/>
      <c r="C15" s="25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25"/>
      <c r="Q15" s="25"/>
      <c r="R15" s="25">
        <v>15</v>
      </c>
      <c r="S15" s="25" t="s">
        <v>129</v>
      </c>
    </row>
    <row r="16" spans="1:19" x14ac:dyDescent="0.2">
      <c r="A16" s="5">
        <f>COLUMN()</f>
        <v>1</v>
      </c>
      <c r="B16" s="25"/>
      <c r="C16" s="2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5"/>
      <c r="Q16" s="25"/>
      <c r="R16" s="25">
        <v>16</v>
      </c>
      <c r="S16" s="25" t="s">
        <v>130</v>
      </c>
    </row>
    <row r="17" spans="1:19" x14ac:dyDescent="0.2">
      <c r="A17" s="61" t="s">
        <v>131</v>
      </c>
      <c r="B17" s="25"/>
      <c r="C17" s="25" t="s">
        <v>132</v>
      </c>
      <c r="D17" s="25">
        <f>C13-C12+1</f>
        <v>53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>
        <v>17</v>
      </c>
      <c r="S17" s="25" t="s">
        <v>133</v>
      </c>
    </row>
    <row r="18" spans="1:19" x14ac:dyDescent="0.2">
      <c r="A18" s="107">
        <v>10000</v>
      </c>
      <c r="B18" s="96">
        <v>0.01</v>
      </c>
      <c r="C18" s="25" t="s">
        <v>134</v>
      </c>
      <c r="D18" s="25">
        <f ca="1">SUM(INDIRECT(D12):INDIRECT(D13))</f>
        <v>39.156600000000005</v>
      </c>
      <c r="E18" s="25">
        <f ca="1">SUM(INDIRECT(E12):INDIRECT(E13))</f>
        <v>121.35969663358992</v>
      </c>
      <c r="F18" s="25">
        <f ca="1">SUM(INDIRECT(F12):INDIRECT(F13))</f>
        <v>47.574330779999997</v>
      </c>
      <c r="G18" s="25">
        <f ca="1">SUM(INDIRECT(G12):INDIRECT(G13))</f>
        <v>61.26763851090449</v>
      </c>
      <c r="H18" s="25">
        <f ca="1">SUM(INDIRECT(H12):INDIRECT(H13))</f>
        <v>82.294142822665094</v>
      </c>
      <c r="I18" s="25">
        <f ca="1">SUM(INDIRECT(I12):INDIRECT(I13))</f>
        <v>156.49878945839134</v>
      </c>
      <c r="J18" s="25">
        <f ca="1">SUM(INDIRECT(J12):INDIRECT(J13))</f>
        <v>209.84734548703952</v>
      </c>
      <c r="K18" s="25"/>
      <c r="L18" s="25">
        <f ca="1">SUM(INDIRECT(L12):INDIRECT(L13))</f>
        <v>1.3625382633467289</v>
      </c>
      <c r="M18" s="25">
        <f ca="1">SQRT(SUM(INDIRECT(M12):INDIRECT(M13)))</f>
        <v>691.6615307209006</v>
      </c>
      <c r="N18" s="25">
        <f ca="1">SQRT(SUM(INDIRECT(N12):INDIRECT(N13)))</f>
        <v>2494.1328353993231</v>
      </c>
      <c r="O18" s="25">
        <f ca="1">SQRT(SUM(INDIRECT(O12):INDIRECT(O13)))</f>
        <v>1711.6347438493603</v>
      </c>
      <c r="P18" s="25"/>
      <c r="Q18" s="25"/>
      <c r="R18" s="25">
        <v>18</v>
      </c>
      <c r="S18" s="25" t="s">
        <v>135</v>
      </c>
    </row>
    <row r="19" spans="1:19" x14ac:dyDescent="0.2">
      <c r="A19" s="97" t="s">
        <v>136</v>
      </c>
      <c r="B19" s="25"/>
      <c r="C19" s="25"/>
      <c r="D19" s="98" t="s">
        <v>137</v>
      </c>
      <c r="E19" s="98" t="s">
        <v>138</v>
      </c>
      <c r="F19" s="98" t="s">
        <v>139</v>
      </c>
      <c r="G19" s="98" t="s">
        <v>140</v>
      </c>
      <c r="H19" s="98" t="s">
        <v>141</v>
      </c>
      <c r="I19" s="98" t="s">
        <v>142</v>
      </c>
      <c r="J19" s="98" t="s">
        <v>143</v>
      </c>
      <c r="K19" s="99"/>
      <c r="L19" s="99"/>
      <c r="M19" s="99"/>
      <c r="N19" s="99"/>
      <c r="O19" s="99"/>
      <c r="P19" s="25"/>
      <c r="Q19" s="25"/>
      <c r="R19" s="25">
        <v>19</v>
      </c>
      <c r="S19" s="25" t="s">
        <v>144</v>
      </c>
    </row>
    <row r="20" spans="1:19" ht="15" thickBot="1" x14ac:dyDescent="0.25">
      <c r="A20" s="6" t="s">
        <v>145</v>
      </c>
      <c r="B20" s="6" t="s">
        <v>146</v>
      </c>
      <c r="C20" s="25"/>
      <c r="D20" s="100" t="s">
        <v>145</v>
      </c>
      <c r="E20" s="100" t="s">
        <v>146</v>
      </c>
      <c r="F20" s="100" t="s">
        <v>147</v>
      </c>
      <c r="G20" s="100" t="s">
        <v>148</v>
      </c>
      <c r="H20" s="100" t="s">
        <v>149</v>
      </c>
      <c r="I20" s="100" t="s">
        <v>150</v>
      </c>
      <c r="J20" s="100" t="s">
        <v>151</v>
      </c>
      <c r="K20" s="101" t="s">
        <v>152</v>
      </c>
      <c r="L20" s="100" t="s">
        <v>153</v>
      </c>
      <c r="M20" s="100" t="s">
        <v>154</v>
      </c>
      <c r="N20" s="100" t="s">
        <v>155</v>
      </c>
      <c r="O20" s="100" t="s">
        <v>156</v>
      </c>
      <c r="P20" s="76" t="s">
        <v>157</v>
      </c>
      <c r="Q20" s="25"/>
      <c r="R20" s="25">
        <v>20</v>
      </c>
      <c r="S20" s="25" t="s">
        <v>158</v>
      </c>
    </row>
    <row r="21" spans="1:19" x14ac:dyDescent="0.2">
      <c r="A21" s="102">
        <v>-2265</v>
      </c>
      <c r="B21" s="102">
        <v>1.1011500027962029E-3</v>
      </c>
      <c r="C21" s="25"/>
      <c r="D21" s="103">
        <f t="shared" ref="D21:D52" si="3">A21/A$18</f>
        <v>-0.22650000000000001</v>
      </c>
      <c r="E21" s="103">
        <f t="shared" ref="E21:E52" si="4">B21/B$18</f>
        <v>0.11011500027962029</v>
      </c>
      <c r="F21" s="92">
        <f>D21*D21</f>
        <v>5.1302250000000001E-2</v>
      </c>
      <c r="G21" s="92">
        <f>D21*F21</f>
        <v>-1.1619959625000001E-2</v>
      </c>
      <c r="H21" s="92">
        <f>F21*F21</f>
        <v>2.6319208550625002E-3</v>
      </c>
      <c r="I21" s="92">
        <f>E21*D21</f>
        <v>-2.4941047563333995E-2</v>
      </c>
      <c r="J21" s="92">
        <f>I21*D21</f>
        <v>5.64914727309515E-3</v>
      </c>
      <c r="K21" s="92">
        <f t="shared" ref="K21:K52" ca="1" si="5">+E$4+E$5*D21+E$6*D21^2</f>
        <v>5.7285491919657885E-2</v>
      </c>
      <c r="L21" s="92">
        <f ca="1">+(K21-E21)^2</f>
        <v>2.7909569535553374E-3</v>
      </c>
      <c r="M21" s="92">
        <f t="shared" ref="M21:M52" ca="1" si="6">(M$1-M$2*D21+M$3*F21)^2</f>
        <v>56642.726497436131</v>
      </c>
      <c r="N21" s="92">
        <f t="shared" ref="N21:N52" ca="1" si="7">(-M$2+M$4*D21-M$5*F21)^2</f>
        <v>729094.35613891482</v>
      </c>
      <c r="O21" s="92">
        <f t="shared" ref="O21:O52" ca="1" si="8">+(M$3-D21*M$5+F21*M$6)^2</f>
        <v>249964.41913058737</v>
      </c>
      <c r="P21" s="25">
        <f ca="1">+E21-K21</f>
        <v>5.2829508359962404E-2</v>
      </c>
      <c r="Q21" s="25"/>
      <c r="R21" s="25">
        <v>21</v>
      </c>
      <c r="S21" s="25" t="s">
        <v>159</v>
      </c>
    </row>
    <row r="22" spans="1:19" x14ac:dyDescent="0.2">
      <c r="A22" s="102">
        <v>-1468.5</v>
      </c>
      <c r="B22" s="102">
        <v>-1.5173249994404614E-3</v>
      </c>
      <c r="C22" s="25"/>
      <c r="D22" s="103">
        <f t="shared" si="3"/>
        <v>-0.14685000000000001</v>
      </c>
      <c r="E22" s="103">
        <f t="shared" si="4"/>
        <v>-0.15173249994404614</v>
      </c>
      <c r="F22" s="92">
        <f t="shared" ref="F22:F85" si="9">D22*D22</f>
        <v>2.1564922500000003E-2</v>
      </c>
      <c r="G22" s="92">
        <f t="shared" ref="G22:G85" si="10">D22*F22</f>
        <v>-3.1668088691250008E-3</v>
      </c>
      <c r="H22" s="92">
        <f t="shared" ref="H22:H85" si="11">F22*F22</f>
        <v>4.6504588243100639E-4</v>
      </c>
      <c r="I22" s="92">
        <f t="shared" ref="I22:I85" si="12">E22*D22</f>
        <v>2.2281917616783178E-2</v>
      </c>
      <c r="J22" s="92">
        <f t="shared" ref="J22:J85" si="13">I22*D22</f>
        <v>-3.27209960202461E-3</v>
      </c>
      <c r="K22" s="92">
        <f t="shared" ca="1" si="5"/>
        <v>-1.4059266378490393E-4</v>
      </c>
      <c r="L22" s="92">
        <f t="shared" ref="L22:L85" ca="1" si="14">+(K22-E22)^2</f>
        <v>2.2980106352867319E-2</v>
      </c>
      <c r="M22" s="92">
        <f t="shared" ca="1" si="6"/>
        <v>43874.250656914017</v>
      </c>
      <c r="N22" s="92">
        <f t="shared" ca="1" si="7"/>
        <v>416768.8376039709</v>
      </c>
      <c r="O22" s="92">
        <f t="shared" ca="1" si="8"/>
        <v>129827.35909091198</v>
      </c>
      <c r="P22" s="25">
        <f t="shared" ref="P22:P85" ca="1" si="15">+E22-K22</f>
        <v>-0.15159190728026123</v>
      </c>
      <c r="Q22" s="25"/>
      <c r="R22" s="25">
        <v>22</v>
      </c>
      <c r="S22" s="25" t="s">
        <v>160</v>
      </c>
    </row>
    <row r="23" spans="1:19" x14ac:dyDescent="0.2">
      <c r="A23" s="102">
        <v>-715</v>
      </c>
      <c r="B23" s="102">
        <v>2.6865000108955428E-4</v>
      </c>
      <c r="C23" s="25"/>
      <c r="D23" s="103">
        <f t="shared" si="3"/>
        <v>-7.1499999999999994E-2</v>
      </c>
      <c r="E23" s="103">
        <f t="shared" si="4"/>
        <v>2.6865000108955428E-2</v>
      </c>
      <c r="F23" s="92">
        <f t="shared" si="9"/>
        <v>5.1122499999999987E-3</v>
      </c>
      <c r="G23" s="92">
        <f t="shared" si="10"/>
        <v>-3.6552587499999987E-4</v>
      </c>
      <c r="H23" s="92">
        <f t="shared" si="11"/>
        <v>2.6135100062499986E-5</v>
      </c>
      <c r="I23" s="92">
        <f t="shared" si="12"/>
        <v>-1.9208475077903129E-3</v>
      </c>
      <c r="J23" s="92">
        <f t="shared" si="13"/>
        <v>1.3734059680700736E-4</v>
      </c>
      <c r="K23" s="92">
        <f t="shared" ca="1" si="5"/>
        <v>-2.6123158447048198E-2</v>
      </c>
      <c r="L23" s="92">
        <f t="shared" ca="1" si="14"/>
        <v>2.8077449471561803E-3</v>
      </c>
      <c r="M23" s="92">
        <f t="shared" ca="1" si="6"/>
        <v>33875.093699173471</v>
      </c>
      <c r="N23" s="92">
        <f t="shared" ca="1" si="7"/>
        <v>215941.90333336135</v>
      </c>
      <c r="O23" s="92">
        <f t="shared" ca="1" si="8"/>
        <v>57478.816380323711</v>
      </c>
      <c r="P23" s="25">
        <f t="shared" ca="1" si="15"/>
        <v>5.2988158556003626E-2</v>
      </c>
      <c r="Q23" s="25"/>
      <c r="R23" s="25">
        <v>23</v>
      </c>
      <c r="S23" s="25" t="s">
        <v>161</v>
      </c>
    </row>
    <row r="24" spans="1:19" x14ac:dyDescent="0.2">
      <c r="A24" s="102">
        <v>-713</v>
      </c>
      <c r="B24" s="102">
        <v>-3.0364999838639051E-4</v>
      </c>
      <c r="C24" s="25"/>
      <c r="D24" s="103">
        <f t="shared" si="3"/>
        <v>-7.1300000000000002E-2</v>
      </c>
      <c r="E24" s="103">
        <f t="shared" si="4"/>
        <v>-3.0364999838639051E-2</v>
      </c>
      <c r="F24" s="92">
        <f t="shared" si="9"/>
        <v>5.0836900000000001E-3</v>
      </c>
      <c r="G24" s="92">
        <f t="shared" si="10"/>
        <v>-3.6246709700000004E-4</v>
      </c>
      <c r="H24" s="92">
        <f t="shared" si="11"/>
        <v>2.5843904016100002E-5</v>
      </c>
      <c r="I24" s="92">
        <f t="shared" si="12"/>
        <v>2.1650244884949643E-3</v>
      </c>
      <c r="J24" s="92">
        <f t="shared" si="13"/>
        <v>-1.5436624602969097E-4</v>
      </c>
      <c r="K24" s="92">
        <f t="shared" ca="1" si="5"/>
        <v>-2.6155454375832249E-2</v>
      </c>
      <c r="L24" s="92">
        <f t="shared" ca="1" si="14"/>
        <v>1.7720273003437331E-5</v>
      </c>
      <c r="M24" s="92">
        <f t="shared" ca="1" si="6"/>
        <v>33851.026043968901</v>
      </c>
      <c r="N24" s="92">
        <f t="shared" ca="1" si="7"/>
        <v>215515.34606789588</v>
      </c>
      <c r="O24" s="92">
        <f t="shared" ca="1" si="8"/>
        <v>57332.620315293825</v>
      </c>
      <c r="P24" s="25">
        <f t="shared" ca="1" si="15"/>
        <v>-4.2095454628068019E-3</v>
      </c>
      <c r="Q24" s="25"/>
      <c r="R24" s="25">
        <v>24</v>
      </c>
      <c r="S24" s="25" t="s">
        <v>145</v>
      </c>
    </row>
    <row r="25" spans="1:19" x14ac:dyDescent="0.2">
      <c r="A25" s="102">
        <v>0</v>
      </c>
      <c r="B25" s="102">
        <v>-2.2286000021267682E-3</v>
      </c>
      <c r="C25" s="25"/>
      <c r="D25" s="103">
        <f t="shared" si="3"/>
        <v>0</v>
      </c>
      <c r="E25" s="103">
        <f t="shared" si="4"/>
        <v>-0.22286000021267682</v>
      </c>
      <c r="F25" s="92">
        <f t="shared" si="9"/>
        <v>0</v>
      </c>
      <c r="G25" s="92">
        <f t="shared" si="10"/>
        <v>0</v>
      </c>
      <c r="H25" s="92">
        <f t="shared" si="11"/>
        <v>0</v>
      </c>
      <c r="I25" s="92">
        <f t="shared" si="12"/>
        <v>0</v>
      </c>
      <c r="J25" s="92">
        <f t="shared" si="13"/>
        <v>0</v>
      </c>
      <c r="K25" s="92">
        <f t="shared" ca="1" si="5"/>
        <v>-2.5297204534783947E-2</v>
      </c>
      <c r="L25" s="92">
        <f t="shared" ca="1" si="14"/>
        <v>3.9031058236064842E-2</v>
      </c>
      <c r="M25" s="92">
        <f t="shared" ca="1" si="6"/>
        <v>26038.741712725659</v>
      </c>
      <c r="N25" s="92">
        <f t="shared" ca="1" si="7"/>
        <v>94612.796768513683</v>
      </c>
      <c r="O25" s="92">
        <f t="shared" ca="1" si="8"/>
        <v>18418.687426928027</v>
      </c>
      <c r="P25" s="25">
        <f t="shared" ca="1" si="15"/>
        <v>-0.19756279567789287</v>
      </c>
      <c r="Q25" s="25"/>
      <c r="R25" s="25">
        <v>25</v>
      </c>
      <c r="S25" s="25" t="s">
        <v>146</v>
      </c>
    </row>
    <row r="26" spans="1:19" x14ac:dyDescent="0.2">
      <c r="A26" s="102">
        <v>87</v>
      </c>
      <c r="B26" s="102">
        <v>-1.2365000293357298E-4</v>
      </c>
      <c r="C26" s="25"/>
      <c r="D26" s="103">
        <f t="shared" si="3"/>
        <v>8.6999999999999994E-3</v>
      </c>
      <c r="E26" s="103">
        <f t="shared" si="4"/>
        <v>-1.2365000293357298E-2</v>
      </c>
      <c r="F26" s="92">
        <f t="shared" si="9"/>
        <v>7.5689999999999989E-5</v>
      </c>
      <c r="G26" s="92">
        <f t="shared" si="10"/>
        <v>6.585029999999999E-7</v>
      </c>
      <c r="H26" s="92">
        <f t="shared" si="11"/>
        <v>5.7289760999999986E-9</v>
      </c>
      <c r="I26" s="92">
        <f t="shared" si="12"/>
        <v>-1.0757550255220848E-4</v>
      </c>
      <c r="J26" s="92">
        <f t="shared" si="13"/>
        <v>-9.3590687220421366E-7</v>
      </c>
      <c r="K26" s="92">
        <f t="shared" ca="1" si="5"/>
        <v>-2.3503422477955695E-2</v>
      </c>
      <c r="L26" s="92">
        <f t="shared" ca="1" si="14"/>
        <v>1.2406444876235373E-4</v>
      </c>
      <c r="M26" s="92">
        <f t="shared" ca="1" si="6"/>
        <v>25185.52041104353</v>
      </c>
      <c r="N26" s="92">
        <f t="shared" ca="1" si="7"/>
        <v>83776.521318302199</v>
      </c>
      <c r="O26" s="92">
        <f t="shared" ca="1" si="8"/>
        <v>15313.206251309723</v>
      </c>
      <c r="P26" s="25">
        <f t="shared" ca="1" si="15"/>
        <v>1.1138422184598398E-2</v>
      </c>
      <c r="Q26" s="25"/>
      <c r="R26" s="25">
        <v>26</v>
      </c>
      <c r="S26" s="25" t="s">
        <v>162</v>
      </c>
    </row>
    <row r="27" spans="1:19" x14ac:dyDescent="0.2">
      <c r="A27" s="102">
        <v>116.5</v>
      </c>
      <c r="B27" s="102">
        <v>1.2349250027909875E-3</v>
      </c>
      <c r="C27" s="25"/>
      <c r="D27" s="103">
        <f t="shared" si="3"/>
        <v>1.1650000000000001E-2</v>
      </c>
      <c r="E27" s="103">
        <f t="shared" si="4"/>
        <v>0.12349250027909875</v>
      </c>
      <c r="F27" s="92">
        <f t="shared" si="9"/>
        <v>1.3572250000000002E-4</v>
      </c>
      <c r="G27" s="92">
        <f t="shared" si="10"/>
        <v>1.5811671250000003E-6</v>
      </c>
      <c r="H27" s="92">
        <f t="shared" si="11"/>
        <v>1.8420597006250005E-8</v>
      </c>
      <c r="I27" s="92">
        <f t="shared" si="12"/>
        <v>1.4386876282515004E-3</v>
      </c>
      <c r="J27" s="92">
        <f t="shared" si="13"/>
        <v>1.6760710869129981E-5</v>
      </c>
      <c r="K27" s="92">
        <f t="shared" ca="1" si="5"/>
        <v>-2.2811782691870834E-2</v>
      </c>
      <c r="L27" s="92">
        <f t="shared" ca="1" si="14"/>
        <v>2.1404943215649543E-2</v>
      </c>
      <c r="M27" s="92">
        <f t="shared" ca="1" si="6"/>
        <v>24900.908431898624</v>
      </c>
      <c r="N27" s="92">
        <f t="shared" ca="1" si="7"/>
        <v>80278.689193993545</v>
      </c>
      <c r="O27" s="92">
        <f t="shared" ca="1" si="8"/>
        <v>14333.374973791826</v>
      </c>
      <c r="P27" s="25">
        <f t="shared" ca="1" si="15"/>
        <v>0.14630428297096959</v>
      </c>
      <c r="Q27" s="25"/>
      <c r="R27" s="25"/>
    </row>
    <row r="28" spans="1:19" x14ac:dyDescent="0.2">
      <c r="A28" s="102">
        <v>764</v>
      </c>
      <c r="B28" s="102">
        <v>-6.472000022768043E-4</v>
      </c>
      <c r="C28" s="25"/>
      <c r="D28" s="103">
        <f t="shared" si="3"/>
        <v>7.6399999999999996E-2</v>
      </c>
      <c r="E28" s="103">
        <f t="shared" si="4"/>
        <v>-6.472000022768043E-2</v>
      </c>
      <c r="F28" s="92">
        <f t="shared" si="9"/>
        <v>5.8369599999999995E-3</v>
      </c>
      <c r="G28" s="92">
        <f t="shared" si="10"/>
        <v>4.4594374399999992E-4</v>
      </c>
      <c r="H28" s="92">
        <f t="shared" si="11"/>
        <v>3.4070102041599993E-5</v>
      </c>
      <c r="I28" s="92">
        <f t="shared" si="12"/>
        <v>-4.9446080173947849E-3</v>
      </c>
      <c r="J28" s="92">
        <f t="shared" si="13"/>
        <v>-3.7776805252896155E-4</v>
      </c>
      <c r="K28" s="92">
        <f t="shared" ca="1" si="5"/>
        <v>3.0072215992488199E-3</v>
      </c>
      <c r="L28" s="92">
        <f t="shared" ca="1" si="14"/>
        <v>4.5869765763940822E-3</v>
      </c>
      <c r="M28" s="92">
        <f t="shared" ca="1" si="6"/>
        <v>19225.870503127258</v>
      </c>
      <c r="N28" s="92">
        <f t="shared" ca="1" si="7"/>
        <v>24138.039835537391</v>
      </c>
      <c r="O28" s="92">
        <f t="shared" ca="1" si="8"/>
        <v>1275.9394663896323</v>
      </c>
      <c r="P28" s="25">
        <f t="shared" ca="1" si="15"/>
        <v>-6.7727221826929251E-2</v>
      </c>
      <c r="Q28" s="25"/>
      <c r="R28" s="25"/>
    </row>
    <row r="29" spans="1:19" x14ac:dyDescent="0.2">
      <c r="A29" s="102">
        <v>793.5</v>
      </c>
      <c r="B29" s="102">
        <v>4.1137500375043601E-4</v>
      </c>
      <c r="C29" s="25"/>
      <c r="D29" s="103">
        <f t="shared" si="3"/>
        <v>7.9350000000000004E-2</v>
      </c>
      <c r="E29" s="103">
        <f t="shared" si="4"/>
        <v>4.1137500375043601E-2</v>
      </c>
      <c r="F29" s="92">
        <f t="shared" si="9"/>
        <v>6.2964225000000009E-3</v>
      </c>
      <c r="G29" s="92">
        <f t="shared" si="10"/>
        <v>4.996211253750001E-4</v>
      </c>
      <c r="H29" s="92">
        <f t="shared" si="11"/>
        <v>3.9644936298506265E-5</v>
      </c>
      <c r="I29" s="92">
        <f t="shared" si="12"/>
        <v>3.2642606547597097E-3</v>
      </c>
      <c r="J29" s="92">
        <f t="shared" si="13"/>
        <v>2.5901908295518296E-4</v>
      </c>
      <c r="K29" s="92">
        <f t="shared" ca="1" si="5"/>
        <v>4.6682015091887696E-3</v>
      </c>
      <c r="L29" s="92">
        <f t="shared" ca="1" si="14"/>
        <v>1.3300097597670403E-3</v>
      </c>
      <c r="M29" s="92">
        <f t="shared" ca="1" si="6"/>
        <v>18992.242512788907</v>
      </c>
      <c r="N29" s="92">
        <f t="shared" ca="1" si="7"/>
        <v>22443.144824038616</v>
      </c>
      <c r="O29" s="92">
        <f t="shared" ca="1" si="8"/>
        <v>1029.8030917257138</v>
      </c>
      <c r="P29" s="25">
        <f t="shared" ca="1" si="15"/>
        <v>3.6469298865854829E-2</v>
      </c>
      <c r="Q29" s="25"/>
      <c r="R29" s="25"/>
    </row>
    <row r="30" spans="1:19" x14ac:dyDescent="0.2">
      <c r="A30" s="102">
        <v>793.5</v>
      </c>
      <c r="B30" s="102">
        <v>5.1137500122422352E-4</v>
      </c>
      <c r="C30" s="25"/>
      <c r="D30" s="103">
        <f t="shared" si="3"/>
        <v>7.9350000000000004E-2</v>
      </c>
      <c r="E30" s="103">
        <f t="shared" si="4"/>
        <v>5.1137500122422352E-2</v>
      </c>
      <c r="F30" s="92">
        <f t="shared" si="9"/>
        <v>6.2964225000000009E-3</v>
      </c>
      <c r="G30" s="92">
        <f t="shared" si="10"/>
        <v>4.996211253750001E-4</v>
      </c>
      <c r="H30" s="92">
        <f t="shared" si="11"/>
        <v>3.9644936298506265E-5</v>
      </c>
      <c r="I30" s="92">
        <f t="shared" si="12"/>
        <v>4.057760634714214E-3</v>
      </c>
      <c r="J30" s="92">
        <f t="shared" si="13"/>
        <v>3.2198330636457289E-4</v>
      </c>
      <c r="K30" s="92">
        <f t="shared" ca="1" si="5"/>
        <v>4.6682015091887696E-3</v>
      </c>
      <c r="L30" s="92">
        <f t="shared" ca="1" si="14"/>
        <v>2.1593957136058725E-3</v>
      </c>
      <c r="M30" s="92">
        <f t="shared" ca="1" si="6"/>
        <v>18992.242512788907</v>
      </c>
      <c r="N30" s="92">
        <f t="shared" ca="1" si="7"/>
        <v>22443.144824038616</v>
      </c>
      <c r="O30" s="92">
        <f t="shared" ca="1" si="8"/>
        <v>1029.8030917257138</v>
      </c>
      <c r="P30" s="25">
        <f t="shared" ca="1" si="15"/>
        <v>4.6469298613233581E-2</v>
      </c>
      <c r="Q30" s="25"/>
      <c r="R30" s="25"/>
    </row>
    <row r="31" spans="1:19" x14ac:dyDescent="0.2">
      <c r="A31" s="102">
        <v>800</v>
      </c>
      <c r="B31" s="102">
        <v>-3.4859999868785962E-4</v>
      </c>
      <c r="C31" s="25"/>
      <c r="D31" s="103">
        <f t="shared" si="3"/>
        <v>0.08</v>
      </c>
      <c r="E31" s="103">
        <f t="shared" si="4"/>
        <v>-3.4859999868785962E-2</v>
      </c>
      <c r="F31" s="92">
        <f t="shared" si="9"/>
        <v>6.4000000000000003E-3</v>
      </c>
      <c r="G31" s="92">
        <f t="shared" si="10"/>
        <v>5.1200000000000009E-4</v>
      </c>
      <c r="H31" s="92">
        <f t="shared" si="11"/>
        <v>4.0960000000000001E-5</v>
      </c>
      <c r="I31" s="92">
        <f t="shared" si="12"/>
        <v>-2.788799989502877E-3</v>
      </c>
      <c r="J31" s="92">
        <f t="shared" si="13"/>
        <v>-2.2310399916023016E-4</v>
      </c>
      <c r="K31" s="92">
        <f t="shared" ca="1" si="5"/>
        <v>5.0398588653303589E-3</v>
      </c>
      <c r="L31" s="92">
        <f t="shared" ca="1" si="14"/>
        <v>1.5919987270024384E-3</v>
      </c>
      <c r="M31" s="92">
        <f t="shared" ca="1" si="6"/>
        <v>18941.04458323753</v>
      </c>
      <c r="N31" s="92">
        <f t="shared" ca="1" si="7"/>
        <v>22078.949975017178</v>
      </c>
      <c r="O31" s="92">
        <f t="shared" ca="1" si="8"/>
        <v>979.25699635458955</v>
      </c>
      <c r="P31" s="25">
        <f t="shared" ca="1" si="15"/>
        <v>-3.989985873411632E-2</v>
      </c>
      <c r="Q31" s="25"/>
      <c r="R31" s="25"/>
    </row>
    <row r="32" spans="1:19" x14ac:dyDescent="0.2">
      <c r="A32" s="102">
        <v>802</v>
      </c>
      <c r="B32" s="102">
        <v>1.7910000315168872E-4</v>
      </c>
      <c r="C32" s="25"/>
      <c r="D32" s="103">
        <f t="shared" si="3"/>
        <v>8.0199999999999994E-2</v>
      </c>
      <c r="E32" s="103">
        <f t="shared" si="4"/>
        <v>1.7910000315168872E-2</v>
      </c>
      <c r="F32" s="92">
        <f t="shared" si="9"/>
        <v>6.4320399999999991E-3</v>
      </c>
      <c r="G32" s="92">
        <f t="shared" si="10"/>
        <v>5.1584960799999993E-4</v>
      </c>
      <c r="H32" s="92">
        <f t="shared" si="11"/>
        <v>4.1371138561599986E-5</v>
      </c>
      <c r="I32" s="92">
        <f t="shared" si="12"/>
        <v>1.4363820252765434E-3</v>
      </c>
      <c r="J32" s="92">
        <f t="shared" si="13"/>
        <v>1.1519783842717877E-4</v>
      </c>
      <c r="K32" s="92">
        <f t="shared" ca="1" si="5"/>
        <v>5.1546275323593807E-3</v>
      </c>
      <c r="L32" s="92">
        <f t="shared" ca="1" si="14"/>
        <v>1.6269953482843716E-4</v>
      </c>
      <c r="M32" s="92">
        <f t="shared" ca="1" si="6"/>
        <v>18925.311624022095</v>
      </c>
      <c r="N32" s="92">
        <f t="shared" ca="1" si="7"/>
        <v>21967.559147335251</v>
      </c>
      <c r="O32" s="92">
        <f t="shared" ca="1" si="8"/>
        <v>963.97066738462865</v>
      </c>
      <c r="P32" s="25">
        <f t="shared" ca="1" si="15"/>
        <v>1.2755372782809492E-2</v>
      </c>
      <c r="Q32" s="25"/>
      <c r="R32" s="25"/>
    </row>
    <row r="33" spans="1:18" x14ac:dyDescent="0.2">
      <c r="A33" s="102">
        <v>804</v>
      </c>
      <c r="B33" s="102">
        <v>-3.9320000360021368E-4</v>
      </c>
      <c r="C33" s="25"/>
      <c r="D33" s="103">
        <f t="shared" si="3"/>
        <v>8.0399999999999999E-2</v>
      </c>
      <c r="E33" s="103">
        <f t="shared" si="4"/>
        <v>-3.9320000360021368E-2</v>
      </c>
      <c r="F33" s="92">
        <f t="shared" si="9"/>
        <v>6.46416E-3</v>
      </c>
      <c r="G33" s="92">
        <f t="shared" si="10"/>
        <v>5.1971846399999995E-4</v>
      </c>
      <c r="H33" s="92">
        <f t="shared" si="11"/>
        <v>4.17853645056E-5</v>
      </c>
      <c r="I33" s="92">
        <f t="shared" si="12"/>
        <v>-3.1613280289457179E-3</v>
      </c>
      <c r="J33" s="92">
        <f t="shared" si="13"/>
        <v>-2.5417077352723571E-4</v>
      </c>
      <c r="K33" s="92">
        <f t="shared" ca="1" si="5"/>
        <v>5.2695903440693539E-3</v>
      </c>
      <c r="L33" s="92">
        <f t="shared" ca="1" si="14"/>
        <v>1.9882315991583337E-3</v>
      </c>
      <c r="M33" s="92">
        <f t="shared" ca="1" si="6"/>
        <v>18909.588187642545</v>
      </c>
      <c r="N33" s="92">
        <f t="shared" ca="1" si="7"/>
        <v>21856.482765924902</v>
      </c>
      <c r="O33" s="92">
        <f t="shared" ca="1" si="8"/>
        <v>948.80945989914346</v>
      </c>
      <c r="P33" s="25">
        <f t="shared" ca="1" si="15"/>
        <v>-4.4589590704090722E-2</v>
      </c>
      <c r="Q33" s="25"/>
      <c r="R33" s="25"/>
    </row>
    <row r="34" spans="1:18" x14ac:dyDescent="0.2">
      <c r="A34" s="102">
        <v>856.5</v>
      </c>
      <c r="B34" s="102">
        <v>8.3924998762086034E-5</v>
      </c>
      <c r="C34" s="25"/>
      <c r="D34" s="103">
        <f t="shared" si="3"/>
        <v>8.5650000000000004E-2</v>
      </c>
      <c r="E34" s="103">
        <f t="shared" si="4"/>
        <v>8.3924998762086034E-3</v>
      </c>
      <c r="F34" s="92">
        <f t="shared" si="9"/>
        <v>7.3359225000000005E-3</v>
      </c>
      <c r="G34" s="92">
        <f t="shared" si="10"/>
        <v>6.2832176212500009E-4</v>
      </c>
      <c r="H34" s="92">
        <f t="shared" si="11"/>
        <v>5.381575892600626E-5</v>
      </c>
      <c r="I34" s="92">
        <f t="shared" si="12"/>
        <v>7.1881761439726696E-4</v>
      </c>
      <c r="J34" s="92">
        <f t="shared" si="13"/>
        <v>6.156672867312592E-5</v>
      </c>
      <c r="K34" s="92">
        <f t="shared" ca="1" si="5"/>
        <v>8.3568012099989909E-3</v>
      </c>
      <c r="L34" s="92">
        <f t="shared" ca="1" si="14"/>
        <v>1.2743947691453261E-9</v>
      </c>
      <c r="M34" s="92">
        <f t="shared" ca="1" si="6"/>
        <v>18500.241358845276</v>
      </c>
      <c r="N34" s="92">
        <f t="shared" ca="1" si="7"/>
        <v>19052.35334607738</v>
      </c>
      <c r="O34" s="92">
        <f t="shared" ca="1" si="8"/>
        <v>595.18744500673392</v>
      </c>
      <c r="P34" s="25">
        <f t="shared" ca="1" si="15"/>
        <v>3.5698666209612456E-5</v>
      </c>
      <c r="Q34" s="25"/>
      <c r="R34" s="25"/>
    </row>
    <row r="35" spans="1:18" x14ac:dyDescent="0.2">
      <c r="A35" s="102">
        <v>882</v>
      </c>
      <c r="B35" s="102">
        <v>9.8710000020219013E-4</v>
      </c>
      <c r="C35" s="25"/>
      <c r="D35" s="103">
        <f t="shared" si="3"/>
        <v>8.8200000000000001E-2</v>
      </c>
      <c r="E35" s="103">
        <f t="shared" si="4"/>
        <v>9.8710000020219013E-2</v>
      </c>
      <c r="F35" s="92">
        <f t="shared" si="9"/>
        <v>7.7792399999999998E-3</v>
      </c>
      <c r="G35" s="92">
        <f t="shared" si="10"/>
        <v>6.8612896799999997E-4</v>
      </c>
      <c r="H35" s="92">
        <f t="shared" si="11"/>
        <v>6.0516574977599998E-5</v>
      </c>
      <c r="I35" s="92">
        <f t="shared" si="12"/>
        <v>8.7062220017833179E-3</v>
      </c>
      <c r="J35" s="92">
        <f t="shared" si="13"/>
        <v>7.6788878055728861E-4</v>
      </c>
      <c r="K35" s="92">
        <f t="shared" ca="1" si="5"/>
        <v>9.904572851892425E-3</v>
      </c>
      <c r="L35" s="92">
        <f t="shared" ca="1" si="14"/>
        <v>7.8864038945489594E-3</v>
      </c>
      <c r="M35" s="92">
        <f t="shared" ca="1" si="6"/>
        <v>18303.762359451212</v>
      </c>
      <c r="N35" s="92">
        <f t="shared" ca="1" si="7"/>
        <v>17767.121828179472</v>
      </c>
      <c r="O35" s="92">
        <f t="shared" ca="1" si="8"/>
        <v>453.8814618358906</v>
      </c>
      <c r="P35" s="25">
        <f t="shared" ca="1" si="15"/>
        <v>8.8805427168326595E-2</v>
      </c>
      <c r="Q35" s="25"/>
      <c r="R35" s="25"/>
    </row>
    <row r="36" spans="1:18" x14ac:dyDescent="0.2">
      <c r="A36" s="102">
        <v>884</v>
      </c>
      <c r="B36" s="102">
        <v>1.1147999975946732E-3</v>
      </c>
      <c r="C36" s="25"/>
      <c r="D36" s="103">
        <f t="shared" si="3"/>
        <v>8.8400000000000006E-2</v>
      </c>
      <c r="E36" s="103">
        <f t="shared" si="4"/>
        <v>0.11147999975946732</v>
      </c>
      <c r="F36" s="92">
        <f t="shared" si="9"/>
        <v>7.8145600000000016E-3</v>
      </c>
      <c r="G36" s="92">
        <f t="shared" si="10"/>
        <v>6.9080710400000022E-4</v>
      </c>
      <c r="H36" s="92">
        <f t="shared" si="11"/>
        <v>6.1067347993600031E-5</v>
      </c>
      <c r="I36" s="92">
        <f t="shared" si="12"/>
        <v>9.8548319787369124E-3</v>
      </c>
      <c r="J36" s="92">
        <f t="shared" si="13"/>
        <v>8.7116714692034314E-4</v>
      </c>
      <c r="K36" s="92">
        <f t="shared" ca="1" si="5"/>
        <v>1.0027301450840052E-2</v>
      </c>
      <c r="L36" s="92">
        <f t="shared" ca="1" si="14"/>
        <v>1.0292649994101342E-2</v>
      </c>
      <c r="M36" s="92">
        <f t="shared" ca="1" si="6"/>
        <v>18288.416790738585</v>
      </c>
      <c r="N36" s="92">
        <f t="shared" ca="1" si="7"/>
        <v>17668.41965078919</v>
      </c>
      <c r="O36" s="92">
        <f t="shared" ca="1" si="8"/>
        <v>443.63017027339686</v>
      </c>
      <c r="P36" s="25">
        <f t="shared" ca="1" si="15"/>
        <v>0.10145269830862727</v>
      </c>
      <c r="Q36" s="25"/>
      <c r="R36" s="25"/>
    </row>
    <row r="37" spans="1:18" x14ac:dyDescent="0.2">
      <c r="A37" s="102">
        <v>909.5</v>
      </c>
      <c r="B37" s="102">
        <v>1.2179749974166043E-3</v>
      </c>
      <c r="C37" s="25"/>
      <c r="D37" s="103">
        <f t="shared" si="3"/>
        <v>9.0950000000000003E-2</v>
      </c>
      <c r="E37" s="103">
        <f t="shared" si="4"/>
        <v>0.12179749974166043</v>
      </c>
      <c r="F37" s="92">
        <f t="shared" si="9"/>
        <v>8.2719025000000009E-3</v>
      </c>
      <c r="G37" s="92">
        <f t="shared" si="10"/>
        <v>7.5232953237500014E-4</v>
      </c>
      <c r="H37" s="92">
        <f t="shared" si="11"/>
        <v>6.8424370969506261E-5</v>
      </c>
      <c r="I37" s="92">
        <f t="shared" si="12"/>
        <v>1.1077482601504016E-2</v>
      </c>
      <c r="J37" s="92">
        <f t="shared" si="13"/>
        <v>1.0074970426067903E-3</v>
      </c>
      <c r="K37" s="92">
        <f t="shared" ca="1" si="5"/>
        <v>1.1609109082111022E-2</v>
      </c>
      <c r="L37" s="92">
        <f t="shared" ca="1" si="14"/>
        <v>1.2141481436141476E-2</v>
      </c>
      <c r="M37" s="92">
        <f t="shared" ca="1" si="6"/>
        <v>18093.580926736104</v>
      </c>
      <c r="N37" s="92">
        <f t="shared" ca="1" si="7"/>
        <v>16436.554887211256</v>
      </c>
      <c r="O37" s="92">
        <f t="shared" ca="1" si="8"/>
        <v>323.43935082452782</v>
      </c>
      <c r="P37" s="25">
        <f t="shared" ca="1" si="15"/>
        <v>0.11018839065954941</v>
      </c>
      <c r="Q37" s="25"/>
      <c r="R37" s="25"/>
    </row>
    <row r="38" spans="1:18" x14ac:dyDescent="0.2">
      <c r="A38" s="102">
        <v>1498</v>
      </c>
      <c r="B38" s="102">
        <v>-3.8130000029923394E-4</v>
      </c>
      <c r="C38" s="25"/>
      <c r="D38" s="103">
        <f t="shared" si="3"/>
        <v>0.14979999999999999</v>
      </c>
      <c r="E38" s="103">
        <f t="shared" si="4"/>
        <v>-3.8130000029923394E-2</v>
      </c>
      <c r="F38" s="92">
        <f t="shared" si="9"/>
        <v>2.2440039999999998E-2</v>
      </c>
      <c r="G38" s="92">
        <f t="shared" si="10"/>
        <v>3.3615179919999996E-3</v>
      </c>
      <c r="H38" s="92">
        <f t="shared" si="11"/>
        <v>5.0355539520159989E-4</v>
      </c>
      <c r="I38" s="92">
        <f t="shared" si="12"/>
        <v>-5.7118740044825242E-3</v>
      </c>
      <c r="J38" s="92">
        <f t="shared" si="13"/>
        <v>-8.556387258714821E-4</v>
      </c>
      <c r="K38" s="92">
        <f t="shared" ca="1" si="5"/>
        <v>5.6883753553306125E-2</v>
      </c>
      <c r="L38" s="92">
        <f t="shared" ca="1" si="14"/>
        <v>9.0276133699746623E-3</v>
      </c>
      <c r="M38" s="92">
        <f t="shared" ca="1" si="6"/>
        <v>14002.801179621991</v>
      </c>
      <c r="N38" s="92">
        <f t="shared" ca="1" si="7"/>
        <v>592.20412083827898</v>
      </c>
      <c r="O38" s="92">
        <f t="shared" ca="1" si="8"/>
        <v>2448.5460872387985</v>
      </c>
      <c r="P38" s="25">
        <f t="shared" ca="1" si="15"/>
        <v>-9.5013753583229527E-2</v>
      </c>
      <c r="Q38" s="25"/>
      <c r="R38" s="25"/>
    </row>
    <row r="39" spans="1:18" x14ac:dyDescent="0.2">
      <c r="A39" s="102">
        <v>1506.5</v>
      </c>
      <c r="B39" s="102">
        <v>-1.2135750002926216E-3</v>
      </c>
      <c r="C39" s="25"/>
      <c r="D39" s="103">
        <f t="shared" si="3"/>
        <v>0.15065000000000001</v>
      </c>
      <c r="E39" s="103">
        <f t="shared" si="4"/>
        <v>-0.12135750002926216</v>
      </c>
      <c r="F39" s="92">
        <f t="shared" si="9"/>
        <v>2.2695422500000003E-2</v>
      </c>
      <c r="G39" s="92">
        <f t="shared" si="10"/>
        <v>3.4190653996250004E-3</v>
      </c>
      <c r="H39" s="92">
        <f t="shared" si="11"/>
        <v>5.1508220245350636E-4</v>
      </c>
      <c r="I39" s="92">
        <f t="shared" si="12"/>
        <v>-1.8282507379408345E-2</v>
      </c>
      <c r="J39" s="92">
        <f t="shared" si="13"/>
        <v>-2.7542597367078672E-3</v>
      </c>
      <c r="K39" s="92">
        <f t="shared" ca="1" si="5"/>
        <v>5.7660826297888532E-2</v>
      </c>
      <c r="L39" s="92">
        <f t="shared" ca="1" si="14"/>
        <v>3.2047561160974215E-2</v>
      </c>
      <c r="M39" s="92">
        <f t="shared" ca="1" si="6"/>
        <v>13949.178040446384</v>
      </c>
      <c r="N39" s="92">
        <f t="shared" ca="1" si="7"/>
        <v>524.65037802793063</v>
      </c>
      <c r="O39" s="92">
        <f t="shared" ca="1" si="8"/>
        <v>2540.8759479250143</v>
      </c>
      <c r="P39" s="25">
        <f t="shared" ca="1" si="15"/>
        <v>-0.1790183263271507</v>
      </c>
      <c r="Q39" s="25"/>
      <c r="R39" s="25"/>
    </row>
    <row r="40" spans="1:18" x14ac:dyDescent="0.2">
      <c r="A40" s="102">
        <v>1583</v>
      </c>
      <c r="B40" s="102">
        <v>3.559500037226826E-4</v>
      </c>
      <c r="C40" s="25"/>
      <c r="D40" s="103">
        <f t="shared" si="3"/>
        <v>0.1583</v>
      </c>
      <c r="E40" s="103">
        <f t="shared" si="4"/>
        <v>3.559500037226826E-2</v>
      </c>
      <c r="F40" s="92">
        <f t="shared" si="9"/>
        <v>2.505889E-2</v>
      </c>
      <c r="G40" s="92">
        <f t="shared" si="10"/>
        <v>3.9668222870000002E-3</v>
      </c>
      <c r="H40" s="92">
        <f t="shared" si="11"/>
        <v>6.2794796803210002E-4</v>
      </c>
      <c r="I40" s="92">
        <f t="shared" si="12"/>
        <v>5.6346885589300651E-3</v>
      </c>
      <c r="J40" s="92">
        <f t="shared" si="13"/>
        <v>8.9197119887862925E-4</v>
      </c>
      <c r="K40" s="92">
        <f t="shared" ca="1" si="5"/>
        <v>6.4812284222607694E-2</v>
      </c>
      <c r="L40" s="92">
        <f t="shared" ca="1" si="14"/>
        <v>8.536496755913055E-4</v>
      </c>
      <c r="M40" s="92">
        <f t="shared" ca="1" si="6"/>
        <v>13473.247586058636</v>
      </c>
      <c r="N40" s="92">
        <f t="shared" ca="1" si="7"/>
        <v>102.52159791327819</v>
      </c>
      <c r="O40" s="92">
        <f t="shared" ca="1" si="8"/>
        <v>3441.1941031997503</v>
      </c>
      <c r="P40" s="25">
        <f t="shared" ca="1" si="15"/>
        <v>-2.9217283850339434E-2</v>
      </c>
      <c r="Q40" s="25"/>
      <c r="R40" s="25"/>
    </row>
    <row r="41" spans="1:18" x14ac:dyDescent="0.2">
      <c r="A41" s="102">
        <v>5624</v>
      </c>
      <c r="B41" s="102">
        <v>7.6638000027742237E-3</v>
      </c>
      <c r="C41" s="25"/>
      <c r="D41" s="103">
        <f t="shared" si="3"/>
        <v>0.56240000000000001</v>
      </c>
      <c r="E41" s="103">
        <f t="shared" si="4"/>
        <v>0.76638000027742237</v>
      </c>
      <c r="F41" s="92">
        <f t="shared" si="9"/>
        <v>0.31629376000000003</v>
      </c>
      <c r="G41" s="92">
        <f t="shared" si="10"/>
        <v>0.17788361062400002</v>
      </c>
      <c r="H41" s="92">
        <f t="shared" si="11"/>
        <v>0.10004174261493762</v>
      </c>
      <c r="I41" s="92">
        <f t="shared" si="12"/>
        <v>0.43101211215602236</v>
      </c>
      <c r="J41" s="92">
        <f t="shared" si="13"/>
        <v>0.24240121187654698</v>
      </c>
      <c r="K41" s="92">
        <f t="shared" ca="1" si="5"/>
        <v>0.846369771593383</v>
      </c>
      <c r="L41" s="92">
        <f t="shared" ca="1" si="14"/>
        <v>6.3983635151796782E-3</v>
      </c>
      <c r="M41" s="92">
        <f t="shared" ca="1" si="6"/>
        <v>979.78360279938602</v>
      </c>
      <c r="N41" s="92">
        <f t="shared" ca="1" si="7"/>
        <v>188894.38279205744</v>
      </c>
      <c r="O41" s="92">
        <f t="shared" ca="1" si="8"/>
        <v>109080.53848120864</v>
      </c>
      <c r="P41" s="25">
        <f t="shared" ca="1" si="15"/>
        <v>-7.9989771315960634E-2</v>
      </c>
      <c r="Q41" s="25"/>
      <c r="R41" s="25"/>
    </row>
    <row r="42" spans="1:18" x14ac:dyDescent="0.2">
      <c r="A42" s="102">
        <v>5624</v>
      </c>
      <c r="B42" s="102">
        <v>1.1663800003589131E-2</v>
      </c>
      <c r="C42" s="25"/>
      <c r="D42" s="103">
        <f t="shared" si="3"/>
        <v>0.56240000000000001</v>
      </c>
      <c r="E42" s="103">
        <f t="shared" si="4"/>
        <v>1.1663800003589131</v>
      </c>
      <c r="F42" s="92">
        <f t="shared" si="9"/>
        <v>0.31629376000000003</v>
      </c>
      <c r="G42" s="92">
        <f t="shared" si="10"/>
        <v>0.17788361062400002</v>
      </c>
      <c r="H42" s="92">
        <f t="shared" si="11"/>
        <v>0.10004174261493762</v>
      </c>
      <c r="I42" s="92">
        <f t="shared" si="12"/>
        <v>0.6559721122018527</v>
      </c>
      <c r="J42" s="92">
        <f t="shared" si="13"/>
        <v>0.36891871590232195</v>
      </c>
      <c r="K42" s="92">
        <f t="shared" ca="1" si="5"/>
        <v>0.846369771593383</v>
      </c>
      <c r="L42" s="92">
        <f t="shared" ca="1" si="14"/>
        <v>0.1024065465145669</v>
      </c>
      <c r="M42" s="92">
        <f t="shared" ca="1" si="6"/>
        <v>979.78360279938602</v>
      </c>
      <c r="N42" s="92">
        <f t="shared" ca="1" si="7"/>
        <v>188894.38279205744</v>
      </c>
      <c r="O42" s="92">
        <f t="shared" ca="1" si="8"/>
        <v>109080.53848120864</v>
      </c>
      <c r="P42" s="25">
        <f t="shared" ca="1" si="15"/>
        <v>0.32001022876553009</v>
      </c>
      <c r="Q42" s="25"/>
      <c r="R42" s="25"/>
    </row>
    <row r="43" spans="1:18" x14ac:dyDescent="0.2">
      <c r="A43" s="102">
        <v>7214</v>
      </c>
      <c r="B43" s="102">
        <v>1.4065299998037517E-2</v>
      </c>
      <c r="C43" s="25"/>
      <c r="D43" s="103">
        <f t="shared" si="3"/>
        <v>0.72140000000000004</v>
      </c>
      <c r="E43" s="103">
        <f t="shared" si="4"/>
        <v>1.4065299998037517</v>
      </c>
      <c r="F43" s="92">
        <f t="shared" si="9"/>
        <v>0.52041796000000007</v>
      </c>
      <c r="G43" s="92">
        <f t="shared" si="10"/>
        <v>0.37542951634400007</v>
      </c>
      <c r="H43" s="92">
        <f t="shared" si="11"/>
        <v>0.27083485309056166</v>
      </c>
      <c r="I43" s="92">
        <f t="shared" si="12"/>
        <v>1.0146707418584267</v>
      </c>
      <c r="J43" s="92">
        <f t="shared" si="13"/>
        <v>0.73198347317666901</v>
      </c>
      <c r="K43" s="92">
        <f t="shared" ca="1" si="5"/>
        <v>1.3711660268490604</v>
      </c>
      <c r="L43" s="92">
        <f t="shared" ca="1" si="14"/>
        <v>1.2506105831401372E-3</v>
      </c>
      <c r="M43" s="92">
        <f t="shared" ca="1" si="6"/>
        <v>101.95321972531254</v>
      </c>
      <c r="N43" s="92">
        <f t="shared" ca="1" si="7"/>
        <v>235874.10843330569</v>
      </c>
      <c r="O43" s="92">
        <f t="shared" ca="1" si="8"/>
        <v>121568.84794130945</v>
      </c>
      <c r="P43" s="25">
        <f t="shared" ca="1" si="15"/>
        <v>3.5363972954691292E-2</v>
      </c>
      <c r="Q43" s="25"/>
      <c r="R43" s="25"/>
    </row>
    <row r="44" spans="1:18" x14ac:dyDescent="0.2">
      <c r="A44" s="102">
        <v>8484.5</v>
      </c>
      <c r="B44" s="102">
        <v>1.9731724998564459E-2</v>
      </c>
      <c r="C44" s="25"/>
      <c r="D44" s="103">
        <f t="shared" si="3"/>
        <v>0.84845000000000004</v>
      </c>
      <c r="E44" s="103">
        <f t="shared" si="4"/>
        <v>1.9731724998564459</v>
      </c>
      <c r="F44" s="92">
        <f t="shared" si="9"/>
        <v>0.71986740250000003</v>
      </c>
      <c r="G44" s="92">
        <f t="shared" si="10"/>
        <v>0.61077149765112504</v>
      </c>
      <c r="H44" s="92">
        <f t="shared" si="11"/>
        <v>0.51820907718209708</v>
      </c>
      <c r="I44" s="92">
        <f t="shared" si="12"/>
        <v>1.6741382075032016</v>
      </c>
      <c r="J44" s="92">
        <f t="shared" si="13"/>
        <v>1.4204225621560915</v>
      </c>
      <c r="K44" s="92">
        <f t="shared" ca="1" si="5"/>
        <v>1.8787045986739466</v>
      </c>
      <c r="L44" s="92">
        <f t="shared" ca="1" si="14"/>
        <v>8.9241843538264663E-3</v>
      </c>
      <c r="M44" s="92">
        <f t="shared" ca="1" si="6"/>
        <v>3.6633671434119681</v>
      </c>
      <c r="N44" s="92">
        <f t="shared" ca="1" si="7"/>
        <v>226718.11372577655</v>
      </c>
      <c r="O44" s="92">
        <f t="shared" ca="1" si="8"/>
        <v>107224.24137427671</v>
      </c>
      <c r="P44" s="25">
        <f t="shared" ca="1" si="15"/>
        <v>9.446790118249937E-2</v>
      </c>
      <c r="Q44" s="25"/>
      <c r="R44" s="25"/>
    </row>
    <row r="45" spans="1:18" x14ac:dyDescent="0.2">
      <c r="A45" s="102">
        <v>8638</v>
      </c>
      <c r="B45" s="102">
        <v>1.8947700002172496E-2</v>
      </c>
      <c r="C45" s="25"/>
      <c r="D45" s="103">
        <f t="shared" si="3"/>
        <v>0.86380000000000001</v>
      </c>
      <c r="E45" s="103">
        <f t="shared" si="4"/>
        <v>1.8947700002172496</v>
      </c>
      <c r="F45" s="92">
        <f t="shared" si="9"/>
        <v>0.74615043999999997</v>
      </c>
      <c r="G45" s="92">
        <f t="shared" si="10"/>
        <v>0.64452475007199994</v>
      </c>
      <c r="H45" s="92">
        <f t="shared" si="11"/>
        <v>0.5567404791121936</v>
      </c>
      <c r="I45" s="92">
        <f t="shared" si="12"/>
        <v>1.6367023261876603</v>
      </c>
      <c r="J45" s="92">
        <f t="shared" si="13"/>
        <v>1.413783469360901</v>
      </c>
      <c r="K45" s="92">
        <f t="shared" ca="1" si="5"/>
        <v>1.9453293009814843</v>
      </c>
      <c r="L45" s="92">
        <f t="shared" ca="1" si="14"/>
        <v>2.5562428937683382E-3</v>
      </c>
      <c r="M45" s="92">
        <f t="shared" ca="1" si="6"/>
        <v>9.4157779636329657</v>
      </c>
      <c r="N45" s="92">
        <f t="shared" ca="1" si="7"/>
        <v>222758.69273094315</v>
      </c>
      <c r="O45" s="92">
        <f t="shared" ca="1" si="8"/>
        <v>104153.21975205687</v>
      </c>
      <c r="P45" s="25">
        <f t="shared" ca="1" si="15"/>
        <v>-5.0559300764234649E-2</v>
      </c>
      <c r="Q45" s="25"/>
      <c r="R45" s="25"/>
    </row>
    <row r="46" spans="1:18" x14ac:dyDescent="0.2">
      <c r="A46" s="102">
        <v>9175</v>
      </c>
      <c r="B46" s="102">
        <v>2.3045149995596148E-2</v>
      </c>
      <c r="C46" s="25"/>
      <c r="D46" s="103">
        <f t="shared" si="3"/>
        <v>0.91749999999999998</v>
      </c>
      <c r="E46" s="103">
        <f t="shared" si="4"/>
        <v>2.3045149995596148</v>
      </c>
      <c r="F46" s="92">
        <f t="shared" si="9"/>
        <v>0.84180624999999998</v>
      </c>
      <c r="G46" s="92">
        <f t="shared" si="10"/>
        <v>0.77235723437499992</v>
      </c>
      <c r="H46" s="92">
        <f t="shared" si="11"/>
        <v>0.70863776253906241</v>
      </c>
      <c r="I46" s="92">
        <f t="shared" si="12"/>
        <v>2.1143925120959466</v>
      </c>
      <c r="J46" s="92">
        <f t="shared" si="13"/>
        <v>1.9399551298480309</v>
      </c>
      <c r="K46" s="92">
        <f t="shared" ca="1" si="5"/>
        <v>2.1874058193302255</v>
      </c>
      <c r="L46" s="92">
        <f t="shared" ca="1" si="14"/>
        <v>1.371456009399959E-2</v>
      </c>
      <c r="M46" s="92">
        <f t="shared" ca="1" si="6"/>
        <v>43.615827444174727</v>
      </c>
      <c r="N46" s="92">
        <f t="shared" ca="1" si="7"/>
        <v>204512.57717337454</v>
      </c>
      <c r="O46" s="92">
        <f t="shared" ca="1" si="8"/>
        <v>91530.161650910857</v>
      </c>
      <c r="P46" s="25">
        <f t="shared" ca="1" si="15"/>
        <v>0.11710918022938932</v>
      </c>
      <c r="Q46" s="25"/>
      <c r="R46" s="25"/>
    </row>
    <row r="47" spans="1:18" x14ac:dyDescent="0.2">
      <c r="A47" s="102">
        <v>9194</v>
      </c>
      <c r="B47" s="102">
        <v>2.2308300001895986E-2</v>
      </c>
      <c r="C47" s="25"/>
      <c r="D47" s="103">
        <f t="shared" si="3"/>
        <v>0.9194</v>
      </c>
      <c r="E47" s="103">
        <f t="shared" si="4"/>
        <v>2.2308300001895986</v>
      </c>
      <c r="F47" s="92">
        <f t="shared" si="9"/>
        <v>0.84529635999999997</v>
      </c>
      <c r="G47" s="92">
        <f t="shared" si="10"/>
        <v>0.77716547338399999</v>
      </c>
      <c r="H47" s="92">
        <f t="shared" si="11"/>
        <v>0.71452593622924954</v>
      </c>
      <c r="I47" s="92">
        <f t="shared" si="12"/>
        <v>2.0510251021743171</v>
      </c>
      <c r="J47" s="92">
        <f t="shared" si="13"/>
        <v>1.8857124789390671</v>
      </c>
      <c r="K47" s="92">
        <f t="shared" ca="1" si="5"/>
        <v>2.1962272783471928</v>
      </c>
      <c r="L47" s="92">
        <f t="shared" ca="1" si="14"/>
        <v>1.1973483589029124E-3</v>
      </c>
      <c r="M47" s="92">
        <f t="shared" ca="1" si="6"/>
        <v>45.091101006724088</v>
      </c>
      <c r="N47" s="92">
        <f t="shared" ca="1" si="7"/>
        <v>203749.23239962111</v>
      </c>
      <c r="O47" s="92">
        <f t="shared" ca="1" si="8"/>
        <v>91035.460101905977</v>
      </c>
      <c r="P47" s="25">
        <f t="shared" ca="1" si="15"/>
        <v>3.460272184240587E-2</v>
      </c>
      <c r="Q47" s="25"/>
      <c r="R47" s="25"/>
    </row>
    <row r="48" spans="1:18" x14ac:dyDescent="0.2">
      <c r="A48" s="102">
        <v>9200</v>
      </c>
      <c r="B48" s="102">
        <v>2.2391400001652073E-2</v>
      </c>
      <c r="C48" s="25"/>
      <c r="D48" s="103">
        <f t="shared" si="3"/>
        <v>0.92</v>
      </c>
      <c r="E48" s="103">
        <f t="shared" si="4"/>
        <v>2.2391400001652073</v>
      </c>
      <c r="F48" s="92">
        <f t="shared" si="9"/>
        <v>0.84640000000000004</v>
      </c>
      <c r="G48" s="92">
        <f t="shared" si="10"/>
        <v>0.77868800000000005</v>
      </c>
      <c r="H48" s="92">
        <f t="shared" si="11"/>
        <v>0.71639296000000008</v>
      </c>
      <c r="I48" s="92">
        <f t="shared" si="12"/>
        <v>2.0600088001519907</v>
      </c>
      <c r="J48" s="92">
        <f t="shared" si="13"/>
        <v>1.8952080961398317</v>
      </c>
      <c r="K48" s="92">
        <f t="shared" ca="1" si="5"/>
        <v>2.1990166424600552</v>
      </c>
      <c r="L48" s="92">
        <f t="shared" ca="1" si="14"/>
        <v>1.6098838335355864E-3</v>
      </c>
      <c r="M48" s="92">
        <f t="shared" ca="1" si="6"/>
        <v>45.559326354157228</v>
      </c>
      <c r="N48" s="92">
        <f t="shared" ca="1" si="7"/>
        <v>203506.59918065104</v>
      </c>
      <c r="O48" s="92">
        <f t="shared" ca="1" si="8"/>
        <v>90878.623345199871</v>
      </c>
      <c r="P48" s="25">
        <f t="shared" ca="1" si="15"/>
        <v>4.0123357705152074E-2</v>
      </c>
      <c r="Q48" s="25"/>
      <c r="R48" s="25"/>
    </row>
    <row r="49" spans="1:18" x14ac:dyDescent="0.2">
      <c r="A49" s="102">
        <v>9242.5</v>
      </c>
      <c r="B49" s="102">
        <v>2.2730025004420895E-2</v>
      </c>
      <c r="C49" s="25"/>
      <c r="D49" s="103">
        <f t="shared" si="3"/>
        <v>0.92425000000000002</v>
      </c>
      <c r="E49" s="103">
        <f t="shared" si="4"/>
        <v>2.2730025004420895</v>
      </c>
      <c r="F49" s="92">
        <f t="shared" si="9"/>
        <v>0.85423806250000001</v>
      </c>
      <c r="G49" s="92">
        <f t="shared" si="10"/>
        <v>0.78952952926562503</v>
      </c>
      <c r="H49" s="92">
        <f t="shared" si="11"/>
        <v>0.72972266742375391</v>
      </c>
      <c r="I49" s="92">
        <f t="shared" si="12"/>
        <v>2.1008225610336013</v>
      </c>
      <c r="J49" s="92">
        <f t="shared" si="13"/>
        <v>1.9416852520353061</v>
      </c>
      <c r="K49" s="92">
        <f t="shared" ca="1" si="5"/>
        <v>2.2188246608499469</v>
      </c>
      <c r="L49" s="92">
        <f t="shared" ca="1" si="14"/>
        <v>2.935238302871936E-3</v>
      </c>
      <c r="M49" s="92">
        <f t="shared" ca="1" si="6"/>
        <v>48.906025670867713</v>
      </c>
      <c r="N49" s="92">
        <f t="shared" ca="1" si="7"/>
        <v>201766.45018602471</v>
      </c>
      <c r="O49" s="92">
        <f t="shared" ca="1" si="8"/>
        <v>89759.361727042124</v>
      </c>
      <c r="P49" s="25">
        <f t="shared" ca="1" si="15"/>
        <v>5.4177839592142618E-2</v>
      </c>
      <c r="Q49" s="25"/>
      <c r="R49" s="25"/>
    </row>
    <row r="50" spans="1:18" x14ac:dyDescent="0.2">
      <c r="A50" s="102">
        <v>9249</v>
      </c>
      <c r="B50" s="102">
        <v>2.2070049999456387E-2</v>
      </c>
      <c r="C50" s="25"/>
      <c r="D50" s="103">
        <f t="shared" si="3"/>
        <v>0.92490000000000006</v>
      </c>
      <c r="E50" s="103">
        <f t="shared" si="4"/>
        <v>2.2070049999456387</v>
      </c>
      <c r="F50" s="92">
        <f t="shared" si="9"/>
        <v>0.85544001000000014</v>
      </c>
      <c r="G50" s="92">
        <f t="shared" si="10"/>
        <v>0.79119646524900022</v>
      </c>
      <c r="H50" s="92">
        <f t="shared" si="11"/>
        <v>0.73177761070880032</v>
      </c>
      <c r="I50" s="92">
        <f t="shared" si="12"/>
        <v>2.0412589244497212</v>
      </c>
      <c r="J50" s="92">
        <f t="shared" si="13"/>
        <v>1.8879603792235473</v>
      </c>
      <c r="K50" s="92">
        <f t="shared" ca="1" si="5"/>
        <v>2.2218618518711586</v>
      </c>
      <c r="L50" s="92">
        <f t="shared" ca="1" si="14"/>
        <v>2.2072604913682398E-4</v>
      </c>
      <c r="M50" s="92">
        <f t="shared" ca="1" si="6"/>
        <v>49.422252842865838</v>
      </c>
      <c r="N50" s="92">
        <f t="shared" ca="1" si="7"/>
        <v>201497.01013534187</v>
      </c>
      <c r="O50" s="92">
        <f t="shared" ca="1" si="8"/>
        <v>89586.90786528599</v>
      </c>
      <c r="P50" s="25">
        <f t="shared" ca="1" si="15"/>
        <v>-1.4856851925519887E-2</v>
      </c>
      <c r="Q50" s="25"/>
      <c r="R50" s="25"/>
    </row>
    <row r="51" spans="1:18" x14ac:dyDescent="0.2">
      <c r="A51" s="102">
        <v>10001.5</v>
      </c>
      <c r="B51" s="102">
        <v>1.9770549995882902E-2</v>
      </c>
      <c r="C51" s="25"/>
      <c r="D51" s="103">
        <f t="shared" si="3"/>
        <v>1.0001500000000001</v>
      </c>
      <c r="E51" s="103">
        <f t="shared" si="4"/>
        <v>1.9770549995882902</v>
      </c>
      <c r="F51" s="92">
        <f t="shared" si="9"/>
        <v>1.0003000225000003</v>
      </c>
      <c r="G51" s="92">
        <f t="shared" si="10"/>
        <v>1.0004500675033754</v>
      </c>
      <c r="H51" s="92">
        <f t="shared" si="11"/>
        <v>1.000600135013501</v>
      </c>
      <c r="I51" s="92">
        <f t="shared" si="12"/>
        <v>1.9773515578382286</v>
      </c>
      <c r="J51" s="92">
        <f t="shared" si="13"/>
        <v>1.9776481605719045</v>
      </c>
      <c r="K51" s="92">
        <f t="shared" ca="1" si="5"/>
        <v>2.5873357762407259</v>
      </c>
      <c r="L51" s="92">
        <f t="shared" ca="1" si="14"/>
        <v>0.37244262635149999</v>
      </c>
      <c r="M51" s="92">
        <f t="shared" ca="1" si="6"/>
        <v>110.59982561252008</v>
      </c>
      <c r="N51" s="92">
        <f t="shared" ca="1" si="7"/>
        <v>165034.42865103949</v>
      </c>
      <c r="O51" s="92">
        <f t="shared" ca="1" si="8"/>
        <v>67772.383572798906</v>
      </c>
      <c r="P51" s="25">
        <f t="shared" ca="1" si="15"/>
        <v>-0.61028077665243563</v>
      </c>
      <c r="Q51" s="25"/>
      <c r="R51" s="25"/>
    </row>
    <row r="52" spans="1:18" x14ac:dyDescent="0.2">
      <c r="A52" s="102">
        <v>10030</v>
      </c>
      <c r="B52" s="102">
        <v>2.5735961840837263E-2</v>
      </c>
      <c r="C52" s="25"/>
      <c r="D52" s="103">
        <f t="shared" si="3"/>
        <v>1.0029999999999999</v>
      </c>
      <c r="E52" s="103">
        <f t="shared" si="4"/>
        <v>2.5735961840837263</v>
      </c>
      <c r="F52" s="92">
        <f t="shared" si="9"/>
        <v>1.0060089999999997</v>
      </c>
      <c r="G52" s="92">
        <f t="shared" si="10"/>
        <v>1.0090270269999997</v>
      </c>
      <c r="H52" s="92">
        <f t="shared" si="11"/>
        <v>1.0120541080809995</v>
      </c>
      <c r="I52" s="92">
        <f t="shared" si="12"/>
        <v>2.5813169726359773</v>
      </c>
      <c r="J52" s="92">
        <f t="shared" si="13"/>
        <v>2.5890609235538848</v>
      </c>
      <c r="K52" s="92">
        <f t="shared" ca="1" si="5"/>
        <v>2.6017178169741566</v>
      </c>
      <c r="L52" s="92">
        <f t="shared" ca="1" si="14"/>
        <v>7.9082623642413397E-4</v>
      </c>
      <c r="M52" s="92">
        <f t="shared" ca="1" si="6"/>
        <v>112.75223728933051</v>
      </c>
      <c r="N52" s="92">
        <f t="shared" ca="1" si="7"/>
        <v>163475.65847798804</v>
      </c>
      <c r="O52" s="92">
        <f t="shared" ca="1" si="8"/>
        <v>66892.083956865506</v>
      </c>
      <c r="P52" s="25">
        <f t="shared" ca="1" si="15"/>
        <v>-2.8121632890430348E-2</v>
      </c>
      <c r="Q52" s="25"/>
      <c r="R52" s="25"/>
    </row>
    <row r="53" spans="1:18" x14ac:dyDescent="0.2">
      <c r="A53" s="102">
        <v>10681.5</v>
      </c>
      <c r="B53" s="102">
        <v>3.2860175000678282E-2</v>
      </c>
      <c r="C53" s="25"/>
      <c r="D53" s="103">
        <f t="shared" ref="D53:D84" si="16">A53/A$18</f>
        <v>1.0681499999999999</v>
      </c>
      <c r="E53" s="103">
        <f t="shared" ref="E53:E84" si="17">B53/B$18</f>
        <v>3.2860175000678282</v>
      </c>
      <c r="F53" s="92">
        <f t="shared" si="9"/>
        <v>1.1409444224999998</v>
      </c>
      <c r="G53" s="92">
        <f t="shared" si="10"/>
        <v>1.2186997848933747</v>
      </c>
      <c r="H53" s="92">
        <f t="shared" si="11"/>
        <v>1.3017541752338582</v>
      </c>
      <c r="I53" s="92">
        <f t="shared" si="12"/>
        <v>3.5099595926974505</v>
      </c>
      <c r="J53" s="92">
        <f t="shared" si="13"/>
        <v>3.7491633389397814</v>
      </c>
      <c r="K53" s="92">
        <f t="shared" ref="K53:K84" ca="1" si="18">+E$4+E$5*D53+E$6*D53^2</f>
        <v>2.9412374688791698</v>
      </c>
      <c r="L53" s="92">
        <f t="shared" ca="1" si="14"/>
        <v>0.11887326990645226</v>
      </c>
      <c r="M53" s="92">
        <f t="shared" ref="M53:M84" ca="1" si="19">(M$1-M$2*D53+M$3*F53)^2</f>
        <v>152.40584992196358</v>
      </c>
      <c r="N53" s="92">
        <f t="shared" ref="N53:N84" ca="1" si="20">(-M$2+M$4*D53-M$5*F53)^2</f>
        <v>125477.30375629097</v>
      </c>
      <c r="O53" s="92">
        <f t="shared" ref="O53:O84" ca="1" si="21">+(M$3-D53*M$5+F53*M$6)^2</f>
        <v>46432.192773399875</v>
      </c>
      <c r="P53" s="25">
        <f t="shared" ca="1" si="15"/>
        <v>0.34478003118865841</v>
      </c>
      <c r="Q53" s="25"/>
      <c r="R53" s="25"/>
    </row>
    <row r="54" spans="1:18" x14ac:dyDescent="0.2">
      <c r="A54" s="102">
        <v>10784.5</v>
      </c>
      <c r="B54" s="102">
        <v>3.0897649994585663E-2</v>
      </c>
      <c r="C54" s="25"/>
      <c r="D54" s="103">
        <f t="shared" si="16"/>
        <v>1.0784499999999999</v>
      </c>
      <c r="E54" s="103">
        <f t="shared" si="17"/>
        <v>3.0897649994585663</v>
      </c>
      <c r="F54" s="92">
        <f t="shared" si="9"/>
        <v>1.1630544024999998</v>
      </c>
      <c r="G54" s="92">
        <f t="shared" si="10"/>
        <v>1.2542960203761246</v>
      </c>
      <c r="H54" s="92">
        <f t="shared" si="11"/>
        <v>1.3526955431746315</v>
      </c>
      <c r="I54" s="92">
        <f t="shared" si="12"/>
        <v>3.3321570636660907</v>
      </c>
      <c r="J54" s="92">
        <f t="shared" si="13"/>
        <v>3.5935647853106953</v>
      </c>
      <c r="K54" s="92">
        <f t="shared" ca="1" si="18"/>
        <v>2.9968003632372362</v>
      </c>
      <c r="L54" s="92">
        <f t="shared" ca="1" si="14"/>
        <v>8.6424235877642416E-3</v>
      </c>
      <c r="M54" s="92">
        <f t="shared" ca="1" si="19"/>
        <v>156.57034171150141</v>
      </c>
      <c r="N54" s="92">
        <f t="shared" ca="1" si="20"/>
        <v>119185.36031432389</v>
      </c>
      <c r="O54" s="92">
        <f t="shared" ca="1" si="21"/>
        <v>43218.616674356977</v>
      </c>
      <c r="P54" s="25">
        <f t="shared" ca="1" si="15"/>
        <v>9.296463622133011E-2</v>
      </c>
      <c r="Q54" s="25"/>
      <c r="R54" s="25"/>
    </row>
    <row r="55" spans="1:18" x14ac:dyDescent="0.2">
      <c r="A55" s="102">
        <v>10929</v>
      </c>
      <c r="B55" s="102">
        <v>3.3827300001576077E-2</v>
      </c>
      <c r="C55" s="25"/>
      <c r="D55" s="103">
        <f t="shared" si="16"/>
        <v>1.0929</v>
      </c>
      <c r="E55" s="103">
        <f t="shared" si="17"/>
        <v>3.3827300001576077</v>
      </c>
      <c r="F55" s="92">
        <f t="shared" si="9"/>
        <v>1.1944304100000001</v>
      </c>
      <c r="G55" s="92">
        <f t="shared" si="10"/>
        <v>1.305392995089</v>
      </c>
      <c r="H55" s="92">
        <f t="shared" si="11"/>
        <v>1.4266640043327683</v>
      </c>
      <c r="I55" s="92">
        <f t="shared" si="12"/>
        <v>3.6969856171722495</v>
      </c>
      <c r="J55" s="92">
        <f t="shared" si="13"/>
        <v>4.0404355810075518</v>
      </c>
      <c r="K55" s="92">
        <f t="shared" ca="1" si="18"/>
        <v>3.0756181667405444</v>
      </c>
      <c r="L55" s="92">
        <f t="shared" ca="1" si="14"/>
        <v>9.4317678224790022E-2</v>
      </c>
      <c r="M55" s="92">
        <f t="shared" ca="1" si="19"/>
        <v>161.27224797186184</v>
      </c>
      <c r="N55" s="92">
        <f t="shared" ca="1" si="20"/>
        <v>110301.99191542892</v>
      </c>
      <c r="O55" s="92">
        <f t="shared" ca="1" si="21"/>
        <v>38765.180675277217</v>
      </c>
      <c r="P55" s="25">
        <f t="shared" ca="1" si="15"/>
        <v>0.30711183341706327</v>
      </c>
      <c r="Q55" s="25"/>
      <c r="R55" s="25"/>
    </row>
    <row r="56" spans="1:18" x14ac:dyDescent="0.2">
      <c r="A56" s="102">
        <v>11493.5</v>
      </c>
      <c r="B56" s="102">
        <v>3.4110949993191753E-2</v>
      </c>
      <c r="C56" s="25"/>
      <c r="D56" s="103">
        <f t="shared" si="16"/>
        <v>1.1493500000000001</v>
      </c>
      <c r="E56" s="103">
        <f t="shared" si="17"/>
        <v>3.4110949993191753</v>
      </c>
      <c r="F56" s="92">
        <f t="shared" si="9"/>
        <v>1.3210054225000003</v>
      </c>
      <c r="G56" s="92">
        <f t="shared" si="10"/>
        <v>1.5182975823503755</v>
      </c>
      <c r="H56" s="92">
        <f t="shared" si="11"/>
        <v>1.7450553262744044</v>
      </c>
      <c r="I56" s="92">
        <f t="shared" si="12"/>
        <v>3.9205420374674942</v>
      </c>
      <c r="J56" s="92">
        <f t="shared" si="13"/>
        <v>4.5060749907632651</v>
      </c>
      <c r="K56" s="92">
        <f t="shared" ca="1" si="18"/>
        <v>3.3932386075751233</v>
      </c>
      <c r="L56" s="92">
        <f t="shared" ca="1" si="14"/>
        <v>3.1885072611704694E-4</v>
      </c>
      <c r="M56" s="92">
        <f t="shared" ca="1" si="19"/>
        <v>166.0149525040039</v>
      </c>
      <c r="N56" s="92">
        <f t="shared" ca="1" si="20"/>
        <v>75813.550188882858</v>
      </c>
      <c r="O56" s="92">
        <f t="shared" ca="1" si="21"/>
        <v>22485.918497475581</v>
      </c>
      <c r="P56" s="25">
        <f t="shared" ca="1" si="15"/>
        <v>1.7856391744051958E-2</v>
      </c>
      <c r="Q56" s="25"/>
      <c r="R56" s="25"/>
    </row>
    <row r="57" spans="1:18" x14ac:dyDescent="0.2">
      <c r="A57" s="102">
        <v>12205</v>
      </c>
      <c r="B57" s="102">
        <v>3.7376154534285888E-2</v>
      </c>
      <c r="C57" s="25"/>
      <c r="D57" s="103">
        <f t="shared" si="16"/>
        <v>1.2204999999999999</v>
      </c>
      <c r="E57" s="103">
        <f t="shared" si="17"/>
        <v>3.7376154534285888</v>
      </c>
      <c r="F57" s="92">
        <f t="shared" si="9"/>
        <v>1.4896202499999998</v>
      </c>
      <c r="G57" s="92">
        <f t="shared" si="10"/>
        <v>1.8180815151249996</v>
      </c>
      <c r="H57" s="92">
        <f t="shared" si="11"/>
        <v>2.2189684892100616</v>
      </c>
      <c r="I57" s="92">
        <f t="shared" si="12"/>
        <v>4.5617596609095923</v>
      </c>
      <c r="J57" s="92">
        <f t="shared" si="13"/>
        <v>5.5676276661401571</v>
      </c>
      <c r="K57" s="92">
        <f t="shared" ca="1" si="18"/>
        <v>3.8156021378747424</v>
      </c>
      <c r="L57" s="92">
        <f t="shared" ca="1" si="14"/>
        <v>6.0819229509039424E-3</v>
      </c>
      <c r="M57" s="92">
        <f t="shared" ca="1" si="19"/>
        <v>141.2818752252692</v>
      </c>
      <c r="N57" s="92">
        <f t="shared" ca="1" si="20"/>
        <v>36563.237359522536</v>
      </c>
      <c r="O57" s="92">
        <f t="shared" ca="1" si="21"/>
        <v>6695.0587959790046</v>
      </c>
      <c r="P57" s="25">
        <f t="shared" ca="1" si="15"/>
        <v>-7.7986684446153642E-2</v>
      </c>
      <c r="Q57" s="25"/>
      <c r="R57" s="25"/>
    </row>
    <row r="58" spans="1:18" x14ac:dyDescent="0.2">
      <c r="A58" s="102">
        <v>12289</v>
      </c>
      <c r="B58" s="102">
        <v>3.7659299996448681E-2</v>
      </c>
      <c r="C58" s="25"/>
      <c r="D58" s="103">
        <f t="shared" si="16"/>
        <v>1.2289000000000001</v>
      </c>
      <c r="E58" s="103">
        <f t="shared" si="17"/>
        <v>3.7659299996448681</v>
      </c>
      <c r="F58" s="92">
        <f t="shared" si="9"/>
        <v>1.5101952100000002</v>
      </c>
      <c r="G58" s="92">
        <f t="shared" si="10"/>
        <v>1.8558788935690005</v>
      </c>
      <c r="H58" s="92">
        <f t="shared" si="11"/>
        <v>2.2806895723069447</v>
      </c>
      <c r="I58" s="92">
        <f t="shared" si="12"/>
        <v>4.6279513765635789</v>
      </c>
      <c r="J58" s="92">
        <f t="shared" si="13"/>
        <v>5.6872894466589825</v>
      </c>
      <c r="K58" s="92">
        <f t="shared" ca="1" si="18"/>
        <v>3.8670882022691138</v>
      </c>
      <c r="L58" s="92">
        <f t="shared" ca="1" si="14"/>
        <v>1.0232981958167946E-2</v>
      </c>
      <c r="M58" s="92">
        <f t="shared" ca="1" si="19"/>
        <v>136.36721097379476</v>
      </c>
      <c r="N58" s="92">
        <f t="shared" ca="1" si="20"/>
        <v>32529.006774768848</v>
      </c>
      <c r="O58" s="92">
        <f t="shared" ca="1" si="21"/>
        <v>5346.4729678219719</v>
      </c>
      <c r="P58" s="25">
        <f t="shared" ca="1" si="15"/>
        <v>-0.10115820262424569</v>
      </c>
      <c r="Q58" s="25"/>
      <c r="R58" s="25"/>
    </row>
    <row r="59" spans="1:18" x14ac:dyDescent="0.2">
      <c r="A59" s="102">
        <v>12330</v>
      </c>
      <c r="B59" s="102">
        <v>3.8620999999693595E-2</v>
      </c>
      <c r="C59" s="25"/>
      <c r="D59" s="103">
        <f t="shared" si="16"/>
        <v>1.2330000000000001</v>
      </c>
      <c r="E59" s="103">
        <f t="shared" si="17"/>
        <v>3.8620999999693595</v>
      </c>
      <c r="F59" s="92">
        <f t="shared" si="9"/>
        <v>1.5202890000000002</v>
      </c>
      <c r="G59" s="92">
        <f t="shared" si="10"/>
        <v>1.8745163370000004</v>
      </c>
      <c r="H59" s="92">
        <f t="shared" si="11"/>
        <v>2.3112786435210007</v>
      </c>
      <c r="I59" s="92">
        <f t="shared" si="12"/>
        <v>4.761969299962221</v>
      </c>
      <c r="J59" s="92">
        <f t="shared" si="13"/>
        <v>5.8715081468534187</v>
      </c>
      <c r="K59" s="92">
        <f t="shared" ca="1" si="18"/>
        <v>3.8923426790644982</v>
      </c>
      <c r="L59" s="92">
        <f t="shared" ca="1" si="14"/>
        <v>9.1461963885153751E-4</v>
      </c>
      <c r="M59" s="92">
        <f t="shared" ca="1" si="19"/>
        <v>133.83900148901691</v>
      </c>
      <c r="N59" s="92">
        <f t="shared" ca="1" si="20"/>
        <v>30620.70181243178</v>
      </c>
      <c r="O59" s="92">
        <f t="shared" ca="1" si="21"/>
        <v>4736.2848019786261</v>
      </c>
      <c r="P59" s="25">
        <f t="shared" ca="1" si="15"/>
        <v>-3.0242679095138669E-2</v>
      </c>
      <c r="Q59" s="25"/>
      <c r="R59" s="25"/>
    </row>
    <row r="60" spans="1:18" x14ac:dyDescent="0.2">
      <c r="A60" s="102">
        <v>12330</v>
      </c>
      <c r="B60" s="102">
        <v>3.8720999997167382E-2</v>
      </c>
      <c r="C60" s="25"/>
      <c r="D60" s="103">
        <f t="shared" si="16"/>
        <v>1.2330000000000001</v>
      </c>
      <c r="E60" s="103">
        <f t="shared" si="17"/>
        <v>3.8720999997167382</v>
      </c>
      <c r="F60" s="92">
        <f t="shared" si="9"/>
        <v>1.5202890000000002</v>
      </c>
      <c r="G60" s="92">
        <f t="shared" si="10"/>
        <v>1.8745163370000004</v>
      </c>
      <c r="H60" s="92">
        <f t="shared" si="11"/>
        <v>2.3112786435210007</v>
      </c>
      <c r="I60" s="92">
        <f t="shared" si="12"/>
        <v>4.774299299650739</v>
      </c>
      <c r="J60" s="92">
        <f t="shared" si="13"/>
        <v>5.8867110364693618</v>
      </c>
      <c r="K60" s="92">
        <f t="shared" ca="1" si="18"/>
        <v>3.8923426790644982</v>
      </c>
      <c r="L60" s="92">
        <f t="shared" ca="1" si="14"/>
        <v>4.0976606717622589E-4</v>
      </c>
      <c r="M60" s="92">
        <f t="shared" ca="1" si="19"/>
        <v>133.83900148901691</v>
      </c>
      <c r="N60" s="92">
        <f t="shared" ca="1" si="20"/>
        <v>30620.70181243178</v>
      </c>
      <c r="O60" s="92">
        <f t="shared" ca="1" si="21"/>
        <v>4736.2848019786261</v>
      </c>
      <c r="P60" s="25">
        <f t="shared" ca="1" si="15"/>
        <v>-2.0242679347759918E-2</v>
      </c>
      <c r="Q60" s="25"/>
      <c r="R60" s="25"/>
    </row>
    <row r="61" spans="1:18" x14ac:dyDescent="0.2">
      <c r="A61" s="102">
        <v>13086.5</v>
      </c>
      <c r="B61" s="102">
        <v>4.1135049992590211E-2</v>
      </c>
      <c r="C61" s="25"/>
      <c r="D61" s="103">
        <f t="shared" si="16"/>
        <v>1.3086500000000001</v>
      </c>
      <c r="E61" s="103">
        <f t="shared" si="17"/>
        <v>4.1135049992590211</v>
      </c>
      <c r="F61" s="92">
        <f t="shared" si="9"/>
        <v>1.7125648225000003</v>
      </c>
      <c r="G61" s="92">
        <f t="shared" si="10"/>
        <v>2.2411479549646254</v>
      </c>
      <c r="H61" s="92">
        <f t="shared" si="11"/>
        <v>2.9328782712644577</v>
      </c>
      <c r="I61" s="92">
        <f t="shared" si="12"/>
        <v>5.3831383172803182</v>
      </c>
      <c r="J61" s="92">
        <f t="shared" si="13"/>
        <v>7.0446439589088889</v>
      </c>
      <c r="K61" s="92">
        <f t="shared" ca="1" si="18"/>
        <v>4.3729597221790151</v>
      </c>
      <c r="L61" s="92">
        <f t="shared" ca="1" si="14"/>
        <v>6.7316753245490829E-2</v>
      </c>
      <c r="M61" s="92">
        <f t="shared" ca="1" si="19"/>
        <v>76.447179247278029</v>
      </c>
      <c r="N61" s="92">
        <f t="shared" ca="1" si="20"/>
        <v>4562.696925123535</v>
      </c>
      <c r="O61" s="92">
        <f t="shared" ca="1" si="21"/>
        <v>270.97548786898977</v>
      </c>
      <c r="P61" s="25">
        <f t="shared" ca="1" si="15"/>
        <v>-0.25945472291999394</v>
      </c>
      <c r="Q61" s="25"/>
      <c r="R61" s="25"/>
    </row>
    <row r="62" spans="1:18" x14ac:dyDescent="0.2">
      <c r="A62" s="102">
        <v>13146</v>
      </c>
      <c r="B62" s="102">
        <v>4.5000199999776669E-2</v>
      </c>
      <c r="C62" s="25"/>
      <c r="D62" s="103">
        <f t="shared" si="16"/>
        <v>1.3146</v>
      </c>
      <c r="E62" s="103">
        <f t="shared" si="17"/>
        <v>4.5000199999776669</v>
      </c>
      <c r="F62" s="92">
        <f t="shared" si="9"/>
        <v>1.7281731599999999</v>
      </c>
      <c r="G62" s="92">
        <f t="shared" si="10"/>
        <v>2.2718564361359999</v>
      </c>
      <c r="H62" s="92">
        <f t="shared" si="11"/>
        <v>2.9865824709443851</v>
      </c>
      <c r="I62" s="92">
        <f t="shared" si="12"/>
        <v>5.9157262919706408</v>
      </c>
      <c r="J62" s="92">
        <f t="shared" si="13"/>
        <v>7.7768137834246041</v>
      </c>
      <c r="K62" s="92">
        <f t="shared" ca="1" si="18"/>
        <v>4.4119393267173281</v>
      </c>
      <c r="L62" s="92">
        <f t="shared" ca="1" si="14"/>
        <v>7.7582050019945536E-3</v>
      </c>
      <c r="M62" s="92">
        <f t="shared" ca="1" si="19"/>
        <v>71.491877833075378</v>
      </c>
      <c r="N62" s="92">
        <f t="shared" ca="1" si="20"/>
        <v>3413.5133225927766</v>
      </c>
      <c r="O62" s="92">
        <f t="shared" ca="1" si="21"/>
        <v>559.26089161305913</v>
      </c>
      <c r="P62" s="25">
        <f t="shared" ca="1" si="15"/>
        <v>8.8080673260338749E-2</v>
      </c>
      <c r="Q62" s="25"/>
      <c r="R62" s="25"/>
    </row>
    <row r="63" spans="1:18" x14ac:dyDescent="0.2">
      <c r="A63" s="102">
        <v>13159</v>
      </c>
      <c r="B63" s="102">
        <v>4.3778300001577009E-2</v>
      </c>
      <c r="C63" s="25"/>
      <c r="D63" s="103">
        <f t="shared" si="16"/>
        <v>1.3159000000000001</v>
      </c>
      <c r="E63" s="103">
        <f t="shared" si="17"/>
        <v>4.3778300001577009</v>
      </c>
      <c r="F63" s="92">
        <f t="shared" si="9"/>
        <v>1.7315928100000002</v>
      </c>
      <c r="G63" s="92">
        <f t="shared" si="10"/>
        <v>2.2786029786790003</v>
      </c>
      <c r="H63" s="92">
        <f t="shared" si="11"/>
        <v>2.9984136596436968</v>
      </c>
      <c r="I63" s="92">
        <f t="shared" si="12"/>
        <v>5.7607864972075191</v>
      </c>
      <c r="J63" s="92">
        <f t="shared" si="13"/>
        <v>7.5806189516753752</v>
      </c>
      <c r="K63" s="92">
        <f t="shared" ca="1" si="18"/>
        <v>4.4204787516396218</v>
      </c>
      <c r="L63" s="92">
        <f t="shared" ca="1" si="14"/>
        <v>1.818916002966653E-3</v>
      </c>
      <c r="M63" s="92">
        <f t="shared" ca="1" si="19"/>
        <v>70.409839211395621</v>
      </c>
      <c r="N63" s="92">
        <f t="shared" ca="1" si="20"/>
        <v>3183.1137515452751</v>
      </c>
      <c r="O63" s="92">
        <f t="shared" ca="1" si="21"/>
        <v>636.47013623931696</v>
      </c>
      <c r="P63" s="25">
        <f t="shared" ca="1" si="15"/>
        <v>-4.2648751481920932E-2</v>
      </c>
      <c r="Q63" s="25"/>
      <c r="R63" s="25"/>
    </row>
    <row r="64" spans="1:18" x14ac:dyDescent="0.2">
      <c r="A64" s="102">
        <v>13771</v>
      </c>
      <c r="B64" s="102">
        <v>4.8062699999718461E-2</v>
      </c>
      <c r="C64" s="25"/>
      <c r="D64" s="103">
        <f t="shared" si="16"/>
        <v>1.3771</v>
      </c>
      <c r="E64" s="103">
        <f t="shared" si="17"/>
        <v>4.8062699999718461</v>
      </c>
      <c r="F64" s="92">
        <f t="shared" si="9"/>
        <v>1.8964044099999999</v>
      </c>
      <c r="G64" s="92">
        <f t="shared" si="10"/>
        <v>2.6115385130109998</v>
      </c>
      <c r="H64" s="92">
        <f t="shared" si="11"/>
        <v>3.5963496862674478</v>
      </c>
      <c r="I64" s="92">
        <f t="shared" si="12"/>
        <v>6.6187144169612289</v>
      </c>
      <c r="J64" s="92">
        <f t="shared" si="13"/>
        <v>9.1146316235973082</v>
      </c>
      <c r="K64" s="92">
        <f t="shared" ca="1" si="18"/>
        <v>4.8317711443850317</v>
      </c>
      <c r="L64" s="92">
        <f t="shared" ca="1" si="14"/>
        <v>6.5030836638214852E-4</v>
      </c>
      <c r="M64" s="92">
        <f t="shared" ca="1" si="19"/>
        <v>23.505047371148361</v>
      </c>
      <c r="N64" s="92">
        <f t="shared" ca="1" si="20"/>
        <v>1876.7284080326219</v>
      </c>
      <c r="O64" s="92">
        <f t="shared" ca="1" si="21"/>
        <v>10686.156200257827</v>
      </c>
      <c r="P64" s="25">
        <f t="shared" ca="1" si="15"/>
        <v>-2.5501144413185628E-2</v>
      </c>
      <c r="Q64" s="25"/>
      <c r="R64" s="25"/>
    </row>
    <row r="65" spans="1:18" x14ac:dyDescent="0.2">
      <c r="A65" s="102">
        <v>13997</v>
      </c>
      <c r="B65" s="102">
        <v>5.1138900002115406E-2</v>
      </c>
      <c r="C65" s="25"/>
      <c r="D65" s="103">
        <f t="shared" si="16"/>
        <v>1.3996999999999999</v>
      </c>
      <c r="E65" s="103">
        <f t="shared" si="17"/>
        <v>5.1138900002115406</v>
      </c>
      <c r="F65" s="92">
        <f t="shared" si="9"/>
        <v>1.9591600899999999</v>
      </c>
      <c r="G65" s="92">
        <f t="shared" si="10"/>
        <v>2.7422363779729997</v>
      </c>
      <c r="H65" s="92">
        <f t="shared" si="11"/>
        <v>3.8383082582488077</v>
      </c>
      <c r="I65" s="92">
        <f t="shared" si="12"/>
        <v>7.1579118332960929</v>
      </c>
      <c r="J65" s="92">
        <f t="shared" si="13"/>
        <v>10.01892919306454</v>
      </c>
      <c r="K65" s="92">
        <f t="shared" ca="1" si="18"/>
        <v>4.9882497133920154</v>
      </c>
      <c r="L65" s="92">
        <f t="shared" ca="1" si="14"/>
        <v>1.5785481672092563E-2</v>
      </c>
      <c r="M65" s="92">
        <f t="shared" ca="1" si="19"/>
        <v>10.777181629105732</v>
      </c>
      <c r="N65" s="92">
        <f t="shared" ca="1" si="20"/>
        <v>6851.7332074333854</v>
      </c>
      <c r="O65" s="92">
        <f t="shared" ca="1" si="21"/>
        <v>17983.628840748654</v>
      </c>
      <c r="P65" s="25">
        <f t="shared" ca="1" si="15"/>
        <v>0.12564028681952522</v>
      </c>
      <c r="Q65" s="25"/>
      <c r="R65" s="25"/>
    </row>
    <row r="66" spans="1:18" x14ac:dyDescent="0.2">
      <c r="A66" s="102">
        <v>14501</v>
      </c>
      <c r="B66" s="102">
        <v>5.2903699994203635E-2</v>
      </c>
      <c r="C66" s="25"/>
      <c r="D66" s="103">
        <f t="shared" si="16"/>
        <v>1.4500999999999999</v>
      </c>
      <c r="E66" s="103">
        <f t="shared" si="17"/>
        <v>5.2903699994203635</v>
      </c>
      <c r="F66" s="92">
        <f t="shared" si="9"/>
        <v>2.1027900099999997</v>
      </c>
      <c r="G66" s="92">
        <f t="shared" si="10"/>
        <v>3.0492557935009992</v>
      </c>
      <c r="H66" s="92">
        <f t="shared" si="11"/>
        <v>4.4217258261557983</v>
      </c>
      <c r="I66" s="92">
        <f t="shared" si="12"/>
        <v>7.671565536159469</v>
      </c>
      <c r="J66" s="92">
        <f t="shared" si="13"/>
        <v>11.124537183984845</v>
      </c>
      <c r="K66" s="92">
        <f t="shared" ca="1" si="18"/>
        <v>5.3461394838150529</v>
      </c>
      <c r="L66" s="92">
        <f t="shared" ca="1" si="14"/>
        <v>3.1102353896495078E-3</v>
      </c>
      <c r="M66" s="92">
        <f t="shared" ca="1" si="19"/>
        <v>0.50028203923889103</v>
      </c>
      <c r="N66" s="92">
        <f t="shared" ca="1" si="20"/>
        <v>30924.733778959449</v>
      </c>
      <c r="O66" s="92">
        <f t="shared" ca="1" si="21"/>
        <v>42546.341583040346</v>
      </c>
      <c r="P66" s="25">
        <f t="shared" ca="1" si="15"/>
        <v>-5.5769484394689428E-2</v>
      </c>
      <c r="Q66" s="25"/>
      <c r="R66" s="25"/>
    </row>
    <row r="67" spans="1:18" x14ac:dyDescent="0.2">
      <c r="A67" s="102">
        <v>14572</v>
      </c>
      <c r="B67" s="102">
        <v>5.3336399992986117E-2</v>
      </c>
      <c r="C67" s="25"/>
      <c r="D67" s="103">
        <f t="shared" si="16"/>
        <v>1.4572000000000001</v>
      </c>
      <c r="E67" s="103">
        <f t="shared" si="17"/>
        <v>5.3336399992986117</v>
      </c>
      <c r="F67" s="92">
        <f t="shared" si="9"/>
        <v>2.1234318400000003</v>
      </c>
      <c r="G67" s="92">
        <f t="shared" si="10"/>
        <v>3.0942648772480004</v>
      </c>
      <c r="H67" s="92">
        <f t="shared" si="11"/>
        <v>4.5089627791257865</v>
      </c>
      <c r="I67" s="92">
        <f t="shared" si="12"/>
        <v>7.7721802069779375</v>
      </c>
      <c r="J67" s="92">
        <f t="shared" si="13"/>
        <v>11.325620997608251</v>
      </c>
      <c r="K67" s="92">
        <f t="shared" ca="1" si="18"/>
        <v>5.3975472396995778</v>
      </c>
      <c r="L67" s="92">
        <f t="shared" ca="1" si="14"/>
        <v>4.0841353756668839E-3</v>
      </c>
      <c r="M67" s="92">
        <f t="shared" ca="1" si="19"/>
        <v>1.7551454411641518</v>
      </c>
      <c r="N67" s="92">
        <f t="shared" ca="1" si="20"/>
        <v>35922.297778036256</v>
      </c>
      <c r="O67" s="92">
        <f t="shared" ca="1" si="21"/>
        <v>47018.337485397569</v>
      </c>
      <c r="P67" s="25">
        <f t="shared" ca="1" si="15"/>
        <v>-6.3907240400966181E-2</v>
      </c>
      <c r="Q67" s="25"/>
      <c r="R67" s="25"/>
    </row>
    <row r="68" spans="1:18" x14ac:dyDescent="0.2">
      <c r="A68" s="102">
        <v>14640</v>
      </c>
      <c r="B68" s="102">
        <v>5.2367999996931758E-2</v>
      </c>
      <c r="C68" s="25"/>
      <c r="D68" s="103">
        <f t="shared" si="16"/>
        <v>1.464</v>
      </c>
      <c r="E68" s="103">
        <f t="shared" si="17"/>
        <v>5.2367999996931758</v>
      </c>
      <c r="F68" s="92">
        <f t="shared" si="9"/>
        <v>2.1432959999999999</v>
      </c>
      <c r="G68" s="92">
        <f t="shared" si="10"/>
        <v>3.1377853439999996</v>
      </c>
      <c r="H68" s="92">
        <f t="shared" si="11"/>
        <v>4.5937177436159997</v>
      </c>
      <c r="I68" s="92">
        <f t="shared" si="12"/>
        <v>7.6666751995508093</v>
      </c>
      <c r="J68" s="92">
        <f t="shared" si="13"/>
        <v>11.224012492142384</v>
      </c>
      <c r="K68" s="92">
        <f t="shared" ca="1" si="18"/>
        <v>5.4470122188252867</v>
      </c>
      <c r="L68" s="92">
        <f t="shared" ca="1" si="14"/>
        <v>4.4189177072446642E-2</v>
      </c>
      <c r="M68" s="92">
        <f t="shared" ca="1" si="19"/>
        <v>3.7213017791069829</v>
      </c>
      <c r="N68" s="92">
        <f t="shared" ca="1" si="20"/>
        <v>41112.509619813653</v>
      </c>
      <c r="O68" s="92">
        <f t="shared" ca="1" si="21"/>
        <v>51553.249001399439</v>
      </c>
      <c r="P68" s="25">
        <f t="shared" ca="1" si="15"/>
        <v>-0.21021221913211097</v>
      </c>
      <c r="Q68" s="25"/>
      <c r="R68" s="25"/>
    </row>
    <row r="69" spans="1:18" x14ac:dyDescent="0.2">
      <c r="A69" s="102">
        <v>14659</v>
      </c>
      <c r="B69" s="102">
        <v>5.4728299997805152E-2</v>
      </c>
      <c r="C69" s="25"/>
      <c r="D69" s="103">
        <f t="shared" si="16"/>
        <v>1.4659</v>
      </c>
      <c r="E69" s="103">
        <f t="shared" si="17"/>
        <v>5.4728299997805152</v>
      </c>
      <c r="F69" s="92">
        <f t="shared" si="9"/>
        <v>2.1488628099999998</v>
      </c>
      <c r="G69" s="92">
        <f t="shared" si="10"/>
        <v>3.1500179931789996</v>
      </c>
      <c r="H69" s="92">
        <f t="shared" si="11"/>
        <v>4.6176113762010953</v>
      </c>
      <c r="I69" s="92">
        <f t="shared" si="12"/>
        <v>8.0226214966782567</v>
      </c>
      <c r="J69" s="92">
        <f t="shared" si="13"/>
        <v>11.760360851980657</v>
      </c>
      <c r="K69" s="92">
        <f t="shared" ca="1" si="18"/>
        <v>5.4608734310786398</v>
      </c>
      <c r="L69" s="92">
        <f t="shared" ca="1" si="14"/>
        <v>1.4295953512266752E-4</v>
      </c>
      <c r="M69" s="92">
        <f t="shared" ca="1" si="19"/>
        <v>4.4106095646048793</v>
      </c>
      <c r="N69" s="92">
        <f t="shared" ca="1" si="20"/>
        <v>42634.740371837688</v>
      </c>
      <c r="O69" s="92">
        <f t="shared" ca="1" si="21"/>
        <v>52865.179312663677</v>
      </c>
      <c r="P69" s="25">
        <f t="shared" ca="1" si="15"/>
        <v>1.1956568701875447E-2</v>
      </c>
      <c r="Q69" s="25"/>
      <c r="R69" s="25"/>
    </row>
    <row r="70" spans="1:18" x14ac:dyDescent="0.2">
      <c r="A70" s="102">
        <v>14746</v>
      </c>
      <c r="B70" s="102">
        <v>5.1520199995138682E-2</v>
      </c>
      <c r="C70" s="25"/>
      <c r="D70" s="103">
        <f t="shared" si="16"/>
        <v>1.4745999999999999</v>
      </c>
      <c r="E70" s="103">
        <f t="shared" si="17"/>
        <v>5.1520199995138682</v>
      </c>
      <c r="F70" s="92">
        <f t="shared" si="9"/>
        <v>2.1744451599999999</v>
      </c>
      <c r="G70" s="92">
        <f t="shared" si="10"/>
        <v>3.2064368329359998</v>
      </c>
      <c r="H70" s="92">
        <f t="shared" si="11"/>
        <v>4.7282117538474253</v>
      </c>
      <c r="I70" s="92">
        <f t="shared" si="12"/>
        <v>7.5971686912831498</v>
      </c>
      <c r="J70" s="92">
        <f t="shared" si="13"/>
        <v>11.202784952166132</v>
      </c>
      <c r="K70" s="92">
        <f t="shared" ca="1" si="18"/>
        <v>5.5245669927302155</v>
      </c>
      <c r="L70" s="92">
        <f t="shared" ca="1" si="14"/>
        <v>0.13879126215454105</v>
      </c>
      <c r="M70" s="92">
        <f t="shared" ca="1" si="19"/>
        <v>8.3869077679584354</v>
      </c>
      <c r="N70" s="92">
        <f t="shared" ca="1" si="20"/>
        <v>50015.479035593104</v>
      </c>
      <c r="O70" s="92">
        <f t="shared" ca="1" si="21"/>
        <v>59127.297459903668</v>
      </c>
      <c r="P70" s="25">
        <f t="shared" ca="1" si="15"/>
        <v>-0.37254699321634721</v>
      </c>
      <c r="Q70" s="25"/>
      <c r="R70" s="25"/>
    </row>
    <row r="71" spans="1:18" x14ac:dyDescent="0.2">
      <c r="A71" s="102">
        <v>15469.5</v>
      </c>
      <c r="B71" s="102">
        <v>6.0982150003837887E-2</v>
      </c>
      <c r="C71" s="25"/>
      <c r="D71" s="103">
        <f t="shared" si="16"/>
        <v>1.54695</v>
      </c>
      <c r="E71" s="103">
        <f t="shared" si="17"/>
        <v>6.0982150003837887</v>
      </c>
      <c r="F71" s="92">
        <f t="shared" si="9"/>
        <v>2.3930543025</v>
      </c>
      <c r="G71" s="92">
        <f t="shared" si="10"/>
        <v>3.7019353532523751</v>
      </c>
      <c r="H71" s="92">
        <f t="shared" si="11"/>
        <v>5.7267088947137612</v>
      </c>
      <c r="I71" s="92">
        <f t="shared" si="12"/>
        <v>9.433633694843703</v>
      </c>
      <c r="J71" s="92">
        <f t="shared" si="13"/>
        <v>14.593359644238467</v>
      </c>
      <c r="K71" s="92">
        <f t="shared" ca="1" si="18"/>
        <v>6.0684792345456673</v>
      </c>
      <c r="L71" s="92">
        <f t="shared" ca="1" si="14"/>
        <v>8.8421576997958946E-4</v>
      </c>
      <c r="M71" s="92">
        <f t="shared" ca="1" si="19"/>
        <v>106.30395563383044</v>
      </c>
      <c r="N71" s="92">
        <f t="shared" ca="1" si="20"/>
        <v>140220.17583866994</v>
      </c>
      <c r="O71" s="92">
        <f t="shared" ca="1" si="21"/>
        <v>128905.38256082729</v>
      </c>
      <c r="P71" s="25">
        <f t="shared" ca="1" si="15"/>
        <v>2.9735765838121431E-2</v>
      </c>
      <c r="Q71" s="25"/>
      <c r="R71" s="25"/>
    </row>
    <row r="72" spans="1:18" x14ac:dyDescent="0.2">
      <c r="A72" s="102">
        <v>16103</v>
      </c>
      <c r="B72" s="102">
        <v>6.6711099992971867E-2</v>
      </c>
      <c r="C72" s="25"/>
      <c r="D72" s="103">
        <f t="shared" si="16"/>
        <v>1.6103000000000001</v>
      </c>
      <c r="E72" s="103">
        <f t="shared" si="17"/>
        <v>6.6711099992971867</v>
      </c>
      <c r="F72" s="92">
        <f t="shared" si="9"/>
        <v>2.5930660900000002</v>
      </c>
      <c r="G72" s="92">
        <f t="shared" si="10"/>
        <v>4.1756143247270003</v>
      </c>
      <c r="H72" s="92">
        <f t="shared" si="11"/>
        <v>6.7239917471078892</v>
      </c>
      <c r="I72" s="92">
        <f t="shared" si="12"/>
        <v>10.74248843186826</v>
      </c>
      <c r="J72" s="92">
        <f t="shared" si="13"/>
        <v>17.298629121837461</v>
      </c>
      <c r="K72" s="92">
        <f t="shared" ca="1" si="18"/>
        <v>6.5655936394467282</v>
      </c>
      <c r="L72" s="92">
        <f t="shared" ca="1" si="14"/>
        <v>1.1133702196091447E-2</v>
      </c>
      <c r="M72" s="92">
        <f t="shared" ca="1" si="19"/>
        <v>322.88944588077959</v>
      </c>
      <c r="N72" s="92">
        <f t="shared" ca="1" si="20"/>
        <v>268756.96649503772</v>
      </c>
      <c r="O72" s="92">
        <f t="shared" ca="1" si="21"/>
        <v>219949.72013117737</v>
      </c>
      <c r="P72" s="25">
        <f t="shared" ca="1" si="15"/>
        <v>0.10551635985045849</v>
      </c>
      <c r="Q72" s="25"/>
      <c r="R72" s="25"/>
    </row>
    <row r="73" spans="1:18" x14ac:dyDescent="0.2">
      <c r="A73" s="102">
        <v>17078.5</v>
      </c>
      <c r="B73" s="102">
        <v>7.7425449999282137E-2</v>
      </c>
      <c r="C73" s="25"/>
      <c r="D73" s="103">
        <f t="shared" si="16"/>
        <v>1.7078500000000001</v>
      </c>
      <c r="E73" s="103">
        <f t="shared" si="17"/>
        <v>7.7425449999282137</v>
      </c>
      <c r="F73" s="92">
        <f t="shared" si="9"/>
        <v>2.9167516225000005</v>
      </c>
      <c r="G73" s="92">
        <f t="shared" si="10"/>
        <v>4.9813742584866265</v>
      </c>
      <c r="H73" s="92">
        <f t="shared" si="11"/>
        <v>8.5074400273563864</v>
      </c>
      <c r="I73" s="92">
        <f t="shared" si="12"/>
        <v>13.223105478127401</v>
      </c>
      <c r="J73" s="92">
        <f t="shared" si="13"/>
        <v>22.583080690819884</v>
      </c>
      <c r="K73" s="92">
        <f t="shared" ca="1" si="18"/>
        <v>7.3691698879112417</v>
      </c>
      <c r="L73" s="92">
        <f t="shared" ca="1" si="14"/>
        <v>0.13940897427368634</v>
      </c>
      <c r="M73" s="92">
        <f t="shared" ca="1" si="19"/>
        <v>1017.1420391764847</v>
      </c>
      <c r="N73" s="92">
        <f t="shared" ca="1" si="20"/>
        <v>580370.8238662465</v>
      </c>
      <c r="O73" s="92">
        <f t="shared" ca="1" si="21"/>
        <v>427470.29811386066</v>
      </c>
      <c r="P73" s="25">
        <f t="shared" ca="1" si="15"/>
        <v>0.37337511201697193</v>
      </c>
      <c r="Q73" s="25"/>
      <c r="R73" s="25"/>
    </row>
    <row r="74" spans="1:18" x14ac:dyDescent="0.2">
      <c r="A74" s="102"/>
      <c r="B74" s="102"/>
      <c r="C74" s="25"/>
      <c r="D74" s="103">
        <f t="shared" si="16"/>
        <v>0</v>
      </c>
      <c r="E74" s="103">
        <f t="shared" si="17"/>
        <v>0</v>
      </c>
      <c r="F74" s="92">
        <f t="shared" si="9"/>
        <v>0</v>
      </c>
      <c r="G74" s="92">
        <f t="shared" si="10"/>
        <v>0</v>
      </c>
      <c r="H74" s="92">
        <f t="shared" si="11"/>
        <v>0</v>
      </c>
      <c r="I74" s="92">
        <f t="shared" si="12"/>
        <v>0</v>
      </c>
      <c r="J74" s="92">
        <f t="shared" si="13"/>
        <v>0</v>
      </c>
      <c r="K74" s="92">
        <f t="shared" ca="1" si="18"/>
        <v>-2.5297204534783947E-2</v>
      </c>
      <c r="L74" s="92">
        <f t="shared" ca="1" si="14"/>
        <v>6.3994855727469351E-4</v>
      </c>
      <c r="M74" s="92">
        <f t="shared" ca="1" si="19"/>
        <v>26038.741712725659</v>
      </c>
      <c r="N74" s="92">
        <f t="shared" ca="1" si="20"/>
        <v>94612.796768513683</v>
      </c>
      <c r="O74" s="92">
        <f t="shared" ca="1" si="21"/>
        <v>18418.687426928027</v>
      </c>
      <c r="P74" s="25">
        <f t="shared" ca="1" si="15"/>
        <v>2.5297204534783947E-2</v>
      </c>
      <c r="Q74" s="25"/>
      <c r="R74" s="25"/>
    </row>
    <row r="75" spans="1:18" x14ac:dyDescent="0.2">
      <c r="A75" s="102"/>
      <c r="B75" s="102"/>
      <c r="C75" s="25"/>
      <c r="D75" s="103">
        <f t="shared" si="16"/>
        <v>0</v>
      </c>
      <c r="E75" s="103">
        <f t="shared" si="17"/>
        <v>0</v>
      </c>
      <c r="F75" s="92">
        <f t="shared" si="9"/>
        <v>0</v>
      </c>
      <c r="G75" s="92">
        <f t="shared" si="10"/>
        <v>0</v>
      </c>
      <c r="H75" s="92">
        <f t="shared" si="11"/>
        <v>0</v>
      </c>
      <c r="I75" s="92">
        <f t="shared" si="12"/>
        <v>0</v>
      </c>
      <c r="J75" s="92">
        <f t="shared" si="13"/>
        <v>0</v>
      </c>
      <c r="K75" s="92">
        <f t="shared" ca="1" si="18"/>
        <v>-2.5297204534783947E-2</v>
      </c>
      <c r="L75" s="92">
        <f t="shared" ca="1" si="14"/>
        <v>6.3994855727469351E-4</v>
      </c>
      <c r="M75" s="92">
        <f t="shared" ca="1" si="19"/>
        <v>26038.741712725659</v>
      </c>
      <c r="N75" s="92">
        <f t="shared" ca="1" si="20"/>
        <v>94612.796768513683</v>
      </c>
      <c r="O75" s="92">
        <f t="shared" ca="1" si="21"/>
        <v>18418.687426928027</v>
      </c>
      <c r="P75" s="25">
        <f t="shared" ca="1" si="15"/>
        <v>2.5297204534783947E-2</v>
      </c>
      <c r="Q75" s="25"/>
      <c r="R75" s="25"/>
    </row>
    <row r="76" spans="1:18" x14ac:dyDescent="0.2">
      <c r="A76" s="102"/>
      <c r="B76" s="102"/>
      <c r="C76" s="25"/>
      <c r="D76" s="103">
        <f t="shared" si="16"/>
        <v>0</v>
      </c>
      <c r="E76" s="103">
        <f t="shared" si="17"/>
        <v>0</v>
      </c>
      <c r="F76" s="92">
        <f t="shared" si="9"/>
        <v>0</v>
      </c>
      <c r="G76" s="92">
        <f t="shared" si="10"/>
        <v>0</v>
      </c>
      <c r="H76" s="92">
        <f t="shared" si="11"/>
        <v>0</v>
      </c>
      <c r="I76" s="92">
        <f t="shared" si="12"/>
        <v>0</v>
      </c>
      <c r="J76" s="92">
        <f t="shared" si="13"/>
        <v>0</v>
      </c>
      <c r="K76" s="92">
        <f t="shared" ca="1" si="18"/>
        <v>-2.5297204534783947E-2</v>
      </c>
      <c r="L76" s="92">
        <f t="shared" ca="1" si="14"/>
        <v>6.3994855727469351E-4</v>
      </c>
      <c r="M76" s="92">
        <f t="shared" ca="1" si="19"/>
        <v>26038.741712725659</v>
      </c>
      <c r="N76" s="92">
        <f t="shared" ca="1" si="20"/>
        <v>94612.796768513683</v>
      </c>
      <c r="O76" s="92">
        <f t="shared" ca="1" si="21"/>
        <v>18418.687426928027</v>
      </c>
      <c r="P76" s="25">
        <f t="shared" ca="1" si="15"/>
        <v>2.5297204534783947E-2</v>
      </c>
      <c r="Q76" s="25"/>
      <c r="R76" s="25"/>
    </row>
    <row r="77" spans="1:18" x14ac:dyDescent="0.2">
      <c r="A77" s="102"/>
      <c r="B77" s="102"/>
      <c r="C77" s="25"/>
      <c r="D77" s="103">
        <f t="shared" si="16"/>
        <v>0</v>
      </c>
      <c r="E77" s="103">
        <f t="shared" si="17"/>
        <v>0</v>
      </c>
      <c r="F77" s="92">
        <f t="shared" si="9"/>
        <v>0</v>
      </c>
      <c r="G77" s="92">
        <f t="shared" si="10"/>
        <v>0</v>
      </c>
      <c r="H77" s="92">
        <f t="shared" si="11"/>
        <v>0</v>
      </c>
      <c r="I77" s="92">
        <f t="shared" si="12"/>
        <v>0</v>
      </c>
      <c r="J77" s="92">
        <f t="shared" si="13"/>
        <v>0</v>
      </c>
      <c r="K77" s="92">
        <f t="shared" ca="1" si="18"/>
        <v>-2.5297204534783947E-2</v>
      </c>
      <c r="L77" s="92">
        <f t="shared" ca="1" si="14"/>
        <v>6.3994855727469351E-4</v>
      </c>
      <c r="M77" s="92">
        <f t="shared" ca="1" si="19"/>
        <v>26038.741712725659</v>
      </c>
      <c r="N77" s="92">
        <f t="shared" ca="1" si="20"/>
        <v>94612.796768513683</v>
      </c>
      <c r="O77" s="92">
        <f t="shared" ca="1" si="21"/>
        <v>18418.687426928027</v>
      </c>
      <c r="P77" s="25">
        <f t="shared" ca="1" si="15"/>
        <v>2.5297204534783947E-2</v>
      </c>
      <c r="Q77" s="25"/>
      <c r="R77" s="25"/>
    </row>
    <row r="78" spans="1:18" x14ac:dyDescent="0.2">
      <c r="A78" s="102"/>
      <c r="B78" s="102"/>
      <c r="C78" s="25"/>
      <c r="D78" s="103">
        <f t="shared" si="16"/>
        <v>0</v>
      </c>
      <c r="E78" s="103">
        <f t="shared" si="17"/>
        <v>0</v>
      </c>
      <c r="F78" s="92">
        <f t="shared" si="9"/>
        <v>0</v>
      </c>
      <c r="G78" s="92">
        <f t="shared" si="10"/>
        <v>0</v>
      </c>
      <c r="H78" s="92">
        <f t="shared" si="11"/>
        <v>0</v>
      </c>
      <c r="I78" s="92">
        <f t="shared" si="12"/>
        <v>0</v>
      </c>
      <c r="J78" s="92">
        <f t="shared" si="13"/>
        <v>0</v>
      </c>
      <c r="K78" s="92">
        <f t="shared" ca="1" si="18"/>
        <v>-2.5297204534783947E-2</v>
      </c>
      <c r="L78" s="92">
        <f t="shared" ca="1" si="14"/>
        <v>6.3994855727469351E-4</v>
      </c>
      <c r="M78" s="92">
        <f t="shared" ca="1" si="19"/>
        <v>26038.741712725659</v>
      </c>
      <c r="N78" s="92">
        <f t="shared" ca="1" si="20"/>
        <v>94612.796768513683</v>
      </c>
      <c r="O78" s="92">
        <f t="shared" ca="1" si="21"/>
        <v>18418.687426928027</v>
      </c>
      <c r="P78" s="25">
        <f t="shared" ca="1" si="15"/>
        <v>2.5297204534783947E-2</v>
      </c>
      <c r="Q78" s="25"/>
      <c r="R78" s="25"/>
    </row>
    <row r="79" spans="1:18" x14ac:dyDescent="0.2">
      <c r="A79" s="102"/>
      <c r="B79" s="102"/>
      <c r="C79" s="25"/>
      <c r="D79" s="103">
        <f t="shared" si="16"/>
        <v>0</v>
      </c>
      <c r="E79" s="103">
        <f t="shared" si="17"/>
        <v>0</v>
      </c>
      <c r="F79" s="92">
        <f t="shared" si="9"/>
        <v>0</v>
      </c>
      <c r="G79" s="92">
        <f t="shared" si="10"/>
        <v>0</v>
      </c>
      <c r="H79" s="92">
        <f t="shared" si="11"/>
        <v>0</v>
      </c>
      <c r="I79" s="92">
        <f t="shared" si="12"/>
        <v>0</v>
      </c>
      <c r="J79" s="92">
        <f t="shared" si="13"/>
        <v>0</v>
      </c>
      <c r="K79" s="92">
        <f t="shared" ca="1" si="18"/>
        <v>-2.5297204534783947E-2</v>
      </c>
      <c r="L79" s="92">
        <f t="shared" ca="1" si="14"/>
        <v>6.3994855727469351E-4</v>
      </c>
      <c r="M79" s="92">
        <f t="shared" ca="1" si="19"/>
        <v>26038.741712725659</v>
      </c>
      <c r="N79" s="92">
        <f t="shared" ca="1" si="20"/>
        <v>94612.796768513683</v>
      </c>
      <c r="O79" s="92">
        <f t="shared" ca="1" si="21"/>
        <v>18418.687426928027</v>
      </c>
      <c r="P79" s="25">
        <f t="shared" ca="1" si="15"/>
        <v>2.5297204534783947E-2</v>
      </c>
      <c r="Q79" s="25"/>
      <c r="R79" s="25"/>
    </row>
    <row r="80" spans="1:18" x14ac:dyDescent="0.2">
      <c r="A80" s="102"/>
      <c r="B80" s="102"/>
      <c r="C80" s="25"/>
      <c r="D80" s="103">
        <f t="shared" si="16"/>
        <v>0</v>
      </c>
      <c r="E80" s="103">
        <f t="shared" si="17"/>
        <v>0</v>
      </c>
      <c r="F80" s="92">
        <f t="shared" si="9"/>
        <v>0</v>
      </c>
      <c r="G80" s="92">
        <f t="shared" si="10"/>
        <v>0</v>
      </c>
      <c r="H80" s="92">
        <f t="shared" si="11"/>
        <v>0</v>
      </c>
      <c r="I80" s="92">
        <f t="shared" si="12"/>
        <v>0</v>
      </c>
      <c r="J80" s="92">
        <f t="shared" si="13"/>
        <v>0</v>
      </c>
      <c r="K80" s="92">
        <f t="shared" ca="1" si="18"/>
        <v>-2.5297204534783947E-2</v>
      </c>
      <c r="L80" s="92">
        <f t="shared" ca="1" si="14"/>
        <v>6.3994855727469351E-4</v>
      </c>
      <c r="M80" s="92">
        <f t="shared" ca="1" si="19"/>
        <v>26038.741712725659</v>
      </c>
      <c r="N80" s="92">
        <f t="shared" ca="1" si="20"/>
        <v>94612.796768513683</v>
      </c>
      <c r="O80" s="92">
        <f t="shared" ca="1" si="21"/>
        <v>18418.687426928027</v>
      </c>
      <c r="P80" s="25">
        <f t="shared" ca="1" si="15"/>
        <v>2.5297204534783947E-2</v>
      </c>
      <c r="Q80" s="25"/>
      <c r="R80" s="25"/>
    </row>
    <row r="81" spans="1:18" x14ac:dyDescent="0.2">
      <c r="A81" s="102"/>
      <c r="B81" s="102"/>
      <c r="C81" s="25"/>
      <c r="D81" s="103">
        <f t="shared" si="16"/>
        <v>0</v>
      </c>
      <c r="E81" s="103">
        <f t="shared" si="17"/>
        <v>0</v>
      </c>
      <c r="F81" s="92">
        <f t="shared" si="9"/>
        <v>0</v>
      </c>
      <c r="G81" s="92">
        <f t="shared" si="10"/>
        <v>0</v>
      </c>
      <c r="H81" s="92">
        <f t="shared" si="11"/>
        <v>0</v>
      </c>
      <c r="I81" s="92">
        <f t="shared" si="12"/>
        <v>0</v>
      </c>
      <c r="J81" s="92">
        <f t="shared" si="13"/>
        <v>0</v>
      </c>
      <c r="K81" s="92">
        <f t="shared" ca="1" si="18"/>
        <v>-2.5297204534783947E-2</v>
      </c>
      <c r="L81" s="92">
        <f t="shared" ca="1" si="14"/>
        <v>6.3994855727469351E-4</v>
      </c>
      <c r="M81" s="92">
        <f t="shared" ca="1" si="19"/>
        <v>26038.741712725659</v>
      </c>
      <c r="N81" s="92">
        <f t="shared" ca="1" si="20"/>
        <v>94612.796768513683</v>
      </c>
      <c r="O81" s="92">
        <f t="shared" ca="1" si="21"/>
        <v>18418.687426928027</v>
      </c>
      <c r="P81" s="25">
        <f t="shared" ca="1" si="15"/>
        <v>2.5297204534783947E-2</v>
      </c>
      <c r="Q81" s="25"/>
      <c r="R81" s="25"/>
    </row>
    <row r="82" spans="1:18" x14ac:dyDescent="0.2">
      <c r="A82" s="102"/>
      <c r="B82" s="102"/>
      <c r="C82" s="25"/>
      <c r="D82" s="103">
        <f t="shared" si="16"/>
        <v>0</v>
      </c>
      <c r="E82" s="103">
        <f t="shared" si="17"/>
        <v>0</v>
      </c>
      <c r="F82" s="92">
        <f t="shared" si="9"/>
        <v>0</v>
      </c>
      <c r="G82" s="92">
        <f t="shared" si="10"/>
        <v>0</v>
      </c>
      <c r="H82" s="92">
        <f t="shared" si="11"/>
        <v>0</v>
      </c>
      <c r="I82" s="92">
        <f t="shared" si="12"/>
        <v>0</v>
      </c>
      <c r="J82" s="92">
        <f t="shared" si="13"/>
        <v>0</v>
      </c>
      <c r="K82" s="92">
        <f t="shared" ca="1" si="18"/>
        <v>-2.5297204534783947E-2</v>
      </c>
      <c r="L82" s="92">
        <f t="shared" ca="1" si="14"/>
        <v>6.3994855727469351E-4</v>
      </c>
      <c r="M82" s="92">
        <f t="shared" ca="1" si="19"/>
        <v>26038.741712725659</v>
      </c>
      <c r="N82" s="92">
        <f t="shared" ca="1" si="20"/>
        <v>94612.796768513683</v>
      </c>
      <c r="O82" s="92">
        <f t="shared" ca="1" si="21"/>
        <v>18418.687426928027</v>
      </c>
      <c r="P82" s="25">
        <f t="shared" ca="1" si="15"/>
        <v>2.5297204534783947E-2</v>
      </c>
      <c r="Q82" s="25"/>
      <c r="R82" s="25"/>
    </row>
    <row r="83" spans="1:18" x14ac:dyDescent="0.2">
      <c r="A83" s="102"/>
      <c r="B83" s="102"/>
      <c r="C83" s="25"/>
      <c r="D83" s="103">
        <f t="shared" si="16"/>
        <v>0</v>
      </c>
      <c r="E83" s="103">
        <f t="shared" si="17"/>
        <v>0</v>
      </c>
      <c r="F83" s="92">
        <f t="shared" si="9"/>
        <v>0</v>
      </c>
      <c r="G83" s="92">
        <f t="shared" si="10"/>
        <v>0</v>
      </c>
      <c r="H83" s="92">
        <f t="shared" si="11"/>
        <v>0</v>
      </c>
      <c r="I83" s="92">
        <f t="shared" si="12"/>
        <v>0</v>
      </c>
      <c r="J83" s="92">
        <f t="shared" si="13"/>
        <v>0</v>
      </c>
      <c r="K83" s="92">
        <f t="shared" ca="1" si="18"/>
        <v>-2.5297204534783947E-2</v>
      </c>
      <c r="L83" s="92">
        <f t="shared" ca="1" si="14"/>
        <v>6.3994855727469351E-4</v>
      </c>
      <c r="M83" s="92">
        <f t="shared" ca="1" si="19"/>
        <v>26038.741712725659</v>
      </c>
      <c r="N83" s="92">
        <f t="shared" ca="1" si="20"/>
        <v>94612.796768513683</v>
      </c>
      <c r="O83" s="92">
        <f t="shared" ca="1" si="21"/>
        <v>18418.687426928027</v>
      </c>
      <c r="P83" s="25">
        <f t="shared" ca="1" si="15"/>
        <v>2.5297204534783947E-2</v>
      </c>
      <c r="Q83" s="25"/>
      <c r="R83" s="25"/>
    </row>
    <row r="84" spans="1:18" x14ac:dyDescent="0.2">
      <c r="A84" s="102"/>
      <c r="B84" s="102"/>
      <c r="C84" s="25"/>
      <c r="D84" s="103">
        <f t="shared" si="16"/>
        <v>0</v>
      </c>
      <c r="E84" s="103">
        <f t="shared" si="17"/>
        <v>0</v>
      </c>
      <c r="F84" s="92">
        <f t="shared" si="9"/>
        <v>0</v>
      </c>
      <c r="G84" s="92">
        <f t="shared" si="10"/>
        <v>0</v>
      </c>
      <c r="H84" s="92">
        <f t="shared" si="11"/>
        <v>0</v>
      </c>
      <c r="I84" s="92">
        <f t="shared" si="12"/>
        <v>0</v>
      </c>
      <c r="J84" s="92">
        <f t="shared" si="13"/>
        <v>0</v>
      </c>
      <c r="K84" s="92">
        <f t="shared" ca="1" si="18"/>
        <v>-2.5297204534783947E-2</v>
      </c>
      <c r="L84" s="92">
        <f t="shared" ca="1" si="14"/>
        <v>6.3994855727469351E-4</v>
      </c>
      <c r="M84" s="92">
        <f t="shared" ca="1" si="19"/>
        <v>26038.741712725659</v>
      </c>
      <c r="N84" s="92">
        <f t="shared" ca="1" si="20"/>
        <v>94612.796768513683</v>
      </c>
      <c r="O84" s="92">
        <f t="shared" ca="1" si="21"/>
        <v>18418.687426928027</v>
      </c>
      <c r="P84" s="25">
        <f t="shared" ca="1" si="15"/>
        <v>2.5297204534783947E-2</v>
      </c>
      <c r="Q84" s="25"/>
      <c r="R84" s="25"/>
    </row>
    <row r="85" spans="1:18" x14ac:dyDescent="0.2">
      <c r="A85" s="102"/>
      <c r="B85" s="102"/>
      <c r="C85" s="25"/>
      <c r="D85" s="103">
        <f t="shared" ref="D85:D116" si="22">A85/A$18</f>
        <v>0</v>
      </c>
      <c r="E85" s="103">
        <f t="shared" ref="E85:E116" si="23">B85/B$18</f>
        <v>0</v>
      </c>
      <c r="F85" s="92">
        <f t="shared" si="9"/>
        <v>0</v>
      </c>
      <c r="G85" s="92">
        <f t="shared" si="10"/>
        <v>0</v>
      </c>
      <c r="H85" s="92">
        <f t="shared" si="11"/>
        <v>0</v>
      </c>
      <c r="I85" s="92">
        <f t="shared" si="12"/>
        <v>0</v>
      </c>
      <c r="J85" s="92">
        <f t="shared" si="13"/>
        <v>0</v>
      </c>
      <c r="K85" s="92">
        <f t="shared" ref="K85:K116" ca="1" si="24">+E$4+E$5*D85+E$6*D85^2</f>
        <v>-2.5297204534783947E-2</v>
      </c>
      <c r="L85" s="92">
        <f t="shared" ca="1" si="14"/>
        <v>6.3994855727469351E-4</v>
      </c>
      <c r="M85" s="92">
        <f t="shared" ref="M85:M116" ca="1" si="25">(M$1-M$2*D85+M$3*F85)^2</f>
        <v>26038.741712725659</v>
      </c>
      <c r="N85" s="92">
        <f t="shared" ref="N85:N116" ca="1" si="26">(-M$2+M$4*D85-M$5*F85)^2</f>
        <v>94612.796768513683</v>
      </c>
      <c r="O85" s="92">
        <f t="shared" ref="O85:O116" ca="1" si="27">+(M$3-D85*M$5+F85*M$6)^2</f>
        <v>18418.687426928027</v>
      </c>
      <c r="P85" s="25">
        <f t="shared" ca="1" si="15"/>
        <v>2.5297204534783947E-2</v>
      </c>
      <c r="Q85" s="25"/>
      <c r="R85" s="25"/>
    </row>
    <row r="86" spans="1:18" x14ac:dyDescent="0.2">
      <c r="A86" s="102"/>
      <c r="B86" s="102"/>
      <c r="C86" s="25"/>
      <c r="D86" s="103">
        <f t="shared" si="22"/>
        <v>0</v>
      </c>
      <c r="E86" s="103">
        <f t="shared" si="23"/>
        <v>0</v>
      </c>
      <c r="F86" s="92">
        <f t="shared" ref="F86:F123" si="28">D86*D86</f>
        <v>0</v>
      </c>
      <c r="G86" s="92">
        <f t="shared" ref="G86:G123" si="29">D86*F86</f>
        <v>0</v>
      </c>
      <c r="H86" s="92">
        <f t="shared" ref="H86:H123" si="30">F86*F86</f>
        <v>0</v>
      </c>
      <c r="I86" s="92">
        <f t="shared" ref="I86:I123" si="31">E86*D86</f>
        <v>0</v>
      </c>
      <c r="J86" s="92">
        <f t="shared" ref="J86:J123" si="32">I86*D86</f>
        <v>0</v>
      </c>
      <c r="K86" s="92">
        <f t="shared" ca="1" si="24"/>
        <v>-2.5297204534783947E-2</v>
      </c>
      <c r="L86" s="92">
        <f t="shared" ref="L86:L123" ca="1" si="33">+(K86-E86)^2</f>
        <v>6.3994855727469351E-4</v>
      </c>
      <c r="M86" s="92">
        <f t="shared" ca="1" si="25"/>
        <v>26038.741712725659</v>
      </c>
      <c r="N86" s="92">
        <f t="shared" ca="1" si="26"/>
        <v>94612.796768513683</v>
      </c>
      <c r="O86" s="92">
        <f t="shared" ca="1" si="27"/>
        <v>18418.687426928027</v>
      </c>
      <c r="P86" s="25">
        <f t="shared" ref="P86:P123" ca="1" si="34">+E86-K86</f>
        <v>2.5297204534783947E-2</v>
      </c>
      <c r="Q86" s="25"/>
      <c r="R86" s="25"/>
    </row>
    <row r="87" spans="1:18" x14ac:dyDescent="0.2">
      <c r="A87" s="102"/>
      <c r="B87" s="102"/>
      <c r="C87" s="25"/>
      <c r="D87" s="103">
        <f t="shared" si="22"/>
        <v>0</v>
      </c>
      <c r="E87" s="103">
        <f t="shared" si="23"/>
        <v>0</v>
      </c>
      <c r="F87" s="92">
        <f t="shared" si="28"/>
        <v>0</v>
      </c>
      <c r="G87" s="92">
        <f t="shared" si="29"/>
        <v>0</v>
      </c>
      <c r="H87" s="92">
        <f t="shared" si="30"/>
        <v>0</v>
      </c>
      <c r="I87" s="92">
        <f t="shared" si="31"/>
        <v>0</v>
      </c>
      <c r="J87" s="92">
        <f t="shared" si="32"/>
        <v>0</v>
      </c>
      <c r="K87" s="92">
        <f t="shared" ca="1" si="24"/>
        <v>-2.5297204534783947E-2</v>
      </c>
      <c r="L87" s="92">
        <f t="shared" ca="1" si="33"/>
        <v>6.3994855727469351E-4</v>
      </c>
      <c r="M87" s="92">
        <f t="shared" ca="1" si="25"/>
        <v>26038.741712725659</v>
      </c>
      <c r="N87" s="92">
        <f t="shared" ca="1" si="26"/>
        <v>94612.796768513683</v>
      </c>
      <c r="O87" s="92">
        <f t="shared" ca="1" si="27"/>
        <v>18418.687426928027</v>
      </c>
      <c r="P87" s="25">
        <f t="shared" ca="1" si="34"/>
        <v>2.5297204534783947E-2</v>
      </c>
      <c r="Q87" s="25"/>
      <c r="R87" s="25"/>
    </row>
    <row r="88" spans="1:18" x14ac:dyDescent="0.2">
      <c r="A88" s="102"/>
      <c r="B88" s="102"/>
      <c r="C88" s="25"/>
      <c r="D88" s="103">
        <f t="shared" si="22"/>
        <v>0</v>
      </c>
      <c r="E88" s="103">
        <f t="shared" si="23"/>
        <v>0</v>
      </c>
      <c r="F88" s="92">
        <f t="shared" si="28"/>
        <v>0</v>
      </c>
      <c r="G88" s="92">
        <f t="shared" si="29"/>
        <v>0</v>
      </c>
      <c r="H88" s="92">
        <f t="shared" si="30"/>
        <v>0</v>
      </c>
      <c r="I88" s="92">
        <f t="shared" si="31"/>
        <v>0</v>
      </c>
      <c r="J88" s="92">
        <f t="shared" si="32"/>
        <v>0</v>
      </c>
      <c r="K88" s="92">
        <f t="shared" ca="1" si="24"/>
        <v>-2.5297204534783947E-2</v>
      </c>
      <c r="L88" s="92">
        <f t="shared" ca="1" si="33"/>
        <v>6.3994855727469351E-4</v>
      </c>
      <c r="M88" s="92">
        <f t="shared" ca="1" si="25"/>
        <v>26038.741712725659</v>
      </c>
      <c r="N88" s="92">
        <f t="shared" ca="1" si="26"/>
        <v>94612.796768513683</v>
      </c>
      <c r="O88" s="92">
        <f t="shared" ca="1" si="27"/>
        <v>18418.687426928027</v>
      </c>
      <c r="P88" s="25">
        <f t="shared" ca="1" si="34"/>
        <v>2.5297204534783947E-2</v>
      </c>
      <c r="Q88" s="25"/>
      <c r="R88" s="25"/>
    </row>
    <row r="89" spans="1:18" x14ac:dyDescent="0.2">
      <c r="A89" s="102"/>
      <c r="B89" s="102"/>
      <c r="C89" s="25"/>
      <c r="D89" s="103">
        <f t="shared" si="22"/>
        <v>0</v>
      </c>
      <c r="E89" s="103">
        <f t="shared" si="23"/>
        <v>0</v>
      </c>
      <c r="F89" s="92">
        <f t="shared" si="28"/>
        <v>0</v>
      </c>
      <c r="G89" s="92">
        <f t="shared" si="29"/>
        <v>0</v>
      </c>
      <c r="H89" s="92">
        <f t="shared" si="30"/>
        <v>0</v>
      </c>
      <c r="I89" s="92">
        <f t="shared" si="31"/>
        <v>0</v>
      </c>
      <c r="J89" s="92">
        <f t="shared" si="32"/>
        <v>0</v>
      </c>
      <c r="K89" s="92">
        <f t="shared" ca="1" si="24"/>
        <v>-2.5297204534783947E-2</v>
      </c>
      <c r="L89" s="92">
        <f t="shared" ca="1" si="33"/>
        <v>6.3994855727469351E-4</v>
      </c>
      <c r="M89" s="92">
        <f t="shared" ca="1" si="25"/>
        <v>26038.741712725659</v>
      </c>
      <c r="N89" s="92">
        <f t="shared" ca="1" si="26"/>
        <v>94612.796768513683</v>
      </c>
      <c r="O89" s="92">
        <f t="shared" ca="1" si="27"/>
        <v>18418.687426928027</v>
      </c>
      <c r="P89" s="25">
        <f t="shared" ca="1" si="34"/>
        <v>2.5297204534783947E-2</v>
      </c>
      <c r="Q89" s="25"/>
      <c r="R89" s="25"/>
    </row>
    <row r="90" spans="1:18" x14ac:dyDescent="0.2">
      <c r="A90" s="102"/>
      <c r="B90" s="102"/>
      <c r="C90" s="25"/>
      <c r="D90" s="103">
        <f t="shared" si="22"/>
        <v>0</v>
      </c>
      <c r="E90" s="103">
        <f t="shared" si="23"/>
        <v>0</v>
      </c>
      <c r="F90" s="92">
        <f t="shared" si="28"/>
        <v>0</v>
      </c>
      <c r="G90" s="92">
        <f t="shared" si="29"/>
        <v>0</v>
      </c>
      <c r="H90" s="92">
        <f t="shared" si="30"/>
        <v>0</v>
      </c>
      <c r="I90" s="92">
        <f t="shared" si="31"/>
        <v>0</v>
      </c>
      <c r="J90" s="92">
        <f t="shared" si="32"/>
        <v>0</v>
      </c>
      <c r="K90" s="92">
        <f t="shared" ca="1" si="24"/>
        <v>-2.5297204534783947E-2</v>
      </c>
      <c r="L90" s="92">
        <f t="shared" ca="1" si="33"/>
        <v>6.3994855727469351E-4</v>
      </c>
      <c r="M90" s="92">
        <f t="shared" ca="1" si="25"/>
        <v>26038.741712725659</v>
      </c>
      <c r="N90" s="92">
        <f t="shared" ca="1" si="26"/>
        <v>94612.796768513683</v>
      </c>
      <c r="O90" s="92">
        <f t="shared" ca="1" si="27"/>
        <v>18418.687426928027</v>
      </c>
      <c r="P90" s="25">
        <f t="shared" ca="1" si="34"/>
        <v>2.5297204534783947E-2</v>
      </c>
      <c r="Q90" s="25"/>
      <c r="R90" s="25"/>
    </row>
    <row r="91" spans="1:18" x14ac:dyDescent="0.2">
      <c r="A91" s="102"/>
      <c r="B91" s="102"/>
      <c r="C91" s="25"/>
      <c r="D91" s="103">
        <f t="shared" si="22"/>
        <v>0</v>
      </c>
      <c r="E91" s="103">
        <f t="shared" si="23"/>
        <v>0</v>
      </c>
      <c r="F91" s="92">
        <f t="shared" si="28"/>
        <v>0</v>
      </c>
      <c r="G91" s="92">
        <f t="shared" si="29"/>
        <v>0</v>
      </c>
      <c r="H91" s="92">
        <f t="shared" si="30"/>
        <v>0</v>
      </c>
      <c r="I91" s="92">
        <f t="shared" si="31"/>
        <v>0</v>
      </c>
      <c r="J91" s="92">
        <f t="shared" si="32"/>
        <v>0</v>
      </c>
      <c r="K91" s="92">
        <f t="shared" ca="1" si="24"/>
        <v>-2.5297204534783947E-2</v>
      </c>
      <c r="L91" s="92">
        <f t="shared" ca="1" si="33"/>
        <v>6.3994855727469351E-4</v>
      </c>
      <c r="M91" s="92">
        <f t="shared" ca="1" si="25"/>
        <v>26038.741712725659</v>
      </c>
      <c r="N91" s="92">
        <f t="shared" ca="1" si="26"/>
        <v>94612.796768513683</v>
      </c>
      <c r="O91" s="92">
        <f t="shared" ca="1" si="27"/>
        <v>18418.687426928027</v>
      </c>
      <c r="P91" s="25">
        <f t="shared" ca="1" si="34"/>
        <v>2.5297204534783947E-2</v>
      </c>
      <c r="Q91" s="25"/>
      <c r="R91" s="25"/>
    </row>
    <row r="92" spans="1:18" x14ac:dyDescent="0.2">
      <c r="A92" s="102"/>
      <c r="B92" s="102"/>
      <c r="C92" s="25"/>
      <c r="D92" s="103">
        <f t="shared" si="22"/>
        <v>0</v>
      </c>
      <c r="E92" s="103">
        <f t="shared" si="23"/>
        <v>0</v>
      </c>
      <c r="F92" s="92">
        <f t="shared" si="28"/>
        <v>0</v>
      </c>
      <c r="G92" s="92">
        <f t="shared" si="29"/>
        <v>0</v>
      </c>
      <c r="H92" s="92">
        <f t="shared" si="30"/>
        <v>0</v>
      </c>
      <c r="I92" s="92">
        <f t="shared" si="31"/>
        <v>0</v>
      </c>
      <c r="J92" s="92">
        <f t="shared" si="32"/>
        <v>0</v>
      </c>
      <c r="K92" s="92">
        <f t="shared" ca="1" si="24"/>
        <v>-2.5297204534783947E-2</v>
      </c>
      <c r="L92" s="92">
        <f t="shared" ca="1" si="33"/>
        <v>6.3994855727469351E-4</v>
      </c>
      <c r="M92" s="92">
        <f t="shared" ca="1" si="25"/>
        <v>26038.741712725659</v>
      </c>
      <c r="N92" s="92">
        <f t="shared" ca="1" si="26"/>
        <v>94612.796768513683</v>
      </c>
      <c r="O92" s="92">
        <f t="shared" ca="1" si="27"/>
        <v>18418.687426928027</v>
      </c>
      <c r="P92" s="25">
        <f t="shared" ca="1" si="34"/>
        <v>2.5297204534783947E-2</v>
      </c>
      <c r="Q92" s="25"/>
      <c r="R92" s="25"/>
    </row>
    <row r="93" spans="1:18" x14ac:dyDescent="0.2">
      <c r="A93" s="102"/>
      <c r="B93" s="102"/>
      <c r="C93" s="25"/>
      <c r="D93" s="103">
        <f t="shared" si="22"/>
        <v>0</v>
      </c>
      <c r="E93" s="103">
        <f t="shared" si="23"/>
        <v>0</v>
      </c>
      <c r="F93" s="92">
        <f t="shared" si="28"/>
        <v>0</v>
      </c>
      <c r="G93" s="92">
        <f t="shared" si="29"/>
        <v>0</v>
      </c>
      <c r="H93" s="92">
        <f t="shared" si="30"/>
        <v>0</v>
      </c>
      <c r="I93" s="92">
        <f t="shared" si="31"/>
        <v>0</v>
      </c>
      <c r="J93" s="92">
        <f t="shared" si="32"/>
        <v>0</v>
      </c>
      <c r="K93" s="92">
        <f t="shared" ca="1" si="24"/>
        <v>-2.5297204534783947E-2</v>
      </c>
      <c r="L93" s="92">
        <f t="shared" ca="1" si="33"/>
        <v>6.3994855727469351E-4</v>
      </c>
      <c r="M93" s="92">
        <f t="shared" ca="1" si="25"/>
        <v>26038.741712725659</v>
      </c>
      <c r="N93" s="92">
        <f t="shared" ca="1" si="26"/>
        <v>94612.796768513683</v>
      </c>
      <c r="O93" s="92">
        <f t="shared" ca="1" si="27"/>
        <v>18418.687426928027</v>
      </c>
      <c r="P93" s="25">
        <f t="shared" ca="1" si="34"/>
        <v>2.5297204534783947E-2</v>
      </c>
      <c r="Q93" s="25"/>
      <c r="R93" s="25"/>
    </row>
    <row r="94" spans="1:18" x14ac:dyDescent="0.2">
      <c r="A94" s="102"/>
      <c r="B94" s="102"/>
      <c r="C94" s="25"/>
      <c r="D94" s="103">
        <f t="shared" si="22"/>
        <v>0</v>
      </c>
      <c r="E94" s="103">
        <f t="shared" si="23"/>
        <v>0</v>
      </c>
      <c r="F94" s="92">
        <f t="shared" si="28"/>
        <v>0</v>
      </c>
      <c r="G94" s="92">
        <f t="shared" si="29"/>
        <v>0</v>
      </c>
      <c r="H94" s="92">
        <f t="shared" si="30"/>
        <v>0</v>
      </c>
      <c r="I94" s="92">
        <f t="shared" si="31"/>
        <v>0</v>
      </c>
      <c r="J94" s="92">
        <f t="shared" si="32"/>
        <v>0</v>
      </c>
      <c r="K94" s="92">
        <f t="shared" ca="1" si="24"/>
        <v>-2.5297204534783947E-2</v>
      </c>
      <c r="L94" s="92">
        <f t="shared" ca="1" si="33"/>
        <v>6.3994855727469351E-4</v>
      </c>
      <c r="M94" s="92">
        <f t="shared" ca="1" si="25"/>
        <v>26038.741712725659</v>
      </c>
      <c r="N94" s="92">
        <f t="shared" ca="1" si="26"/>
        <v>94612.796768513683</v>
      </c>
      <c r="O94" s="92">
        <f t="shared" ca="1" si="27"/>
        <v>18418.687426928027</v>
      </c>
      <c r="P94" s="25">
        <f t="shared" ca="1" si="34"/>
        <v>2.5297204534783947E-2</v>
      </c>
      <c r="Q94" s="25"/>
      <c r="R94" s="25"/>
    </row>
    <row r="95" spans="1:18" x14ac:dyDescent="0.2">
      <c r="A95" s="102"/>
      <c r="B95" s="102"/>
      <c r="C95" s="25"/>
      <c r="D95" s="103">
        <f t="shared" si="22"/>
        <v>0</v>
      </c>
      <c r="E95" s="103">
        <f t="shared" si="23"/>
        <v>0</v>
      </c>
      <c r="F95" s="92">
        <f t="shared" si="28"/>
        <v>0</v>
      </c>
      <c r="G95" s="92">
        <f t="shared" si="29"/>
        <v>0</v>
      </c>
      <c r="H95" s="92">
        <f t="shared" si="30"/>
        <v>0</v>
      </c>
      <c r="I95" s="92">
        <f t="shared" si="31"/>
        <v>0</v>
      </c>
      <c r="J95" s="92">
        <f t="shared" si="32"/>
        <v>0</v>
      </c>
      <c r="K95" s="92">
        <f t="shared" ca="1" si="24"/>
        <v>-2.5297204534783947E-2</v>
      </c>
      <c r="L95" s="92">
        <f t="shared" ca="1" si="33"/>
        <v>6.3994855727469351E-4</v>
      </c>
      <c r="M95" s="92">
        <f t="shared" ca="1" si="25"/>
        <v>26038.741712725659</v>
      </c>
      <c r="N95" s="92">
        <f t="shared" ca="1" si="26"/>
        <v>94612.796768513683</v>
      </c>
      <c r="O95" s="92">
        <f t="shared" ca="1" si="27"/>
        <v>18418.687426928027</v>
      </c>
      <c r="P95" s="25">
        <f t="shared" ca="1" si="34"/>
        <v>2.5297204534783947E-2</v>
      </c>
      <c r="Q95" s="25"/>
      <c r="R95" s="25"/>
    </row>
    <row r="96" spans="1:18" x14ac:dyDescent="0.2">
      <c r="A96" s="102"/>
      <c r="B96" s="102"/>
      <c r="C96" s="25"/>
      <c r="D96" s="103">
        <f t="shared" si="22"/>
        <v>0</v>
      </c>
      <c r="E96" s="103">
        <f t="shared" si="23"/>
        <v>0</v>
      </c>
      <c r="F96" s="92">
        <f t="shared" si="28"/>
        <v>0</v>
      </c>
      <c r="G96" s="92">
        <f t="shared" si="29"/>
        <v>0</v>
      </c>
      <c r="H96" s="92">
        <f t="shared" si="30"/>
        <v>0</v>
      </c>
      <c r="I96" s="92">
        <f t="shared" si="31"/>
        <v>0</v>
      </c>
      <c r="J96" s="92">
        <f t="shared" si="32"/>
        <v>0</v>
      </c>
      <c r="K96" s="92">
        <f t="shared" ca="1" si="24"/>
        <v>-2.5297204534783947E-2</v>
      </c>
      <c r="L96" s="92">
        <f t="shared" ca="1" si="33"/>
        <v>6.3994855727469351E-4</v>
      </c>
      <c r="M96" s="92">
        <f t="shared" ca="1" si="25"/>
        <v>26038.741712725659</v>
      </c>
      <c r="N96" s="92">
        <f t="shared" ca="1" si="26"/>
        <v>94612.796768513683</v>
      </c>
      <c r="O96" s="92">
        <f t="shared" ca="1" si="27"/>
        <v>18418.687426928027</v>
      </c>
      <c r="P96" s="25">
        <f t="shared" ca="1" si="34"/>
        <v>2.5297204534783947E-2</v>
      </c>
      <c r="Q96" s="25"/>
      <c r="R96" s="25"/>
    </row>
    <row r="97" spans="1:18" x14ac:dyDescent="0.2">
      <c r="A97" s="102"/>
      <c r="B97" s="102"/>
      <c r="C97" s="25"/>
      <c r="D97" s="103">
        <f t="shared" si="22"/>
        <v>0</v>
      </c>
      <c r="E97" s="103">
        <f t="shared" si="23"/>
        <v>0</v>
      </c>
      <c r="F97" s="92">
        <f t="shared" si="28"/>
        <v>0</v>
      </c>
      <c r="G97" s="92">
        <f t="shared" si="29"/>
        <v>0</v>
      </c>
      <c r="H97" s="92">
        <f t="shared" si="30"/>
        <v>0</v>
      </c>
      <c r="I97" s="92">
        <f t="shared" si="31"/>
        <v>0</v>
      </c>
      <c r="J97" s="92">
        <f t="shared" si="32"/>
        <v>0</v>
      </c>
      <c r="K97" s="92">
        <f t="shared" ca="1" si="24"/>
        <v>-2.5297204534783947E-2</v>
      </c>
      <c r="L97" s="92">
        <f t="shared" ca="1" si="33"/>
        <v>6.3994855727469351E-4</v>
      </c>
      <c r="M97" s="92">
        <f t="shared" ca="1" si="25"/>
        <v>26038.741712725659</v>
      </c>
      <c r="N97" s="92">
        <f t="shared" ca="1" si="26"/>
        <v>94612.796768513683</v>
      </c>
      <c r="O97" s="92">
        <f t="shared" ca="1" si="27"/>
        <v>18418.687426928027</v>
      </c>
      <c r="P97" s="25">
        <f t="shared" ca="1" si="34"/>
        <v>2.5297204534783947E-2</v>
      </c>
      <c r="Q97" s="25"/>
      <c r="R97" s="25"/>
    </row>
    <row r="98" spans="1:18" x14ac:dyDescent="0.2">
      <c r="A98" s="102"/>
      <c r="B98" s="102"/>
      <c r="C98" s="25"/>
      <c r="D98" s="103">
        <f t="shared" si="22"/>
        <v>0</v>
      </c>
      <c r="E98" s="103">
        <f t="shared" si="23"/>
        <v>0</v>
      </c>
      <c r="F98" s="92">
        <f t="shared" si="28"/>
        <v>0</v>
      </c>
      <c r="G98" s="92">
        <f t="shared" si="29"/>
        <v>0</v>
      </c>
      <c r="H98" s="92">
        <f t="shared" si="30"/>
        <v>0</v>
      </c>
      <c r="I98" s="92">
        <f t="shared" si="31"/>
        <v>0</v>
      </c>
      <c r="J98" s="92">
        <f t="shared" si="32"/>
        <v>0</v>
      </c>
      <c r="K98" s="92">
        <f t="shared" ca="1" si="24"/>
        <v>-2.5297204534783947E-2</v>
      </c>
      <c r="L98" s="92">
        <f t="shared" ca="1" si="33"/>
        <v>6.3994855727469351E-4</v>
      </c>
      <c r="M98" s="92">
        <f t="shared" ca="1" si="25"/>
        <v>26038.741712725659</v>
      </c>
      <c r="N98" s="92">
        <f t="shared" ca="1" si="26"/>
        <v>94612.796768513683</v>
      </c>
      <c r="O98" s="92">
        <f t="shared" ca="1" si="27"/>
        <v>18418.687426928027</v>
      </c>
      <c r="P98" s="25">
        <f t="shared" ca="1" si="34"/>
        <v>2.5297204534783947E-2</v>
      </c>
      <c r="Q98" s="25"/>
      <c r="R98" s="25"/>
    </row>
    <row r="99" spans="1:18" x14ac:dyDescent="0.2">
      <c r="A99" s="102"/>
      <c r="B99" s="102"/>
      <c r="C99" s="25"/>
      <c r="D99" s="103">
        <f t="shared" si="22"/>
        <v>0</v>
      </c>
      <c r="E99" s="103">
        <f t="shared" si="23"/>
        <v>0</v>
      </c>
      <c r="F99" s="92">
        <f t="shared" si="28"/>
        <v>0</v>
      </c>
      <c r="G99" s="92">
        <f t="shared" si="29"/>
        <v>0</v>
      </c>
      <c r="H99" s="92">
        <f t="shared" si="30"/>
        <v>0</v>
      </c>
      <c r="I99" s="92">
        <f t="shared" si="31"/>
        <v>0</v>
      </c>
      <c r="J99" s="92">
        <f t="shared" si="32"/>
        <v>0</v>
      </c>
      <c r="K99" s="92">
        <f t="shared" ca="1" si="24"/>
        <v>-2.5297204534783947E-2</v>
      </c>
      <c r="L99" s="92">
        <f t="shared" ca="1" si="33"/>
        <v>6.3994855727469351E-4</v>
      </c>
      <c r="M99" s="92">
        <f t="shared" ca="1" si="25"/>
        <v>26038.741712725659</v>
      </c>
      <c r="N99" s="92">
        <f t="shared" ca="1" si="26"/>
        <v>94612.796768513683</v>
      </c>
      <c r="O99" s="92">
        <f t="shared" ca="1" si="27"/>
        <v>18418.687426928027</v>
      </c>
      <c r="P99" s="25">
        <f t="shared" ca="1" si="34"/>
        <v>2.5297204534783947E-2</v>
      </c>
      <c r="Q99" s="25"/>
      <c r="R99" s="25"/>
    </row>
    <row r="100" spans="1:18" x14ac:dyDescent="0.2">
      <c r="A100" s="102"/>
      <c r="B100" s="102"/>
      <c r="C100" s="25"/>
      <c r="D100" s="103">
        <f t="shared" si="22"/>
        <v>0</v>
      </c>
      <c r="E100" s="103">
        <f t="shared" si="23"/>
        <v>0</v>
      </c>
      <c r="F100" s="92">
        <f t="shared" si="28"/>
        <v>0</v>
      </c>
      <c r="G100" s="92">
        <f t="shared" si="29"/>
        <v>0</v>
      </c>
      <c r="H100" s="92">
        <f t="shared" si="30"/>
        <v>0</v>
      </c>
      <c r="I100" s="92">
        <f t="shared" si="31"/>
        <v>0</v>
      </c>
      <c r="J100" s="92">
        <f t="shared" si="32"/>
        <v>0</v>
      </c>
      <c r="K100" s="92">
        <f t="shared" ca="1" si="24"/>
        <v>-2.5297204534783947E-2</v>
      </c>
      <c r="L100" s="92">
        <f t="shared" ca="1" si="33"/>
        <v>6.3994855727469351E-4</v>
      </c>
      <c r="M100" s="92">
        <f t="shared" ca="1" si="25"/>
        <v>26038.741712725659</v>
      </c>
      <c r="N100" s="92">
        <f t="shared" ca="1" si="26"/>
        <v>94612.796768513683</v>
      </c>
      <c r="O100" s="92">
        <f t="shared" ca="1" si="27"/>
        <v>18418.687426928027</v>
      </c>
      <c r="P100" s="25">
        <f t="shared" ca="1" si="34"/>
        <v>2.5297204534783947E-2</v>
      </c>
      <c r="Q100" s="25"/>
      <c r="R100" s="25"/>
    </row>
    <row r="101" spans="1:18" x14ac:dyDescent="0.2">
      <c r="A101" s="102"/>
      <c r="B101" s="102"/>
      <c r="C101" s="25"/>
      <c r="D101" s="103">
        <f t="shared" si="22"/>
        <v>0</v>
      </c>
      <c r="E101" s="103">
        <f t="shared" si="23"/>
        <v>0</v>
      </c>
      <c r="F101" s="92">
        <f t="shared" si="28"/>
        <v>0</v>
      </c>
      <c r="G101" s="92">
        <f t="shared" si="29"/>
        <v>0</v>
      </c>
      <c r="H101" s="92">
        <f t="shared" si="30"/>
        <v>0</v>
      </c>
      <c r="I101" s="92">
        <f t="shared" si="31"/>
        <v>0</v>
      </c>
      <c r="J101" s="92">
        <f t="shared" si="32"/>
        <v>0</v>
      </c>
      <c r="K101" s="92">
        <f t="shared" ca="1" si="24"/>
        <v>-2.5297204534783947E-2</v>
      </c>
      <c r="L101" s="92">
        <f t="shared" ca="1" si="33"/>
        <v>6.3994855727469351E-4</v>
      </c>
      <c r="M101" s="92">
        <f t="shared" ca="1" si="25"/>
        <v>26038.741712725659</v>
      </c>
      <c r="N101" s="92">
        <f t="shared" ca="1" si="26"/>
        <v>94612.796768513683</v>
      </c>
      <c r="O101" s="92">
        <f t="shared" ca="1" si="27"/>
        <v>18418.687426928027</v>
      </c>
      <c r="P101" s="25">
        <f t="shared" ca="1" si="34"/>
        <v>2.5297204534783947E-2</v>
      </c>
      <c r="Q101" s="25"/>
      <c r="R101" s="25"/>
    </row>
    <row r="102" spans="1:18" x14ac:dyDescent="0.2">
      <c r="A102" s="102"/>
      <c r="B102" s="102"/>
      <c r="C102" s="25"/>
      <c r="D102" s="103">
        <f t="shared" si="22"/>
        <v>0</v>
      </c>
      <c r="E102" s="103">
        <f t="shared" si="23"/>
        <v>0</v>
      </c>
      <c r="F102" s="92">
        <f t="shared" si="28"/>
        <v>0</v>
      </c>
      <c r="G102" s="92">
        <f t="shared" si="29"/>
        <v>0</v>
      </c>
      <c r="H102" s="92">
        <f t="shared" si="30"/>
        <v>0</v>
      </c>
      <c r="I102" s="92">
        <f t="shared" si="31"/>
        <v>0</v>
      </c>
      <c r="J102" s="92">
        <f t="shared" si="32"/>
        <v>0</v>
      </c>
      <c r="K102" s="92">
        <f t="shared" ca="1" si="24"/>
        <v>-2.5297204534783947E-2</v>
      </c>
      <c r="L102" s="92">
        <f t="shared" ca="1" si="33"/>
        <v>6.3994855727469351E-4</v>
      </c>
      <c r="M102" s="92">
        <f t="shared" ca="1" si="25"/>
        <v>26038.741712725659</v>
      </c>
      <c r="N102" s="92">
        <f t="shared" ca="1" si="26"/>
        <v>94612.796768513683</v>
      </c>
      <c r="O102" s="92">
        <f t="shared" ca="1" si="27"/>
        <v>18418.687426928027</v>
      </c>
      <c r="P102" s="25">
        <f t="shared" ca="1" si="34"/>
        <v>2.5297204534783947E-2</v>
      </c>
      <c r="Q102" s="25"/>
      <c r="R102" s="25"/>
    </row>
    <row r="103" spans="1:18" x14ac:dyDescent="0.2">
      <c r="A103" s="102"/>
      <c r="B103" s="102"/>
      <c r="C103" s="25"/>
      <c r="D103" s="103">
        <f t="shared" si="22"/>
        <v>0</v>
      </c>
      <c r="E103" s="103">
        <f t="shared" si="23"/>
        <v>0</v>
      </c>
      <c r="F103" s="92">
        <f t="shared" si="28"/>
        <v>0</v>
      </c>
      <c r="G103" s="92">
        <f t="shared" si="29"/>
        <v>0</v>
      </c>
      <c r="H103" s="92">
        <f t="shared" si="30"/>
        <v>0</v>
      </c>
      <c r="I103" s="92">
        <f t="shared" si="31"/>
        <v>0</v>
      </c>
      <c r="J103" s="92">
        <f t="shared" si="32"/>
        <v>0</v>
      </c>
      <c r="K103" s="92">
        <f t="shared" ca="1" si="24"/>
        <v>-2.5297204534783947E-2</v>
      </c>
      <c r="L103" s="92">
        <f t="shared" ca="1" si="33"/>
        <v>6.3994855727469351E-4</v>
      </c>
      <c r="M103" s="92">
        <f t="shared" ca="1" si="25"/>
        <v>26038.741712725659</v>
      </c>
      <c r="N103" s="92">
        <f t="shared" ca="1" si="26"/>
        <v>94612.796768513683</v>
      </c>
      <c r="O103" s="92">
        <f t="shared" ca="1" si="27"/>
        <v>18418.687426928027</v>
      </c>
      <c r="P103" s="25">
        <f t="shared" ca="1" si="34"/>
        <v>2.5297204534783947E-2</v>
      </c>
      <c r="Q103" s="25"/>
      <c r="R103" s="25"/>
    </row>
    <row r="104" spans="1:18" x14ac:dyDescent="0.2">
      <c r="A104" s="102"/>
      <c r="B104" s="102"/>
      <c r="C104" s="25"/>
      <c r="D104" s="103">
        <f t="shared" si="22"/>
        <v>0</v>
      </c>
      <c r="E104" s="103">
        <f t="shared" si="23"/>
        <v>0</v>
      </c>
      <c r="F104" s="92">
        <f t="shared" si="28"/>
        <v>0</v>
      </c>
      <c r="G104" s="92">
        <f t="shared" si="29"/>
        <v>0</v>
      </c>
      <c r="H104" s="92">
        <f t="shared" si="30"/>
        <v>0</v>
      </c>
      <c r="I104" s="92">
        <f t="shared" si="31"/>
        <v>0</v>
      </c>
      <c r="J104" s="92">
        <f t="shared" si="32"/>
        <v>0</v>
      </c>
      <c r="K104" s="92">
        <f t="shared" ca="1" si="24"/>
        <v>-2.5297204534783947E-2</v>
      </c>
      <c r="L104" s="92">
        <f t="shared" ca="1" si="33"/>
        <v>6.3994855727469351E-4</v>
      </c>
      <c r="M104" s="92">
        <f t="shared" ca="1" si="25"/>
        <v>26038.741712725659</v>
      </c>
      <c r="N104" s="92">
        <f t="shared" ca="1" si="26"/>
        <v>94612.796768513683</v>
      </c>
      <c r="O104" s="92">
        <f t="shared" ca="1" si="27"/>
        <v>18418.687426928027</v>
      </c>
      <c r="P104" s="25">
        <f t="shared" ca="1" si="34"/>
        <v>2.5297204534783947E-2</v>
      </c>
      <c r="Q104" s="25"/>
      <c r="R104" s="25"/>
    </row>
    <row r="105" spans="1:18" x14ac:dyDescent="0.2">
      <c r="A105" s="102"/>
      <c r="B105" s="102"/>
      <c r="C105" s="25"/>
      <c r="D105" s="103">
        <f t="shared" si="22"/>
        <v>0</v>
      </c>
      <c r="E105" s="103">
        <f t="shared" si="23"/>
        <v>0</v>
      </c>
      <c r="F105" s="92">
        <f t="shared" si="28"/>
        <v>0</v>
      </c>
      <c r="G105" s="92">
        <f t="shared" si="29"/>
        <v>0</v>
      </c>
      <c r="H105" s="92">
        <f t="shared" si="30"/>
        <v>0</v>
      </c>
      <c r="I105" s="92">
        <f t="shared" si="31"/>
        <v>0</v>
      </c>
      <c r="J105" s="92">
        <f t="shared" si="32"/>
        <v>0</v>
      </c>
      <c r="K105" s="92">
        <f t="shared" ca="1" si="24"/>
        <v>-2.5297204534783947E-2</v>
      </c>
      <c r="L105" s="92">
        <f t="shared" ca="1" si="33"/>
        <v>6.3994855727469351E-4</v>
      </c>
      <c r="M105" s="92">
        <f t="shared" ca="1" si="25"/>
        <v>26038.741712725659</v>
      </c>
      <c r="N105" s="92">
        <f t="shared" ca="1" si="26"/>
        <v>94612.796768513683</v>
      </c>
      <c r="O105" s="92">
        <f t="shared" ca="1" si="27"/>
        <v>18418.687426928027</v>
      </c>
      <c r="P105" s="25">
        <f t="shared" ca="1" si="34"/>
        <v>2.5297204534783947E-2</v>
      </c>
      <c r="Q105" s="25"/>
      <c r="R105" s="25"/>
    </row>
    <row r="106" spans="1:18" x14ac:dyDescent="0.2">
      <c r="A106" s="102"/>
      <c r="B106" s="102"/>
      <c r="C106" s="25"/>
      <c r="D106" s="103">
        <f t="shared" si="22"/>
        <v>0</v>
      </c>
      <c r="E106" s="103">
        <f t="shared" si="23"/>
        <v>0</v>
      </c>
      <c r="F106" s="92">
        <f t="shared" si="28"/>
        <v>0</v>
      </c>
      <c r="G106" s="92">
        <f t="shared" si="29"/>
        <v>0</v>
      </c>
      <c r="H106" s="92">
        <f t="shared" si="30"/>
        <v>0</v>
      </c>
      <c r="I106" s="92">
        <f t="shared" si="31"/>
        <v>0</v>
      </c>
      <c r="J106" s="92">
        <f t="shared" si="32"/>
        <v>0</v>
      </c>
      <c r="K106" s="92">
        <f t="shared" ca="1" si="24"/>
        <v>-2.5297204534783947E-2</v>
      </c>
      <c r="L106" s="92">
        <f t="shared" ca="1" si="33"/>
        <v>6.3994855727469351E-4</v>
      </c>
      <c r="M106" s="92">
        <f t="shared" ca="1" si="25"/>
        <v>26038.741712725659</v>
      </c>
      <c r="N106" s="92">
        <f t="shared" ca="1" si="26"/>
        <v>94612.796768513683</v>
      </c>
      <c r="O106" s="92">
        <f t="shared" ca="1" si="27"/>
        <v>18418.687426928027</v>
      </c>
      <c r="P106" s="25">
        <f t="shared" ca="1" si="34"/>
        <v>2.5297204534783947E-2</v>
      </c>
      <c r="Q106" s="25"/>
      <c r="R106" s="25"/>
    </row>
    <row r="107" spans="1:18" x14ac:dyDescent="0.2">
      <c r="A107" s="102"/>
      <c r="B107" s="102"/>
      <c r="C107" s="25"/>
      <c r="D107" s="103">
        <f t="shared" si="22"/>
        <v>0</v>
      </c>
      <c r="E107" s="103">
        <f t="shared" si="23"/>
        <v>0</v>
      </c>
      <c r="F107" s="92">
        <f t="shared" si="28"/>
        <v>0</v>
      </c>
      <c r="G107" s="92">
        <f t="shared" si="29"/>
        <v>0</v>
      </c>
      <c r="H107" s="92">
        <f t="shared" si="30"/>
        <v>0</v>
      </c>
      <c r="I107" s="92">
        <f t="shared" si="31"/>
        <v>0</v>
      </c>
      <c r="J107" s="92">
        <f t="shared" si="32"/>
        <v>0</v>
      </c>
      <c r="K107" s="92">
        <f t="shared" ca="1" si="24"/>
        <v>-2.5297204534783947E-2</v>
      </c>
      <c r="L107" s="92">
        <f t="shared" ca="1" si="33"/>
        <v>6.3994855727469351E-4</v>
      </c>
      <c r="M107" s="92">
        <f t="shared" ca="1" si="25"/>
        <v>26038.741712725659</v>
      </c>
      <c r="N107" s="92">
        <f t="shared" ca="1" si="26"/>
        <v>94612.796768513683</v>
      </c>
      <c r="O107" s="92">
        <f t="shared" ca="1" si="27"/>
        <v>18418.687426928027</v>
      </c>
      <c r="P107" s="25">
        <f t="shared" ca="1" si="34"/>
        <v>2.5297204534783947E-2</v>
      </c>
      <c r="Q107" s="25"/>
      <c r="R107" s="25"/>
    </row>
    <row r="108" spans="1:18" x14ac:dyDescent="0.2">
      <c r="A108" s="102"/>
      <c r="B108" s="102"/>
      <c r="C108" s="25"/>
      <c r="D108" s="103">
        <f t="shared" si="22"/>
        <v>0</v>
      </c>
      <c r="E108" s="103">
        <f t="shared" si="23"/>
        <v>0</v>
      </c>
      <c r="F108" s="92">
        <f t="shared" si="28"/>
        <v>0</v>
      </c>
      <c r="G108" s="92">
        <f t="shared" si="29"/>
        <v>0</v>
      </c>
      <c r="H108" s="92">
        <f t="shared" si="30"/>
        <v>0</v>
      </c>
      <c r="I108" s="92">
        <f t="shared" si="31"/>
        <v>0</v>
      </c>
      <c r="J108" s="92">
        <f t="shared" si="32"/>
        <v>0</v>
      </c>
      <c r="K108" s="92">
        <f t="shared" ca="1" si="24"/>
        <v>-2.5297204534783947E-2</v>
      </c>
      <c r="L108" s="92">
        <f t="shared" ca="1" si="33"/>
        <v>6.3994855727469351E-4</v>
      </c>
      <c r="M108" s="92">
        <f t="shared" ca="1" si="25"/>
        <v>26038.741712725659</v>
      </c>
      <c r="N108" s="92">
        <f t="shared" ca="1" si="26"/>
        <v>94612.796768513683</v>
      </c>
      <c r="O108" s="92">
        <f t="shared" ca="1" si="27"/>
        <v>18418.687426928027</v>
      </c>
      <c r="P108" s="25">
        <f t="shared" ca="1" si="34"/>
        <v>2.5297204534783947E-2</v>
      </c>
      <c r="Q108" s="25"/>
      <c r="R108" s="25"/>
    </row>
    <row r="109" spans="1:18" x14ac:dyDescent="0.2">
      <c r="A109" s="102"/>
      <c r="B109" s="102"/>
      <c r="C109" s="25"/>
      <c r="D109" s="103">
        <f t="shared" si="22"/>
        <v>0</v>
      </c>
      <c r="E109" s="103">
        <f t="shared" si="23"/>
        <v>0</v>
      </c>
      <c r="F109" s="92">
        <f t="shared" si="28"/>
        <v>0</v>
      </c>
      <c r="G109" s="92">
        <f t="shared" si="29"/>
        <v>0</v>
      </c>
      <c r="H109" s="92">
        <f t="shared" si="30"/>
        <v>0</v>
      </c>
      <c r="I109" s="92">
        <f t="shared" si="31"/>
        <v>0</v>
      </c>
      <c r="J109" s="92">
        <f t="shared" si="32"/>
        <v>0</v>
      </c>
      <c r="K109" s="92">
        <f t="shared" ca="1" si="24"/>
        <v>-2.5297204534783947E-2</v>
      </c>
      <c r="L109" s="92">
        <f t="shared" ca="1" si="33"/>
        <v>6.3994855727469351E-4</v>
      </c>
      <c r="M109" s="92">
        <f t="shared" ca="1" si="25"/>
        <v>26038.741712725659</v>
      </c>
      <c r="N109" s="92">
        <f t="shared" ca="1" si="26"/>
        <v>94612.796768513683</v>
      </c>
      <c r="O109" s="92">
        <f t="shared" ca="1" si="27"/>
        <v>18418.687426928027</v>
      </c>
      <c r="P109" s="25">
        <f t="shared" ca="1" si="34"/>
        <v>2.5297204534783947E-2</v>
      </c>
      <c r="Q109" s="25"/>
      <c r="R109" s="25"/>
    </row>
    <row r="110" spans="1:18" x14ac:dyDescent="0.2">
      <c r="A110" s="102"/>
      <c r="B110" s="102"/>
      <c r="C110" s="25"/>
      <c r="D110" s="103">
        <f t="shared" si="22"/>
        <v>0</v>
      </c>
      <c r="E110" s="103">
        <f t="shared" si="23"/>
        <v>0</v>
      </c>
      <c r="F110" s="92">
        <f t="shared" si="28"/>
        <v>0</v>
      </c>
      <c r="G110" s="92">
        <f t="shared" si="29"/>
        <v>0</v>
      </c>
      <c r="H110" s="92">
        <f t="shared" si="30"/>
        <v>0</v>
      </c>
      <c r="I110" s="92">
        <f t="shared" si="31"/>
        <v>0</v>
      </c>
      <c r="J110" s="92">
        <f t="shared" si="32"/>
        <v>0</v>
      </c>
      <c r="K110" s="92">
        <f t="shared" ca="1" si="24"/>
        <v>-2.5297204534783947E-2</v>
      </c>
      <c r="L110" s="92">
        <f t="shared" ca="1" si="33"/>
        <v>6.3994855727469351E-4</v>
      </c>
      <c r="M110" s="92">
        <f t="shared" ca="1" si="25"/>
        <v>26038.741712725659</v>
      </c>
      <c r="N110" s="92">
        <f t="shared" ca="1" si="26"/>
        <v>94612.796768513683</v>
      </c>
      <c r="O110" s="92">
        <f t="shared" ca="1" si="27"/>
        <v>18418.687426928027</v>
      </c>
      <c r="P110" s="25">
        <f t="shared" ca="1" si="34"/>
        <v>2.5297204534783947E-2</v>
      </c>
      <c r="Q110" s="25"/>
      <c r="R110" s="25"/>
    </row>
    <row r="111" spans="1:18" x14ac:dyDescent="0.2">
      <c r="A111" s="102"/>
      <c r="B111" s="102"/>
      <c r="C111" s="25"/>
      <c r="D111" s="103">
        <f t="shared" si="22"/>
        <v>0</v>
      </c>
      <c r="E111" s="103">
        <f t="shared" si="23"/>
        <v>0</v>
      </c>
      <c r="F111" s="92">
        <f t="shared" si="28"/>
        <v>0</v>
      </c>
      <c r="G111" s="92">
        <f t="shared" si="29"/>
        <v>0</v>
      </c>
      <c r="H111" s="92">
        <f t="shared" si="30"/>
        <v>0</v>
      </c>
      <c r="I111" s="92">
        <f t="shared" si="31"/>
        <v>0</v>
      </c>
      <c r="J111" s="92">
        <f t="shared" si="32"/>
        <v>0</v>
      </c>
      <c r="K111" s="92">
        <f t="shared" ca="1" si="24"/>
        <v>-2.5297204534783947E-2</v>
      </c>
      <c r="L111" s="92">
        <f t="shared" ca="1" si="33"/>
        <v>6.3994855727469351E-4</v>
      </c>
      <c r="M111" s="92">
        <f t="shared" ca="1" si="25"/>
        <v>26038.741712725659</v>
      </c>
      <c r="N111" s="92">
        <f t="shared" ca="1" si="26"/>
        <v>94612.796768513683</v>
      </c>
      <c r="O111" s="92">
        <f t="shared" ca="1" si="27"/>
        <v>18418.687426928027</v>
      </c>
      <c r="P111" s="25">
        <f t="shared" ca="1" si="34"/>
        <v>2.5297204534783947E-2</v>
      </c>
      <c r="Q111" s="25"/>
      <c r="R111" s="25"/>
    </row>
    <row r="112" spans="1:18" x14ac:dyDescent="0.2">
      <c r="A112" s="102"/>
      <c r="B112" s="102"/>
      <c r="C112" s="25"/>
      <c r="D112" s="103">
        <f t="shared" si="22"/>
        <v>0</v>
      </c>
      <c r="E112" s="103">
        <f t="shared" si="23"/>
        <v>0</v>
      </c>
      <c r="F112" s="92">
        <f t="shared" si="28"/>
        <v>0</v>
      </c>
      <c r="G112" s="92">
        <f t="shared" si="29"/>
        <v>0</v>
      </c>
      <c r="H112" s="92">
        <f t="shared" si="30"/>
        <v>0</v>
      </c>
      <c r="I112" s="92">
        <f t="shared" si="31"/>
        <v>0</v>
      </c>
      <c r="J112" s="92">
        <f t="shared" si="32"/>
        <v>0</v>
      </c>
      <c r="K112" s="92">
        <f t="shared" ca="1" si="24"/>
        <v>-2.5297204534783947E-2</v>
      </c>
      <c r="L112" s="92">
        <f t="shared" ca="1" si="33"/>
        <v>6.3994855727469351E-4</v>
      </c>
      <c r="M112" s="92">
        <f t="shared" ca="1" si="25"/>
        <v>26038.741712725659</v>
      </c>
      <c r="N112" s="92">
        <f t="shared" ca="1" si="26"/>
        <v>94612.796768513683</v>
      </c>
      <c r="O112" s="92">
        <f t="shared" ca="1" si="27"/>
        <v>18418.687426928027</v>
      </c>
      <c r="P112" s="25">
        <f t="shared" ca="1" si="34"/>
        <v>2.5297204534783947E-2</v>
      </c>
      <c r="Q112" s="25"/>
      <c r="R112" s="25"/>
    </row>
    <row r="113" spans="1:18" x14ac:dyDescent="0.2">
      <c r="A113" s="102"/>
      <c r="B113" s="102"/>
      <c r="C113" s="25"/>
      <c r="D113" s="103">
        <f t="shared" si="22"/>
        <v>0</v>
      </c>
      <c r="E113" s="103">
        <f t="shared" si="23"/>
        <v>0</v>
      </c>
      <c r="F113" s="92">
        <f t="shared" si="28"/>
        <v>0</v>
      </c>
      <c r="G113" s="92">
        <f t="shared" si="29"/>
        <v>0</v>
      </c>
      <c r="H113" s="92">
        <f t="shared" si="30"/>
        <v>0</v>
      </c>
      <c r="I113" s="92">
        <f t="shared" si="31"/>
        <v>0</v>
      </c>
      <c r="J113" s="92">
        <f t="shared" si="32"/>
        <v>0</v>
      </c>
      <c r="K113" s="92">
        <f t="shared" ca="1" si="24"/>
        <v>-2.5297204534783947E-2</v>
      </c>
      <c r="L113" s="92">
        <f t="shared" ca="1" si="33"/>
        <v>6.3994855727469351E-4</v>
      </c>
      <c r="M113" s="92">
        <f t="shared" ca="1" si="25"/>
        <v>26038.741712725659</v>
      </c>
      <c r="N113" s="92">
        <f t="shared" ca="1" si="26"/>
        <v>94612.796768513683</v>
      </c>
      <c r="O113" s="92">
        <f t="shared" ca="1" si="27"/>
        <v>18418.687426928027</v>
      </c>
      <c r="P113" s="25">
        <f t="shared" ca="1" si="34"/>
        <v>2.5297204534783947E-2</v>
      </c>
      <c r="Q113" s="25"/>
      <c r="R113" s="25"/>
    </row>
    <row r="114" spans="1:18" x14ac:dyDescent="0.2">
      <c r="A114" s="102"/>
      <c r="B114" s="102"/>
      <c r="C114" s="25"/>
      <c r="D114" s="103">
        <f t="shared" si="22"/>
        <v>0</v>
      </c>
      <c r="E114" s="103">
        <f t="shared" si="23"/>
        <v>0</v>
      </c>
      <c r="F114" s="92">
        <f t="shared" si="28"/>
        <v>0</v>
      </c>
      <c r="G114" s="92">
        <f t="shared" si="29"/>
        <v>0</v>
      </c>
      <c r="H114" s="92">
        <f t="shared" si="30"/>
        <v>0</v>
      </c>
      <c r="I114" s="92">
        <f t="shared" si="31"/>
        <v>0</v>
      </c>
      <c r="J114" s="92">
        <f t="shared" si="32"/>
        <v>0</v>
      </c>
      <c r="K114" s="92">
        <f t="shared" ca="1" si="24"/>
        <v>-2.5297204534783947E-2</v>
      </c>
      <c r="L114" s="92">
        <f t="shared" ca="1" si="33"/>
        <v>6.3994855727469351E-4</v>
      </c>
      <c r="M114" s="92">
        <f t="shared" ca="1" si="25"/>
        <v>26038.741712725659</v>
      </c>
      <c r="N114" s="92">
        <f t="shared" ca="1" si="26"/>
        <v>94612.796768513683</v>
      </c>
      <c r="O114" s="92">
        <f t="shared" ca="1" si="27"/>
        <v>18418.687426928027</v>
      </c>
      <c r="P114" s="25">
        <f t="shared" ca="1" si="34"/>
        <v>2.5297204534783947E-2</v>
      </c>
      <c r="Q114" s="25"/>
      <c r="R114" s="25"/>
    </row>
    <row r="115" spans="1:18" x14ac:dyDescent="0.2">
      <c r="A115" s="102"/>
      <c r="B115" s="102"/>
      <c r="C115" s="25"/>
      <c r="D115" s="103">
        <f t="shared" si="22"/>
        <v>0</v>
      </c>
      <c r="E115" s="103">
        <f t="shared" si="23"/>
        <v>0</v>
      </c>
      <c r="F115" s="92">
        <f t="shared" si="28"/>
        <v>0</v>
      </c>
      <c r="G115" s="92">
        <f t="shared" si="29"/>
        <v>0</v>
      </c>
      <c r="H115" s="92">
        <f t="shared" si="30"/>
        <v>0</v>
      </c>
      <c r="I115" s="92">
        <f t="shared" si="31"/>
        <v>0</v>
      </c>
      <c r="J115" s="92">
        <f t="shared" si="32"/>
        <v>0</v>
      </c>
      <c r="K115" s="92">
        <f t="shared" ca="1" si="24"/>
        <v>-2.5297204534783947E-2</v>
      </c>
      <c r="L115" s="92">
        <f t="shared" ca="1" si="33"/>
        <v>6.3994855727469351E-4</v>
      </c>
      <c r="M115" s="92">
        <f t="shared" ca="1" si="25"/>
        <v>26038.741712725659</v>
      </c>
      <c r="N115" s="92">
        <f t="shared" ca="1" si="26"/>
        <v>94612.796768513683</v>
      </c>
      <c r="O115" s="92">
        <f t="shared" ca="1" si="27"/>
        <v>18418.687426928027</v>
      </c>
      <c r="P115" s="25">
        <f t="shared" ca="1" si="34"/>
        <v>2.5297204534783947E-2</v>
      </c>
      <c r="Q115" s="25"/>
      <c r="R115" s="25"/>
    </row>
    <row r="116" spans="1:18" x14ac:dyDescent="0.2">
      <c r="A116" s="102"/>
      <c r="B116" s="102"/>
      <c r="C116" s="25"/>
      <c r="D116" s="103">
        <f t="shared" si="22"/>
        <v>0</v>
      </c>
      <c r="E116" s="103">
        <f t="shared" si="23"/>
        <v>0</v>
      </c>
      <c r="F116" s="92">
        <f t="shared" si="28"/>
        <v>0</v>
      </c>
      <c r="G116" s="92">
        <f t="shared" si="29"/>
        <v>0</v>
      </c>
      <c r="H116" s="92">
        <f t="shared" si="30"/>
        <v>0</v>
      </c>
      <c r="I116" s="92">
        <f t="shared" si="31"/>
        <v>0</v>
      </c>
      <c r="J116" s="92">
        <f t="shared" si="32"/>
        <v>0</v>
      </c>
      <c r="K116" s="92">
        <f t="shared" ca="1" si="24"/>
        <v>-2.5297204534783947E-2</v>
      </c>
      <c r="L116" s="92">
        <f t="shared" ca="1" si="33"/>
        <v>6.3994855727469351E-4</v>
      </c>
      <c r="M116" s="92">
        <f t="shared" ca="1" si="25"/>
        <v>26038.741712725659</v>
      </c>
      <c r="N116" s="92">
        <f t="shared" ca="1" si="26"/>
        <v>94612.796768513683</v>
      </c>
      <c r="O116" s="92">
        <f t="shared" ca="1" si="27"/>
        <v>18418.687426928027</v>
      </c>
      <c r="P116" s="25">
        <f t="shared" ca="1" si="34"/>
        <v>2.5297204534783947E-2</v>
      </c>
      <c r="Q116" s="25"/>
      <c r="R116" s="25"/>
    </row>
    <row r="117" spans="1:18" x14ac:dyDescent="0.2">
      <c r="A117" s="102"/>
      <c r="B117" s="102"/>
      <c r="C117" s="25"/>
      <c r="D117" s="103">
        <f t="shared" ref="D117:D123" si="35">A117/A$18</f>
        <v>0</v>
      </c>
      <c r="E117" s="103">
        <f t="shared" ref="E117:E123" si="36">B117/B$18</f>
        <v>0</v>
      </c>
      <c r="F117" s="92">
        <f t="shared" si="28"/>
        <v>0</v>
      </c>
      <c r="G117" s="92">
        <f t="shared" si="29"/>
        <v>0</v>
      </c>
      <c r="H117" s="92">
        <f t="shared" si="30"/>
        <v>0</v>
      </c>
      <c r="I117" s="92">
        <f t="shared" si="31"/>
        <v>0</v>
      </c>
      <c r="J117" s="92">
        <f t="shared" si="32"/>
        <v>0</v>
      </c>
      <c r="K117" s="92">
        <f t="shared" ref="K117:K123" ca="1" si="37">+E$4+E$5*D117+E$6*D117^2</f>
        <v>-2.5297204534783947E-2</v>
      </c>
      <c r="L117" s="92">
        <f t="shared" ca="1" si="33"/>
        <v>6.3994855727469351E-4</v>
      </c>
      <c r="M117" s="92">
        <f t="shared" ref="M117:M123" ca="1" si="38">(M$1-M$2*D117+M$3*F117)^2</f>
        <v>26038.741712725659</v>
      </c>
      <c r="N117" s="92">
        <f t="shared" ref="N117:N123" ca="1" si="39">(-M$2+M$4*D117-M$5*F117)^2</f>
        <v>94612.796768513683</v>
      </c>
      <c r="O117" s="92">
        <f t="shared" ref="O117:O123" ca="1" si="40">+(M$3-D117*M$5+F117*M$6)^2</f>
        <v>18418.687426928027</v>
      </c>
      <c r="P117" s="25">
        <f t="shared" ca="1" si="34"/>
        <v>2.5297204534783947E-2</v>
      </c>
      <c r="Q117" s="25"/>
      <c r="R117" s="25"/>
    </row>
    <row r="118" spans="1:18" x14ac:dyDescent="0.2">
      <c r="A118" s="102"/>
      <c r="B118" s="102"/>
      <c r="C118" s="25"/>
      <c r="D118" s="103">
        <f t="shared" si="35"/>
        <v>0</v>
      </c>
      <c r="E118" s="103">
        <f t="shared" si="36"/>
        <v>0</v>
      </c>
      <c r="F118" s="92">
        <f t="shared" si="28"/>
        <v>0</v>
      </c>
      <c r="G118" s="92">
        <f t="shared" si="29"/>
        <v>0</v>
      </c>
      <c r="H118" s="92">
        <f t="shared" si="30"/>
        <v>0</v>
      </c>
      <c r="I118" s="92">
        <f t="shared" si="31"/>
        <v>0</v>
      </c>
      <c r="J118" s="92">
        <f t="shared" si="32"/>
        <v>0</v>
      </c>
      <c r="K118" s="92">
        <f t="shared" ca="1" si="37"/>
        <v>-2.5297204534783947E-2</v>
      </c>
      <c r="L118" s="92">
        <f t="shared" ca="1" si="33"/>
        <v>6.3994855727469351E-4</v>
      </c>
      <c r="M118" s="92">
        <f t="shared" ca="1" si="38"/>
        <v>26038.741712725659</v>
      </c>
      <c r="N118" s="92">
        <f t="shared" ca="1" si="39"/>
        <v>94612.796768513683</v>
      </c>
      <c r="O118" s="92">
        <f t="shared" ca="1" si="40"/>
        <v>18418.687426928027</v>
      </c>
      <c r="P118" s="25">
        <f t="shared" ca="1" si="34"/>
        <v>2.5297204534783947E-2</v>
      </c>
      <c r="Q118" s="25"/>
      <c r="R118" s="25"/>
    </row>
    <row r="119" spans="1:18" x14ac:dyDescent="0.2">
      <c r="A119" s="102"/>
      <c r="B119" s="102"/>
      <c r="C119" s="25"/>
      <c r="D119" s="103">
        <f t="shared" si="35"/>
        <v>0</v>
      </c>
      <c r="E119" s="103">
        <f t="shared" si="36"/>
        <v>0</v>
      </c>
      <c r="F119" s="92">
        <f t="shared" si="28"/>
        <v>0</v>
      </c>
      <c r="G119" s="92">
        <f t="shared" si="29"/>
        <v>0</v>
      </c>
      <c r="H119" s="92">
        <f t="shared" si="30"/>
        <v>0</v>
      </c>
      <c r="I119" s="92">
        <f t="shared" si="31"/>
        <v>0</v>
      </c>
      <c r="J119" s="92">
        <f t="shared" si="32"/>
        <v>0</v>
      </c>
      <c r="K119" s="92">
        <f t="shared" ca="1" si="37"/>
        <v>-2.5297204534783947E-2</v>
      </c>
      <c r="L119" s="92">
        <f t="shared" ca="1" si="33"/>
        <v>6.3994855727469351E-4</v>
      </c>
      <c r="M119" s="92">
        <f t="shared" ca="1" si="38"/>
        <v>26038.741712725659</v>
      </c>
      <c r="N119" s="92">
        <f t="shared" ca="1" si="39"/>
        <v>94612.796768513683</v>
      </c>
      <c r="O119" s="92">
        <f t="shared" ca="1" si="40"/>
        <v>18418.687426928027</v>
      </c>
      <c r="P119" s="25">
        <f t="shared" ca="1" si="34"/>
        <v>2.5297204534783947E-2</v>
      </c>
      <c r="Q119" s="25"/>
      <c r="R119" s="25"/>
    </row>
    <row r="120" spans="1:18" x14ac:dyDescent="0.2">
      <c r="A120" s="102"/>
      <c r="B120" s="102"/>
      <c r="C120" s="25"/>
      <c r="D120" s="103">
        <f t="shared" si="35"/>
        <v>0</v>
      </c>
      <c r="E120" s="103">
        <f t="shared" si="36"/>
        <v>0</v>
      </c>
      <c r="F120" s="92">
        <f t="shared" si="28"/>
        <v>0</v>
      </c>
      <c r="G120" s="92">
        <f t="shared" si="29"/>
        <v>0</v>
      </c>
      <c r="H120" s="92">
        <f t="shared" si="30"/>
        <v>0</v>
      </c>
      <c r="I120" s="92">
        <f t="shared" si="31"/>
        <v>0</v>
      </c>
      <c r="J120" s="92">
        <f t="shared" si="32"/>
        <v>0</v>
      </c>
      <c r="K120" s="92">
        <f t="shared" ca="1" si="37"/>
        <v>-2.5297204534783947E-2</v>
      </c>
      <c r="L120" s="92">
        <f t="shared" ca="1" si="33"/>
        <v>6.3994855727469351E-4</v>
      </c>
      <c r="M120" s="92">
        <f t="shared" ca="1" si="38"/>
        <v>26038.741712725659</v>
      </c>
      <c r="N120" s="92">
        <f t="shared" ca="1" si="39"/>
        <v>94612.796768513683</v>
      </c>
      <c r="O120" s="92">
        <f t="shared" ca="1" si="40"/>
        <v>18418.687426928027</v>
      </c>
      <c r="P120" s="25">
        <f t="shared" ca="1" si="34"/>
        <v>2.5297204534783947E-2</v>
      </c>
      <c r="Q120" s="25"/>
      <c r="R120" s="25"/>
    </row>
    <row r="121" spans="1:18" x14ac:dyDescent="0.2">
      <c r="A121" s="102"/>
      <c r="B121" s="102"/>
      <c r="C121" s="25"/>
      <c r="D121" s="103">
        <f t="shared" si="35"/>
        <v>0</v>
      </c>
      <c r="E121" s="103">
        <f t="shared" si="36"/>
        <v>0</v>
      </c>
      <c r="F121" s="92">
        <f t="shared" si="28"/>
        <v>0</v>
      </c>
      <c r="G121" s="92">
        <f t="shared" si="29"/>
        <v>0</v>
      </c>
      <c r="H121" s="92">
        <f t="shared" si="30"/>
        <v>0</v>
      </c>
      <c r="I121" s="92">
        <f t="shared" si="31"/>
        <v>0</v>
      </c>
      <c r="J121" s="92">
        <f t="shared" si="32"/>
        <v>0</v>
      </c>
      <c r="K121" s="92">
        <f t="shared" ca="1" si="37"/>
        <v>-2.5297204534783947E-2</v>
      </c>
      <c r="L121" s="92">
        <f t="shared" ca="1" si="33"/>
        <v>6.3994855727469351E-4</v>
      </c>
      <c r="M121" s="92">
        <f t="shared" ca="1" si="38"/>
        <v>26038.741712725659</v>
      </c>
      <c r="N121" s="92">
        <f t="shared" ca="1" si="39"/>
        <v>94612.796768513683</v>
      </c>
      <c r="O121" s="92">
        <f t="shared" ca="1" si="40"/>
        <v>18418.687426928027</v>
      </c>
      <c r="P121" s="25">
        <f t="shared" ca="1" si="34"/>
        <v>2.5297204534783947E-2</v>
      </c>
      <c r="Q121" s="25"/>
      <c r="R121" s="25"/>
    </row>
    <row r="122" spans="1:18" x14ac:dyDescent="0.2">
      <c r="A122" s="102"/>
      <c r="B122" s="102"/>
      <c r="C122" s="25"/>
      <c r="D122" s="103">
        <f t="shared" si="35"/>
        <v>0</v>
      </c>
      <c r="E122" s="103">
        <f t="shared" si="36"/>
        <v>0</v>
      </c>
      <c r="F122" s="92">
        <f t="shared" si="28"/>
        <v>0</v>
      </c>
      <c r="G122" s="92">
        <f t="shared" si="29"/>
        <v>0</v>
      </c>
      <c r="H122" s="92">
        <f t="shared" si="30"/>
        <v>0</v>
      </c>
      <c r="I122" s="92">
        <f t="shared" si="31"/>
        <v>0</v>
      </c>
      <c r="J122" s="92">
        <f t="shared" si="32"/>
        <v>0</v>
      </c>
      <c r="K122" s="92">
        <f t="shared" ca="1" si="37"/>
        <v>-2.5297204534783947E-2</v>
      </c>
      <c r="L122" s="92">
        <f t="shared" ca="1" si="33"/>
        <v>6.3994855727469351E-4</v>
      </c>
      <c r="M122" s="92">
        <f t="shared" ca="1" si="38"/>
        <v>26038.741712725659</v>
      </c>
      <c r="N122" s="92">
        <f t="shared" ca="1" si="39"/>
        <v>94612.796768513683</v>
      </c>
      <c r="O122" s="92">
        <f t="shared" ca="1" si="40"/>
        <v>18418.687426928027</v>
      </c>
      <c r="P122" s="25">
        <f t="shared" ca="1" si="34"/>
        <v>2.5297204534783947E-2</v>
      </c>
      <c r="Q122" s="25"/>
      <c r="R122" s="25"/>
    </row>
    <row r="123" spans="1:18" x14ac:dyDescent="0.2">
      <c r="A123" s="102"/>
      <c r="B123" s="102"/>
      <c r="C123" s="25"/>
      <c r="D123" s="103">
        <f t="shared" si="35"/>
        <v>0</v>
      </c>
      <c r="E123" s="103">
        <f t="shared" si="36"/>
        <v>0</v>
      </c>
      <c r="F123" s="92">
        <f t="shared" si="28"/>
        <v>0</v>
      </c>
      <c r="G123" s="92">
        <f t="shared" si="29"/>
        <v>0</v>
      </c>
      <c r="H123" s="92">
        <f t="shared" si="30"/>
        <v>0</v>
      </c>
      <c r="I123" s="92">
        <f t="shared" si="31"/>
        <v>0</v>
      </c>
      <c r="J123" s="92">
        <f t="shared" si="32"/>
        <v>0</v>
      </c>
      <c r="K123" s="92">
        <f t="shared" ca="1" si="37"/>
        <v>-2.5297204534783947E-2</v>
      </c>
      <c r="L123" s="92">
        <f t="shared" ca="1" si="33"/>
        <v>6.3994855727469351E-4</v>
      </c>
      <c r="M123" s="92">
        <f t="shared" ca="1" si="38"/>
        <v>26038.741712725659</v>
      </c>
      <c r="N123" s="92">
        <f t="shared" ca="1" si="39"/>
        <v>94612.796768513683</v>
      </c>
      <c r="O123" s="92">
        <f t="shared" ca="1" si="40"/>
        <v>18418.687426928027</v>
      </c>
      <c r="P123" s="25">
        <f t="shared" ca="1" si="34"/>
        <v>2.5297204534783947E-2</v>
      </c>
      <c r="Q123" s="25"/>
      <c r="R123" s="25"/>
    </row>
    <row r="124" spans="1:18" x14ac:dyDescent="0.2">
      <c r="A124" s="104"/>
      <c r="B124" s="104"/>
      <c r="C124" s="25"/>
      <c r="D124" s="105"/>
      <c r="E124" s="10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2">
      <c r="A125" s="104"/>
      <c r="B125" s="104"/>
      <c r="C125" s="25"/>
      <c r="D125" s="105"/>
      <c r="E125" s="10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2">
      <c r="A126" s="104"/>
      <c r="B126" s="104"/>
      <c r="C126" s="25"/>
      <c r="D126" s="105"/>
      <c r="E126" s="10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2">
      <c r="A127" s="104"/>
      <c r="B127" s="104"/>
      <c r="C127" s="25"/>
      <c r="D127" s="105"/>
      <c r="E127" s="10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2">
      <c r="A128" s="104"/>
      <c r="B128" s="104"/>
      <c r="C128" s="25"/>
      <c r="D128" s="105"/>
      <c r="E128" s="10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2">
      <c r="A129" s="104"/>
      <c r="B129" s="104"/>
      <c r="C129" s="25"/>
      <c r="D129" s="105"/>
      <c r="E129" s="10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2">
      <c r="A130" s="104"/>
      <c r="B130" s="104"/>
      <c r="C130" s="25"/>
      <c r="D130" s="105"/>
      <c r="E130" s="10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x14ac:dyDescent="0.2">
      <c r="A131" s="104"/>
      <c r="B131" s="104"/>
      <c r="C131" s="25"/>
      <c r="D131" s="105"/>
      <c r="E131" s="10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x14ac:dyDescent="0.2">
      <c r="A132" s="104"/>
      <c r="B132" s="104"/>
      <c r="C132" s="25"/>
      <c r="D132" s="105"/>
      <c r="E132" s="10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x14ac:dyDescent="0.2">
      <c r="A133" s="104"/>
      <c r="B133" s="104"/>
      <c r="C133" s="25"/>
      <c r="D133" s="105"/>
      <c r="E133" s="10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2">
      <c r="A134" s="104"/>
      <c r="B134" s="104"/>
      <c r="C134" s="25"/>
      <c r="D134" s="105"/>
      <c r="E134" s="10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x14ac:dyDescent="0.2">
      <c r="A135" s="104"/>
      <c r="B135" s="104"/>
      <c r="C135" s="25"/>
      <c r="D135" s="105"/>
      <c r="E135" s="10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x14ac:dyDescent="0.2">
      <c r="A136" s="104"/>
      <c r="B136" s="104"/>
      <c r="C136" s="25"/>
      <c r="D136" s="105"/>
      <c r="E136" s="10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x14ac:dyDescent="0.2">
      <c r="A137" s="104"/>
      <c r="B137" s="104"/>
      <c r="C137" s="25"/>
      <c r="D137" s="105"/>
      <c r="E137" s="10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x14ac:dyDescent="0.2">
      <c r="A138" s="104"/>
      <c r="B138" s="104"/>
      <c r="C138" s="25"/>
      <c r="D138" s="105"/>
      <c r="E138" s="10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x14ac:dyDescent="0.2">
      <c r="A139" s="104"/>
      <c r="B139" s="104"/>
      <c r="C139" s="25"/>
      <c r="D139" s="105"/>
      <c r="E139" s="10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2">
      <c r="A140" s="104"/>
      <c r="B140" s="104"/>
      <c r="C140" s="25"/>
      <c r="D140" s="105"/>
      <c r="E140" s="10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x14ac:dyDescent="0.2">
      <c r="A141" s="104"/>
      <c r="B141" s="104"/>
      <c r="C141" s="25"/>
      <c r="D141" s="105"/>
      <c r="E141" s="10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x14ac:dyDescent="0.2">
      <c r="A142" s="104"/>
      <c r="B142" s="104"/>
      <c r="C142" s="25"/>
      <c r="D142" s="105"/>
      <c r="E142" s="10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x14ac:dyDescent="0.2">
      <c r="A143" s="104"/>
      <c r="B143" s="104"/>
      <c r="C143" s="25"/>
      <c r="D143" s="105"/>
      <c r="E143" s="10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x14ac:dyDescent="0.2">
      <c r="A144" s="104"/>
      <c r="B144" s="104"/>
      <c r="C144" s="25"/>
      <c r="D144" s="105"/>
      <c r="E144" s="10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x14ac:dyDescent="0.2">
      <c r="A145" s="104"/>
      <c r="B145" s="104"/>
      <c r="C145" s="25"/>
      <c r="D145" s="105"/>
      <c r="E145" s="10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">
      <c r="A146" s="104"/>
      <c r="B146" s="104"/>
      <c r="C146" s="25"/>
      <c r="D146" s="105"/>
      <c r="E146" s="10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x14ac:dyDescent="0.2">
      <c r="A147" s="104"/>
      <c r="B147" s="104"/>
      <c r="C147" s="25"/>
      <c r="D147" s="105"/>
      <c r="E147" s="10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x14ac:dyDescent="0.2">
      <c r="A148" s="104"/>
      <c r="B148" s="104"/>
      <c r="C148" s="25"/>
      <c r="D148" s="105"/>
      <c r="E148" s="10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x14ac:dyDescent="0.2">
      <c r="A149" s="104"/>
      <c r="B149" s="104"/>
      <c r="C149" s="25"/>
      <c r="D149" s="105"/>
      <c r="E149" s="10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x14ac:dyDescent="0.2">
      <c r="A150" s="104"/>
      <c r="B150" s="104"/>
      <c r="C150" s="25"/>
      <c r="D150" s="105"/>
      <c r="E150" s="10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x14ac:dyDescent="0.2">
      <c r="A151" s="104"/>
      <c r="B151" s="104"/>
      <c r="C151" s="25"/>
      <c r="D151" s="105"/>
      <c r="E151" s="10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x14ac:dyDescent="0.2">
      <c r="A152" s="104"/>
      <c r="B152" s="104"/>
      <c r="C152" s="25"/>
      <c r="D152" s="105"/>
      <c r="E152" s="10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x14ac:dyDescent="0.2">
      <c r="A153" s="104"/>
      <c r="B153" s="104"/>
      <c r="C153" s="25"/>
      <c r="D153" s="105"/>
      <c r="E153" s="10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x14ac:dyDescent="0.2">
      <c r="A154" s="104"/>
      <c r="B154" s="104"/>
      <c r="C154" s="25"/>
      <c r="D154" s="105"/>
      <c r="E154" s="10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x14ac:dyDescent="0.2">
      <c r="A155" s="104"/>
      <c r="B155" s="104"/>
      <c r="C155" s="25"/>
      <c r="D155" s="105"/>
      <c r="E155" s="10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x14ac:dyDescent="0.2">
      <c r="A156" s="104"/>
      <c r="B156" s="104"/>
      <c r="C156" s="25"/>
      <c r="D156" s="105"/>
      <c r="E156" s="10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2">
      <c r="A157" s="104"/>
      <c r="B157" s="104"/>
      <c r="C157" s="25"/>
      <c r="D157" s="105"/>
      <c r="E157" s="10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x14ac:dyDescent="0.2">
      <c r="A158" s="104"/>
      <c r="B158" s="104"/>
      <c r="C158" s="25"/>
      <c r="D158" s="105"/>
      <c r="E158" s="10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2">
      <c r="A159" s="104"/>
      <c r="B159" s="104"/>
      <c r="C159" s="25"/>
      <c r="D159" s="105"/>
      <c r="E159" s="10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2">
      <c r="A160" s="104"/>
      <c r="B160" s="104"/>
      <c r="C160" s="25"/>
      <c r="D160" s="105"/>
      <c r="E160" s="10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2">
      <c r="A161" s="104"/>
      <c r="B161" s="104"/>
      <c r="C161" s="25"/>
      <c r="D161" s="105"/>
      <c r="E161" s="10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x14ac:dyDescent="0.2">
      <c r="A162" s="104"/>
      <c r="B162" s="104"/>
      <c r="C162" s="25"/>
      <c r="D162" s="105"/>
      <c r="E162" s="10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x14ac:dyDescent="0.2">
      <c r="A163" s="104"/>
      <c r="B163" s="104"/>
      <c r="C163" s="25"/>
      <c r="D163" s="105"/>
      <c r="E163" s="10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x14ac:dyDescent="0.2">
      <c r="A164" s="104"/>
      <c r="B164" s="104"/>
      <c r="C164" s="25"/>
      <c r="D164" s="105"/>
      <c r="E164" s="10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x14ac:dyDescent="0.2">
      <c r="A165" s="104"/>
      <c r="B165" s="104"/>
      <c r="C165" s="25"/>
      <c r="D165" s="105"/>
      <c r="E165" s="10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x14ac:dyDescent="0.2">
      <c r="A166" s="104"/>
      <c r="B166" s="104"/>
      <c r="C166" s="25"/>
      <c r="D166" s="105"/>
      <c r="E166" s="10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x14ac:dyDescent="0.2">
      <c r="A167" s="104"/>
      <c r="B167" s="104"/>
      <c r="C167" s="25"/>
      <c r="D167" s="105"/>
      <c r="E167" s="10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x14ac:dyDescent="0.2">
      <c r="A168" s="104"/>
      <c r="B168" s="104"/>
      <c r="C168" s="25"/>
      <c r="D168" s="105"/>
      <c r="E168" s="10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x14ac:dyDescent="0.2">
      <c r="A169" s="104"/>
      <c r="B169" s="104"/>
      <c r="C169" s="25"/>
      <c r="D169" s="105"/>
      <c r="E169" s="10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x14ac:dyDescent="0.2">
      <c r="A170" s="104"/>
      <c r="B170" s="104"/>
      <c r="C170" s="25"/>
      <c r="D170" s="105"/>
      <c r="E170" s="10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x14ac:dyDescent="0.2">
      <c r="A171" s="104"/>
      <c r="B171" s="104"/>
      <c r="C171" s="25"/>
      <c r="D171" s="105"/>
      <c r="E171" s="10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x14ac:dyDescent="0.2">
      <c r="A172" s="104"/>
      <c r="B172" s="104"/>
      <c r="C172" s="25"/>
      <c r="D172" s="105"/>
      <c r="E172" s="10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x14ac:dyDescent="0.2">
      <c r="A173" s="104"/>
      <c r="B173" s="104"/>
      <c r="C173" s="25"/>
      <c r="D173" s="105"/>
      <c r="E173" s="10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x14ac:dyDescent="0.2">
      <c r="A174" s="104"/>
      <c r="B174" s="104"/>
      <c r="C174" s="25"/>
      <c r="D174" s="105"/>
      <c r="E174" s="10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">
      <c r="A175" s="104"/>
      <c r="B175" s="104"/>
      <c r="C175" s="25"/>
      <c r="D175" s="105"/>
      <c r="E175" s="10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x14ac:dyDescent="0.2">
      <c r="A176" s="104"/>
      <c r="B176" s="104"/>
      <c r="C176" s="25"/>
      <c r="D176" s="105"/>
      <c r="E176" s="10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x14ac:dyDescent="0.2">
      <c r="A177" s="104"/>
      <c r="B177" s="104"/>
      <c r="C177" s="25"/>
      <c r="D177" s="105"/>
      <c r="E177" s="10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x14ac:dyDescent="0.2">
      <c r="A178" s="104"/>
      <c r="B178" s="104"/>
      <c r="C178" s="25"/>
      <c r="D178" s="105"/>
      <c r="E178" s="10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x14ac:dyDescent="0.2">
      <c r="A179" s="104"/>
      <c r="B179" s="104"/>
      <c r="C179" s="25"/>
      <c r="D179" s="105"/>
      <c r="E179" s="10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x14ac:dyDescent="0.2">
      <c r="A180" s="104"/>
      <c r="B180" s="104"/>
      <c r="C180" s="25"/>
      <c r="D180" s="105"/>
      <c r="E180" s="10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">
      <c r="A181" s="104"/>
      <c r="B181" s="104"/>
      <c r="C181" s="25"/>
      <c r="D181" s="105"/>
      <c r="E181" s="10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x14ac:dyDescent="0.2">
      <c r="A182" s="104"/>
      <c r="B182" s="104"/>
      <c r="C182" s="25"/>
      <c r="D182" s="105"/>
      <c r="E182" s="10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x14ac:dyDescent="0.2">
      <c r="A183" s="104"/>
      <c r="B183" s="104"/>
      <c r="C183" s="25"/>
      <c r="D183" s="105"/>
      <c r="E183" s="10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x14ac:dyDescent="0.2">
      <c r="A184" s="104"/>
      <c r="B184" s="104"/>
      <c r="C184" s="25"/>
      <c r="D184" s="105"/>
      <c r="E184" s="10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x14ac:dyDescent="0.2">
      <c r="A185" s="104"/>
      <c r="B185" s="104"/>
      <c r="C185" s="25"/>
      <c r="D185" s="105"/>
      <c r="E185" s="10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x14ac:dyDescent="0.2">
      <c r="A186" s="104"/>
      <c r="B186" s="104"/>
      <c r="C186" s="25"/>
      <c r="D186" s="105"/>
      <c r="E186" s="10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x14ac:dyDescent="0.2">
      <c r="A187" s="104"/>
      <c r="B187" s="104"/>
      <c r="C187" s="25"/>
      <c r="D187" s="105"/>
      <c r="E187" s="10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x14ac:dyDescent="0.2">
      <c r="A188" s="104"/>
      <c r="B188" s="104"/>
      <c r="C188" s="25"/>
      <c r="D188" s="105"/>
      <c r="E188" s="10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x14ac:dyDescent="0.2">
      <c r="A189" s="104"/>
      <c r="B189" s="104"/>
      <c r="C189" s="25"/>
      <c r="D189" s="105"/>
      <c r="E189" s="10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x14ac:dyDescent="0.2">
      <c r="A190" s="104"/>
      <c r="B190" s="104"/>
      <c r="C190" s="25"/>
      <c r="D190" s="105"/>
      <c r="E190" s="10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x14ac:dyDescent="0.2">
      <c r="A191" s="104"/>
      <c r="B191" s="104"/>
      <c r="C191" s="25"/>
      <c r="D191" s="105"/>
      <c r="E191" s="10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x14ac:dyDescent="0.2">
      <c r="A192" s="104"/>
      <c r="B192" s="104"/>
      <c r="C192" s="25"/>
      <c r="D192" s="105"/>
      <c r="E192" s="10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x14ac:dyDescent="0.2">
      <c r="A193" s="104"/>
      <c r="B193" s="104"/>
      <c r="C193" s="25"/>
      <c r="D193" s="105"/>
      <c r="E193" s="10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04"/>
      <c r="B194" s="104"/>
      <c r="C194" s="25"/>
      <c r="D194" s="105"/>
      <c r="E194" s="10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104"/>
      <c r="B195" s="104"/>
      <c r="C195" s="25"/>
      <c r="D195" s="105"/>
      <c r="E195" s="10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x14ac:dyDescent="0.2">
      <c r="A196" s="104"/>
      <c r="B196" s="104"/>
      <c r="C196" s="25"/>
      <c r="D196" s="105"/>
      <c r="E196" s="10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x14ac:dyDescent="0.2">
      <c r="A197" s="104"/>
      <c r="B197" s="104"/>
      <c r="C197" s="25"/>
      <c r="D197" s="105"/>
      <c r="E197" s="10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x14ac:dyDescent="0.2">
      <c r="A198" s="61"/>
      <c r="B198" s="6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x14ac:dyDescent="0.2">
      <c r="A199" s="61"/>
      <c r="B199" s="6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x14ac:dyDescent="0.2">
      <c r="A200" s="61"/>
      <c r="B200" s="6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61"/>
      <c r="B201" s="6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x14ac:dyDescent="0.2">
      <c r="A202" s="61"/>
      <c r="B202" s="6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x14ac:dyDescent="0.2">
      <c r="A203" s="61"/>
      <c r="B203" s="6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x14ac:dyDescent="0.2">
      <c r="A204" s="61"/>
      <c r="B204" s="6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x14ac:dyDescent="0.2">
      <c r="A205" s="61"/>
      <c r="B205" s="6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x14ac:dyDescent="0.2">
      <c r="A206" s="61"/>
      <c r="B206" s="6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x14ac:dyDescent="0.2">
      <c r="A207" s="61"/>
      <c r="B207" s="6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61"/>
      <c r="B208" s="6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x14ac:dyDescent="0.2">
      <c r="A209" s="61"/>
      <c r="B209" s="6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x14ac:dyDescent="0.2">
      <c r="A210" s="61"/>
      <c r="B210" s="6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x14ac:dyDescent="0.2">
      <c r="A211" s="61"/>
      <c r="B211" s="6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x14ac:dyDescent="0.2">
      <c r="A212" s="61"/>
      <c r="B212" s="6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x14ac:dyDescent="0.2">
      <c r="A213" s="61"/>
      <c r="B213" s="6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x14ac:dyDescent="0.2">
      <c r="A214" s="61"/>
      <c r="B214" s="6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61"/>
      <c r="B215" s="6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x14ac:dyDescent="0.2">
      <c r="A216" s="61"/>
      <c r="B216" s="6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x14ac:dyDescent="0.2">
      <c r="A217" s="61"/>
      <c r="B217" s="6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x14ac:dyDescent="0.2">
      <c r="A218" s="61"/>
      <c r="B218" s="6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x14ac:dyDescent="0.2">
      <c r="A219" s="61"/>
      <c r="B219" s="6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x14ac:dyDescent="0.2">
      <c r="A220" s="61"/>
      <c r="B220" s="6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x14ac:dyDescent="0.2">
      <c r="A221" s="61"/>
      <c r="B221" s="6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x14ac:dyDescent="0.2">
      <c r="A222" s="61"/>
      <c r="B222" s="61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45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42578125" customWidth="1"/>
    <col min="4" max="4" width="12.28515625" customWidth="1"/>
    <col min="5" max="5" width="12.42578125" bestFit="1" customWidth="1"/>
    <col min="6" max="6" width="9.140625" customWidth="1"/>
    <col min="7" max="7" width="8.140625" customWidth="1"/>
    <col min="8" max="15" width="7.5703125" customWidth="1"/>
    <col min="16" max="16" width="9.85546875" customWidth="1"/>
  </cols>
  <sheetData>
    <row r="1" spans="1:23" ht="21" thickBot="1" x14ac:dyDescent="0.35">
      <c r="A1" s="1" t="s">
        <v>67</v>
      </c>
      <c r="B1" s="28"/>
      <c r="C1" s="27"/>
      <c r="V1" s="68" t="s">
        <v>13</v>
      </c>
      <c r="W1" s="63" t="s">
        <v>27</v>
      </c>
    </row>
    <row r="2" spans="1:23" x14ac:dyDescent="0.2">
      <c r="A2" t="s">
        <v>25</v>
      </c>
      <c r="B2" t="s">
        <v>65</v>
      </c>
      <c r="D2" s="18" t="s">
        <v>40</v>
      </c>
      <c r="V2" s="72">
        <v>-3000</v>
      </c>
      <c r="W2" s="73">
        <f t="shared" ref="W2:W26" si="0">+D$11+D$12*V2+D$13*V2^2</f>
        <v>2.2828360849101756E-3</v>
      </c>
    </row>
    <row r="3" spans="1:23" ht="13.5" thickBot="1" x14ac:dyDescent="0.25">
      <c r="A3" s="18" t="s">
        <v>165</v>
      </c>
      <c r="V3" s="64">
        <v>-2000</v>
      </c>
      <c r="W3" s="65">
        <f t="shared" si="0"/>
        <v>1.015082704933823E-3</v>
      </c>
    </row>
    <row r="4" spans="1:23" ht="14.25" thickTop="1" thickBot="1" x14ac:dyDescent="0.25">
      <c r="A4" s="7" t="s">
        <v>3</v>
      </c>
      <c r="C4" s="2">
        <v>41571.273000000001</v>
      </c>
      <c r="D4" s="3">
        <v>0.44625870000000001</v>
      </c>
      <c r="V4" s="64">
        <v>-1000</v>
      </c>
      <c r="W4" s="65">
        <f t="shared" si="0"/>
        <v>2.544706775014946E-4</v>
      </c>
    </row>
    <row r="5" spans="1:23" ht="13.5" thickTop="1" x14ac:dyDescent="0.2">
      <c r="V5" s="64">
        <v>0</v>
      </c>
      <c r="W5" s="65">
        <f t="shared" si="0"/>
        <v>1.0000026131907404E-6</v>
      </c>
    </row>
    <row r="6" spans="1:23" x14ac:dyDescent="0.2">
      <c r="A6" s="7" t="s">
        <v>4</v>
      </c>
      <c r="V6" s="64">
        <v>1000</v>
      </c>
      <c r="W6" s="65">
        <f t="shared" si="0"/>
        <v>2.5467068026891138E-4</v>
      </c>
    </row>
    <row r="7" spans="1:23" x14ac:dyDescent="0.2">
      <c r="A7" t="s">
        <v>5</v>
      </c>
      <c r="C7">
        <v>46949.836000000003</v>
      </c>
      <c r="V7" s="64">
        <v>2000</v>
      </c>
      <c r="W7" s="65">
        <f t="shared" si="0"/>
        <v>1.0154827104686564E-3</v>
      </c>
    </row>
    <row r="8" spans="1:23" x14ac:dyDescent="0.2">
      <c r="A8" t="s">
        <v>6</v>
      </c>
      <c r="C8">
        <v>0.47128629999999999</v>
      </c>
      <c r="V8" s="64">
        <v>3000</v>
      </c>
      <c r="W8" s="65">
        <f t="shared" si="0"/>
        <v>2.2834360932124259E-3</v>
      </c>
    </row>
    <row r="9" spans="1:23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V9" s="64">
        <v>4000</v>
      </c>
      <c r="W9" s="65">
        <f t="shared" si="0"/>
        <v>4.0585308285002201E-3</v>
      </c>
    </row>
    <row r="10" spans="1:23" ht="13.5" thickBot="1" x14ac:dyDescent="0.25">
      <c r="C10" s="6" t="s">
        <v>22</v>
      </c>
      <c r="D10" s="6" t="s">
        <v>23</v>
      </c>
      <c r="V10" s="64">
        <v>5000</v>
      </c>
      <c r="W10" s="65">
        <f t="shared" si="0"/>
        <v>6.3407669163320383E-3</v>
      </c>
    </row>
    <row r="11" spans="1:23" x14ac:dyDescent="0.2">
      <c r="A11" t="s">
        <v>18</v>
      </c>
      <c r="C11" s="37" t="e">
        <f ca="1">INTERCEPT(INDIRECT(E9):G689,INDIRECT(D9):$F689)</f>
        <v>#DIV/0!</v>
      </c>
      <c r="D11" s="17">
        <f>+E11*F11</f>
        <v>1.0000026131907404E-6</v>
      </c>
      <c r="E11" s="21">
        <v>1.0000026131907405</v>
      </c>
      <c r="F11" s="16">
        <v>9.9999999999999995E-7</v>
      </c>
      <c r="V11" s="64">
        <v>6000</v>
      </c>
      <c r="W11" s="65">
        <f t="shared" si="0"/>
        <v>9.1301443567078817E-3</v>
      </c>
    </row>
    <row r="12" spans="1:23" x14ac:dyDescent="0.2">
      <c r="A12" t="s">
        <v>19</v>
      </c>
      <c r="C12" s="37" t="e">
        <f ca="1">SLOPE(INDIRECT(E9):G689,INDIRECT(D9):$F689)</f>
        <v>#DIV/0!</v>
      </c>
      <c r="D12" s="17">
        <f>+E12*F12</f>
        <v>1.0000138370839065E-10</v>
      </c>
      <c r="E12" s="22">
        <v>1.0000138370839065</v>
      </c>
      <c r="F12" s="16">
        <v>1E-10</v>
      </c>
      <c r="V12" s="64">
        <v>7000</v>
      </c>
      <c r="W12" s="65">
        <f t="shared" si="0"/>
        <v>1.2426663149627749E-2</v>
      </c>
    </row>
    <row r="13" spans="1:23" ht="13.5" thickBot="1" x14ac:dyDescent="0.25">
      <c r="A13" t="s">
        <v>21</v>
      </c>
      <c r="C13" s="5" t="s">
        <v>17</v>
      </c>
      <c r="D13" s="17">
        <f>+E13*F13</f>
        <v>2.5357067627201223E-10</v>
      </c>
      <c r="E13" s="23">
        <v>2.535706762720122</v>
      </c>
      <c r="F13" s="16">
        <v>1E-10</v>
      </c>
      <c r="V13" s="64">
        <v>8000</v>
      </c>
      <c r="W13" s="65">
        <f t="shared" si="0"/>
        <v>1.623032329509164E-2</v>
      </c>
    </row>
    <row r="14" spans="1:23" x14ac:dyDescent="0.2">
      <c r="A14" t="s">
        <v>24</v>
      </c>
      <c r="E14">
        <f>SUM(T21:T683)</f>
        <v>1.0404974117757661E-5</v>
      </c>
      <c r="V14" s="64">
        <v>9000</v>
      </c>
      <c r="W14" s="65">
        <f t="shared" si="0"/>
        <v>2.0541124793099556E-2</v>
      </c>
    </row>
    <row r="15" spans="1:23" x14ac:dyDescent="0.2">
      <c r="A15" s="4" t="s">
        <v>20</v>
      </c>
      <c r="C15" s="31" t="e">
        <f ca="1">(C7+C11)+(C8+C12)*INT(MAX(F21:F3217))</f>
        <v>#DIV/0!</v>
      </c>
      <c r="D15" s="33">
        <f>+C7+INT(MAX(F21:F1272))*C8+D11+D12*INT(MAX(F21:F3707))+D13*INT(MAX(F21:F3734)^2)</f>
        <v>51020.82598145098</v>
      </c>
      <c r="V15" s="64">
        <v>10000</v>
      </c>
      <c r="W15" s="65">
        <f t="shared" si="0"/>
        <v>2.5359067643651496E-2</v>
      </c>
    </row>
    <row r="16" spans="1:23" x14ac:dyDescent="0.2">
      <c r="A16" s="7" t="s">
        <v>7</v>
      </c>
      <c r="C16" s="32" t="e">
        <f ca="1">+C8+C12</f>
        <v>#DIV/0!</v>
      </c>
      <c r="D16" s="112">
        <f>+C8+D12+2*D13*MAX(F21:F45)</f>
        <v>0.47129068078700465</v>
      </c>
      <c r="V16" s="64">
        <v>11000</v>
      </c>
      <c r="W16" s="65">
        <f t="shared" si="0"/>
        <v>3.0684151846747464E-2</v>
      </c>
    </row>
    <row r="17" spans="1:25" ht="13.5" thickBot="1" x14ac:dyDescent="0.25">
      <c r="A17" s="37" t="s">
        <v>72</v>
      </c>
      <c r="C17">
        <f>COUNT(C21:C1875)</f>
        <v>25</v>
      </c>
      <c r="V17" s="64">
        <v>12000</v>
      </c>
      <c r="W17" s="65">
        <f t="shared" si="0"/>
        <v>3.6516377402387452E-2</v>
      </c>
    </row>
    <row r="18" spans="1:25" ht="14.25" thickTop="1" thickBot="1" x14ac:dyDescent="0.25">
      <c r="A18" s="7" t="s">
        <v>8</v>
      </c>
      <c r="C18" s="34" t="e">
        <f ca="1">+C15</f>
        <v>#DIV/0!</v>
      </c>
      <c r="D18" s="35" t="e">
        <f ca="1">C16</f>
        <v>#DIV/0!</v>
      </c>
      <c r="E18" s="58" t="s">
        <v>22</v>
      </c>
      <c r="V18" s="64">
        <v>13000</v>
      </c>
      <c r="W18" s="65">
        <f t="shared" si="0"/>
        <v>4.2855744310571466E-2</v>
      </c>
    </row>
    <row r="19" spans="1:25" ht="13.5" thickBot="1" x14ac:dyDescent="0.25">
      <c r="A19" s="7" t="s">
        <v>69</v>
      </c>
      <c r="C19" s="69">
        <f>+D15</f>
        <v>51020.82598145098</v>
      </c>
      <c r="D19" s="70">
        <f>+D16</f>
        <v>0.47129068078700465</v>
      </c>
      <c r="E19" s="36" t="s">
        <v>70</v>
      </c>
      <c r="V19" s="64">
        <v>14000</v>
      </c>
      <c r="W19" s="65">
        <f t="shared" si="0"/>
        <v>4.9702252571299503E-2</v>
      </c>
    </row>
    <row r="20" spans="1:25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62" t="s">
        <v>82</v>
      </c>
      <c r="V20" s="64">
        <v>15000</v>
      </c>
      <c r="W20" s="65">
        <f t="shared" si="0"/>
        <v>5.7055902184571565E-2</v>
      </c>
    </row>
    <row r="21" spans="1:25" x14ac:dyDescent="0.2">
      <c r="A21" s="14" t="s">
        <v>15</v>
      </c>
      <c r="B21" s="5"/>
      <c r="C21" s="14">
        <v>41571.273000000001</v>
      </c>
      <c r="D21" s="14"/>
      <c r="E21">
        <f t="shared" ref="E21:E41" si="1">(C21-C$7)/C$8</f>
        <v>-11412.517189657332</v>
      </c>
      <c r="F21" s="11">
        <f t="shared" ref="F21:F41" si="2">ROUND(2*E21,0)/2</f>
        <v>-11412.5</v>
      </c>
      <c r="G21" s="11">
        <v>-1.0841725001228042E-2</v>
      </c>
      <c r="H21" s="5">
        <f>+G21</f>
        <v>-1.0841725001228042E-2</v>
      </c>
      <c r="I21" s="13"/>
      <c r="J21" s="13"/>
      <c r="K21" s="13"/>
      <c r="L21" s="13"/>
      <c r="M21" s="13"/>
      <c r="N21" s="25"/>
      <c r="P21" s="13"/>
      <c r="R21" s="13"/>
      <c r="S21" s="13"/>
      <c r="T21" s="13"/>
      <c r="V21" s="64">
        <v>16000</v>
      </c>
      <c r="W21" s="65">
        <f t="shared" si="0"/>
        <v>6.4916693150387658E-2</v>
      </c>
    </row>
    <row r="22" spans="1:25" x14ac:dyDescent="0.2">
      <c r="A22" s="41" t="s">
        <v>31</v>
      </c>
      <c r="C22" s="53">
        <v>45882.375</v>
      </c>
      <c r="D22" s="14"/>
      <c r="E22">
        <f t="shared" si="1"/>
        <v>-2264.9947600853302</v>
      </c>
      <c r="F22" s="11">
        <f t="shared" si="2"/>
        <v>-2265</v>
      </c>
      <c r="G22" s="11">
        <v>1.1011500027962029E-3</v>
      </c>
      <c r="H22" s="11"/>
      <c r="I22" s="11">
        <f t="shared" ref="I22:I28" si="3">G22</f>
        <v>1.1011500027962029E-3</v>
      </c>
      <c r="J22" s="11"/>
      <c r="K22" s="11"/>
      <c r="L22" s="11"/>
      <c r="M22" s="11"/>
      <c r="N22" s="25"/>
      <c r="P22" s="38">
        <f t="shared" ref="P22:P41" si="4">+D$11+D$12*F22+D$13*F22^2</f>
        <v>1.3016481221566753E-3</v>
      </c>
      <c r="Q22" s="12">
        <f t="shared" ref="Q22:Q41" si="5">C22-15018.5</f>
        <v>30863.875</v>
      </c>
      <c r="R22" s="11">
        <f>(G22-W3)^2</f>
        <v>7.4075797613316317E-9</v>
      </c>
      <c r="S22" s="11">
        <v>0.5</v>
      </c>
      <c r="T22" s="11">
        <f t="shared" ref="T22:T28" si="6">R22*S22</f>
        <v>3.7037898806658158E-9</v>
      </c>
      <c r="V22" s="64">
        <v>17000</v>
      </c>
      <c r="W22" s="65">
        <f t="shared" si="0"/>
        <v>7.3284625468747755E-2</v>
      </c>
      <c r="X22">
        <v>-2265</v>
      </c>
      <c r="Y22">
        <v>1.1011500027962029E-3</v>
      </c>
    </row>
    <row r="23" spans="1:25" x14ac:dyDescent="0.2">
      <c r="A23" s="42" t="s">
        <v>32</v>
      </c>
      <c r="C23" s="53">
        <v>46257.751799999998</v>
      </c>
      <c r="D23" s="14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 t="shared" si="3"/>
        <v>-1.5173249994404614E-3</v>
      </c>
      <c r="J23" s="9"/>
      <c r="K23" s="9"/>
      <c r="L23" s="9"/>
      <c r="M23" s="9"/>
      <c r="N23" s="25"/>
      <c r="P23" s="38">
        <f t="shared" si="4"/>
        <v>5.4767634878906824E-4</v>
      </c>
      <c r="Q23" s="10">
        <f t="shared" si="5"/>
        <v>31239.251799999998</v>
      </c>
      <c r="R23" s="9">
        <f t="shared" ref="R23:R28" si="7">(G23-P23)^2</f>
        <v>4.2642305681897757E-6</v>
      </c>
      <c r="S23" s="9">
        <v>0.5</v>
      </c>
      <c r="T23" s="9">
        <f t="shared" si="6"/>
        <v>2.1321152840948879E-6</v>
      </c>
      <c r="V23" s="64">
        <v>18000</v>
      </c>
      <c r="W23" s="65">
        <f t="shared" si="0"/>
        <v>8.2159699139651904E-2</v>
      </c>
      <c r="X23">
        <v>-1468.5</v>
      </c>
      <c r="Y23">
        <v>-1.5173249994404614E-3</v>
      </c>
    </row>
    <row r="24" spans="1:25" x14ac:dyDescent="0.2">
      <c r="A24" s="9" t="s">
        <v>33</v>
      </c>
      <c r="C24" s="54">
        <v>46612.867700000003</v>
      </c>
      <c r="D24" s="14"/>
      <c r="E24">
        <f t="shared" si="1"/>
        <v>-714.99701985820604</v>
      </c>
      <c r="F24" s="11">
        <f t="shared" si="2"/>
        <v>-715</v>
      </c>
      <c r="G24" s="9">
        <v>2.6865000108955428E-4</v>
      </c>
      <c r="H24" s="9"/>
      <c r="I24" s="9">
        <f t="shared" si="3"/>
        <v>2.6865000108955428E-4</v>
      </c>
      <c r="J24" s="9"/>
      <c r="K24" s="9"/>
      <c r="L24" s="9"/>
      <c r="M24" s="9"/>
      <c r="N24" s="25"/>
      <c r="P24" s="38">
        <f t="shared" si="4"/>
        <v>1.3056017060099868E-4</v>
      </c>
      <c r="Q24" s="10">
        <f t="shared" si="5"/>
        <v>31594.367700000003</v>
      </c>
      <c r="R24" s="9">
        <f t="shared" si="7"/>
        <v>1.9068801284358019E-8</v>
      </c>
      <c r="S24" s="9">
        <v>0.5</v>
      </c>
      <c r="T24" s="9">
        <f t="shared" si="6"/>
        <v>9.5344006421790097E-9</v>
      </c>
      <c r="V24" s="64">
        <v>19000</v>
      </c>
      <c r="W24" s="65">
        <f t="shared" si="0"/>
        <v>9.1541914163100063E-2</v>
      </c>
      <c r="X24">
        <v>-715</v>
      </c>
      <c r="Y24">
        <v>2.6865000108955428E-4</v>
      </c>
    </row>
    <row r="25" spans="1:25" x14ac:dyDescent="0.2">
      <c r="A25" s="9" t="s">
        <v>33</v>
      </c>
      <c r="C25" s="55">
        <v>46613.809699999998</v>
      </c>
      <c r="D25" s="14"/>
      <c r="E25">
        <f t="shared" si="1"/>
        <v>-712.99823483094031</v>
      </c>
      <c r="F25" s="11">
        <f t="shared" si="2"/>
        <v>-713</v>
      </c>
      <c r="G25" s="9">
        <v>-3.0364999838639051E-4</v>
      </c>
      <c r="H25" s="9"/>
      <c r="I25" s="9">
        <f t="shared" si="3"/>
        <v>-3.0364999838639051E-4</v>
      </c>
      <c r="J25" s="9"/>
      <c r="K25" s="9"/>
      <c r="L25" s="9"/>
      <c r="M25" s="9"/>
      <c r="N25" s="25"/>
      <c r="P25" s="38">
        <f t="shared" si="4"/>
        <v>1.2983617275233325E-4</v>
      </c>
      <c r="Q25" s="10">
        <f t="shared" si="5"/>
        <v>31595.309699999998</v>
      </c>
      <c r="R25" s="9">
        <f t="shared" si="7"/>
        <v>1.879102605685109E-7</v>
      </c>
      <c r="S25" s="9">
        <v>0.5</v>
      </c>
      <c r="T25" s="9">
        <f t="shared" si="6"/>
        <v>9.3955130284255448E-8</v>
      </c>
      <c r="V25" s="64">
        <v>20000</v>
      </c>
      <c r="W25" s="65">
        <f t="shared" si="0"/>
        <v>0.10143127053909225</v>
      </c>
      <c r="X25">
        <v>-713</v>
      </c>
      <c r="Y25">
        <v>-3.0364999838639051E-4</v>
      </c>
    </row>
    <row r="26" spans="1:25" ht="13.5" thickBot="1" x14ac:dyDescent="0.25">
      <c r="A26" s="9" t="s">
        <v>33</v>
      </c>
      <c r="C26" s="55">
        <v>46949.834799999997</v>
      </c>
      <c r="D26" s="14"/>
      <c r="E26">
        <f t="shared" si="1"/>
        <v>-2.5462229775515188E-3</v>
      </c>
      <c r="F26" s="11">
        <f t="shared" si="2"/>
        <v>0</v>
      </c>
      <c r="G26" s="9">
        <v>-2.2286000021267682E-3</v>
      </c>
      <c r="H26" s="9"/>
      <c r="I26" s="9">
        <f t="shared" si="3"/>
        <v>-2.2286000021267682E-3</v>
      </c>
      <c r="J26" s="9"/>
      <c r="K26" s="9"/>
      <c r="L26" s="9"/>
      <c r="M26" s="9"/>
      <c r="N26" s="25"/>
      <c r="P26" s="38">
        <f t="shared" si="4"/>
        <v>1.0000026131907404E-6</v>
      </c>
      <c r="Q26" s="10">
        <f t="shared" si="5"/>
        <v>31931.334799999997</v>
      </c>
      <c r="R26" s="9">
        <f t="shared" si="7"/>
        <v>4.9711161811364247E-6</v>
      </c>
      <c r="S26" s="11">
        <v>0.5</v>
      </c>
      <c r="T26" s="9">
        <f t="shared" si="6"/>
        <v>2.4855580905682123E-6</v>
      </c>
      <c r="V26" s="66">
        <v>21000</v>
      </c>
      <c r="W26" s="67">
        <f t="shared" si="0"/>
        <v>0.11182776826762846</v>
      </c>
      <c r="X26">
        <v>0</v>
      </c>
      <c r="Y26">
        <v>-2.2286000021267682E-3</v>
      </c>
    </row>
    <row r="27" spans="1:25" x14ac:dyDescent="0.2">
      <c r="A27" s="9" t="s">
        <v>33</v>
      </c>
      <c r="C27" s="55">
        <v>46990.838799999998</v>
      </c>
      <c r="D27" s="14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si="3"/>
        <v>-1.2365000293357298E-4</v>
      </c>
      <c r="J27" s="9"/>
      <c r="K27" s="9"/>
      <c r="L27" s="9"/>
      <c r="M27" s="9"/>
      <c r="N27" s="25"/>
      <c r="P27" s="38">
        <f t="shared" si="4"/>
        <v>2.9279791822762308E-6</v>
      </c>
      <c r="Q27" s="10">
        <f t="shared" si="5"/>
        <v>31972.338799999998</v>
      </c>
      <c r="R27" s="9">
        <f t="shared" si="7"/>
        <v>1.6021985556520242E-8</v>
      </c>
      <c r="S27" s="9">
        <v>0.5</v>
      </c>
      <c r="T27" s="42">
        <f t="shared" si="6"/>
        <v>8.010992778260121E-9</v>
      </c>
      <c r="W27" s="71"/>
      <c r="X27">
        <v>87</v>
      </c>
      <c r="Y27">
        <v>-1.2365000293357298E-4</v>
      </c>
    </row>
    <row r="28" spans="1:25" x14ac:dyDescent="0.2">
      <c r="A28" s="9" t="s">
        <v>33</v>
      </c>
      <c r="C28" s="55">
        <v>47004.7431</v>
      </c>
      <c r="D28" s="14"/>
      <c r="E28">
        <f t="shared" si="1"/>
        <v>116.50476578673455</v>
      </c>
      <c r="F28" s="11">
        <f t="shared" si="2"/>
        <v>116.5</v>
      </c>
      <c r="G28" s="9">
        <v>1.2349250027909875E-3</v>
      </c>
      <c r="H28" s="9"/>
      <c r="I28" s="9">
        <f t="shared" si="3"/>
        <v>1.2349250027909875E-3</v>
      </c>
      <c r="J28" s="9"/>
      <c r="K28" s="9"/>
      <c r="L28" s="9"/>
      <c r="M28" s="9"/>
      <c r="N28" s="25"/>
      <c r="P28" s="38">
        <f t="shared" si="4"/>
        <v>4.4531773854255854E-6</v>
      </c>
      <c r="Q28" s="10">
        <f t="shared" si="5"/>
        <v>31986.2431</v>
      </c>
      <c r="R28" s="9">
        <f t="shared" si="7"/>
        <v>1.5140609131168957E-6</v>
      </c>
      <c r="S28" s="9">
        <v>0.5</v>
      </c>
      <c r="T28" s="42">
        <f t="shared" si="6"/>
        <v>7.5703045655844783E-7</v>
      </c>
      <c r="W28" s="71"/>
      <c r="X28">
        <v>116.5</v>
      </c>
      <c r="Y28">
        <v>1.2349250027909875E-3</v>
      </c>
    </row>
    <row r="29" spans="1:25" x14ac:dyDescent="0.2">
      <c r="A29" s="9" t="s">
        <v>33</v>
      </c>
      <c r="C29" s="55">
        <v>47309.898999999998</v>
      </c>
      <c r="D29" s="14"/>
      <c r="E29">
        <f t="shared" si="1"/>
        <v>764.00056611022785</v>
      </c>
      <c r="F29" s="11">
        <f t="shared" si="2"/>
        <v>764</v>
      </c>
      <c r="G29" s="9">
        <v>-6.472000022768043E-4</v>
      </c>
      <c r="H29" s="9"/>
      <c r="I29" s="9">
        <f>G29</f>
        <v>-6.472000022768043E-4</v>
      </c>
      <c r="J29" s="9"/>
      <c r="K29" s="9"/>
      <c r="L29" s="9"/>
      <c r="M29" s="9"/>
      <c r="N29" s="25"/>
      <c r="P29" s="38">
        <f t="shared" si="4"/>
        <v>1.4908459312761241E-4</v>
      </c>
      <c r="Q29" s="10">
        <f t="shared" si="5"/>
        <v>32291.398999999998</v>
      </c>
      <c r="R29" s="9">
        <f>(G29-P29)^2</f>
        <v>6.3406915687837562E-7</v>
      </c>
      <c r="S29" s="11">
        <v>0.5</v>
      </c>
      <c r="T29" s="42">
        <f>R29*S29</f>
        <v>3.1703457843918781E-7</v>
      </c>
      <c r="U29" s="33"/>
      <c r="W29" s="71"/>
      <c r="X29">
        <v>793.5</v>
      </c>
      <c r="Y29">
        <v>4.1137500375043601E-4</v>
      </c>
    </row>
    <row r="30" spans="1:25" x14ac:dyDescent="0.2">
      <c r="A30" s="9" t="s">
        <v>44</v>
      </c>
      <c r="C30" s="55">
        <v>47323.803</v>
      </c>
      <c r="D30" s="14"/>
      <c r="E30">
        <f t="shared" si="1"/>
        <v>793.50280286101452</v>
      </c>
      <c r="F30" s="11">
        <f t="shared" si="2"/>
        <v>793.5</v>
      </c>
      <c r="G30" s="9">
        <v>4.1137500375043601E-4</v>
      </c>
      <c r="H30" s="9"/>
      <c r="I30" s="9">
        <f t="shared" ref="I30:I38" si="8">G30</f>
        <v>4.1137500375043601E-4</v>
      </c>
      <c r="J30" s="9"/>
      <c r="K30" s="9"/>
      <c r="L30" s="9"/>
      <c r="M30" s="9"/>
      <c r="N30" s="25"/>
      <c r="P30" s="38">
        <f t="shared" si="4"/>
        <v>1.6073816485309475E-4</v>
      </c>
      <c r="Q30" s="10">
        <f t="shared" si="5"/>
        <v>32305.303</v>
      </c>
      <c r="R30" s="9">
        <f t="shared" ref="R30:R38" si="9">(G30-P30)^2</f>
        <v>6.281882501245181E-8</v>
      </c>
      <c r="S30" s="9">
        <v>0.5</v>
      </c>
      <c r="T30" s="42">
        <f t="shared" ref="T30:T38" si="10">R30*S30</f>
        <v>3.1409412506225905E-8</v>
      </c>
      <c r="U30" s="33"/>
      <c r="W30" s="71"/>
      <c r="X30">
        <v>802</v>
      </c>
      <c r="Y30">
        <v>1.7910000315168872E-4</v>
      </c>
    </row>
    <row r="31" spans="1:25" x14ac:dyDescent="0.2">
      <c r="A31" s="9" t="s">
        <v>33</v>
      </c>
      <c r="C31" s="55">
        <v>47323.803099999997</v>
      </c>
      <c r="D31" s="14"/>
      <c r="E31">
        <f t="shared" si="1"/>
        <v>793.50301504625611</v>
      </c>
      <c r="F31" s="11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9"/>
      <c r="N31" s="25"/>
      <c r="P31" s="38">
        <f t="shared" si="4"/>
        <v>1.6073816485309475E-4</v>
      </c>
      <c r="Q31" s="10">
        <f t="shared" si="5"/>
        <v>32305.303099999997</v>
      </c>
      <c r="R31" s="9">
        <f t="shared" si="9"/>
        <v>1.2294619102035375E-7</v>
      </c>
      <c r="S31" s="9">
        <v>0.5</v>
      </c>
      <c r="T31" s="42">
        <f t="shared" si="10"/>
        <v>6.1473095510176875E-8</v>
      </c>
      <c r="U31" s="33"/>
      <c r="W31" s="71"/>
      <c r="X31">
        <v>804</v>
      </c>
      <c r="Y31">
        <v>-3.9320000360021368E-4</v>
      </c>
    </row>
    <row r="32" spans="1:25" x14ac:dyDescent="0.2">
      <c r="A32" s="9" t="s">
        <v>44</v>
      </c>
      <c r="C32" s="55">
        <v>47326.865599999997</v>
      </c>
      <c r="D32" s="14"/>
      <c r="E32">
        <f t="shared" si="1"/>
        <v>800.00118823737159</v>
      </c>
      <c r="F32" s="11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9"/>
      <c r="N32" s="25"/>
      <c r="P32" s="38">
        <f t="shared" si="4"/>
        <v>1.6336523653424529E-4</v>
      </c>
      <c r="Q32" s="10">
        <f t="shared" si="5"/>
        <v>32308.365599999997</v>
      </c>
      <c r="R32" s="9">
        <f t="shared" si="9"/>
        <v>2.6210840207602521E-7</v>
      </c>
      <c r="S32" s="11">
        <v>0.5</v>
      </c>
      <c r="T32" s="42">
        <f t="shared" si="10"/>
        <v>1.3105420103801261E-7</v>
      </c>
      <c r="U32" s="33"/>
      <c r="W32" s="71"/>
      <c r="X32">
        <v>856.5</v>
      </c>
      <c r="Y32">
        <v>8.3924998762086034E-5</v>
      </c>
    </row>
    <row r="33" spans="1:25" x14ac:dyDescent="0.2">
      <c r="A33" s="9" t="s">
        <v>33</v>
      </c>
      <c r="C33" s="55">
        <v>47327.808700000001</v>
      </c>
      <c r="D33" s="14"/>
      <c r="E33">
        <f t="shared" si="1"/>
        <v>802.0023073023732</v>
      </c>
      <c r="F33" s="11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9"/>
      <c r="N33" s="25"/>
      <c r="P33" s="38">
        <f t="shared" si="4"/>
        <v>1.6417787698378824E-4</v>
      </c>
      <c r="Q33" s="10">
        <f t="shared" si="5"/>
        <v>32309.308700000001</v>
      </c>
      <c r="R33" s="9">
        <f t="shared" si="9"/>
        <v>2.2266984937074041E-10</v>
      </c>
      <c r="S33" s="11">
        <v>0.5</v>
      </c>
      <c r="T33" s="42">
        <f t="shared" si="10"/>
        <v>1.1133492468537021E-10</v>
      </c>
      <c r="U33" s="33"/>
      <c r="W33" s="71"/>
      <c r="X33">
        <v>882</v>
      </c>
      <c r="Y33">
        <v>9.8710000020219013E-4</v>
      </c>
    </row>
    <row r="34" spans="1:25" x14ac:dyDescent="0.2">
      <c r="A34" s="9" t="s">
        <v>44</v>
      </c>
      <c r="C34" s="55">
        <v>47328.750699999997</v>
      </c>
      <c r="D34" s="14"/>
      <c r="E34">
        <f t="shared" si="1"/>
        <v>804.00109232963894</v>
      </c>
      <c r="F34" s="11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4"/>
        <v>1.6499254599874135E-4</v>
      </c>
      <c r="Q34" s="10">
        <f t="shared" si="5"/>
        <v>32310.250699999997</v>
      </c>
      <c r="R34" s="9">
        <f t="shared" si="9"/>
        <v>3.1157892242778181E-7</v>
      </c>
      <c r="S34" s="11">
        <v>0.5</v>
      </c>
      <c r="T34" s="42">
        <f t="shared" si="10"/>
        <v>1.557894612138909E-7</v>
      </c>
      <c r="U34" s="33"/>
      <c r="W34" s="71"/>
      <c r="X34">
        <v>884</v>
      </c>
      <c r="Y34">
        <v>1.1147999975946732E-3</v>
      </c>
    </row>
    <row r="35" spans="1:25" x14ac:dyDescent="0.2">
      <c r="A35" s="20" t="s">
        <v>45</v>
      </c>
      <c r="C35" s="55">
        <v>47353.493699999999</v>
      </c>
      <c r="D35" s="14"/>
      <c r="E35">
        <f t="shared" si="1"/>
        <v>856.50208800891539</v>
      </c>
      <c r="F35" s="11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9"/>
      <c r="L35" s="9"/>
      <c r="M35" s="9"/>
      <c r="N35" s="25"/>
      <c r="P35" s="38">
        <f t="shared" si="4"/>
        <v>1.8710313673874404E-4</v>
      </c>
      <c r="Q35" s="10">
        <f t="shared" si="5"/>
        <v>32334.993699999999</v>
      </c>
      <c r="R35" s="9">
        <f t="shared" si="9"/>
        <v>1.0645728156330278E-8</v>
      </c>
      <c r="S35" s="9">
        <v>0.5</v>
      </c>
      <c r="T35" s="42">
        <f t="shared" si="10"/>
        <v>5.3228640781651388E-9</v>
      </c>
      <c r="U35" s="33"/>
      <c r="W35" s="71"/>
      <c r="X35">
        <v>909.5</v>
      </c>
      <c r="Y35">
        <v>1.2179749974166043E-3</v>
      </c>
    </row>
    <row r="36" spans="1:25" x14ac:dyDescent="0.2">
      <c r="A36" s="20" t="s">
        <v>45</v>
      </c>
      <c r="C36" s="55">
        <v>47365.5124</v>
      </c>
      <c r="D36" s="14"/>
      <c r="E36">
        <f t="shared" si="1"/>
        <v>882.00399629693595</v>
      </c>
      <c r="F36" s="11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4"/>
        <v>1.9834691860185036E-4</v>
      </c>
      <c r="Q36" s="10">
        <f t="shared" si="5"/>
        <v>32347.0124</v>
      </c>
      <c r="R36" s="9">
        <f t="shared" si="9"/>
        <v>6.2213142373403229E-7</v>
      </c>
      <c r="S36" s="9">
        <v>0.5</v>
      </c>
      <c r="T36" s="42">
        <f t="shared" si="10"/>
        <v>3.1106571186701615E-7</v>
      </c>
      <c r="U36" s="33"/>
      <c r="W36" s="71"/>
      <c r="X36">
        <v>1498</v>
      </c>
      <c r="Y36">
        <v>-3.8130000029923394E-4</v>
      </c>
    </row>
    <row r="37" spans="1:25" x14ac:dyDescent="0.2">
      <c r="A37" s="20" t="s">
        <v>45</v>
      </c>
      <c r="C37" s="55">
        <v>47366.455099999999</v>
      </c>
      <c r="D37" s="14"/>
      <c r="E37">
        <f t="shared" si="1"/>
        <v>884.00426662093992</v>
      </c>
      <c r="F37" s="11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4"/>
        <v>1.9924273023321054E-4</v>
      </c>
      <c r="Q37" s="10">
        <f t="shared" si="5"/>
        <v>32347.955099999999</v>
      </c>
      <c r="R37" s="9">
        <f t="shared" si="9"/>
        <v>8.3824510981838875E-7</v>
      </c>
      <c r="S37" s="9">
        <v>0.5</v>
      </c>
      <c r="T37" s="42">
        <f t="shared" si="10"/>
        <v>4.1912255490919438E-7</v>
      </c>
      <c r="U37" s="33"/>
      <c r="W37" s="71"/>
      <c r="X37">
        <v>1506.5</v>
      </c>
      <c r="Y37">
        <v>-1.2135750002926216E-3</v>
      </c>
    </row>
    <row r="38" spans="1:25" x14ac:dyDescent="0.2">
      <c r="A38" s="20" t="s">
        <v>45</v>
      </c>
      <c r="C38" s="55">
        <v>47378.472999999998</v>
      </c>
      <c r="D38" s="14"/>
      <c r="E38">
        <f t="shared" si="1"/>
        <v>909.50447742698054</v>
      </c>
      <c r="F38" s="11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9"/>
      <c r="N38" s="25"/>
      <c r="P38" s="38">
        <f t="shared" si="4"/>
        <v>2.1084214496978838E-4</v>
      </c>
      <c r="Q38" s="10">
        <f t="shared" si="5"/>
        <v>32359.972999999998</v>
      </c>
      <c r="R38" s="9">
        <f t="shared" si="9"/>
        <v>1.0143165824776596E-6</v>
      </c>
      <c r="S38" s="9">
        <v>0.5</v>
      </c>
      <c r="T38" s="42">
        <f t="shared" si="10"/>
        <v>5.0715829123882982E-7</v>
      </c>
      <c r="U38" s="33"/>
      <c r="W38" s="71"/>
      <c r="X38">
        <v>1583</v>
      </c>
      <c r="Y38">
        <v>3.559500037226826E-4</v>
      </c>
    </row>
    <row r="39" spans="1:25" x14ac:dyDescent="0.2">
      <c r="A39" s="9" t="s">
        <v>33</v>
      </c>
      <c r="C39" s="55">
        <v>47655.823299999996</v>
      </c>
      <c r="D39" s="14"/>
      <c r="E39">
        <f t="shared" si="1"/>
        <v>1498.0008966948401</v>
      </c>
      <c r="F39" s="11">
        <f t="shared" si="2"/>
        <v>1498</v>
      </c>
      <c r="G39" s="9">
        <v>-3.8130000029923394E-4</v>
      </c>
      <c r="H39" s="9"/>
      <c r="I39" s="9">
        <f>G39</f>
        <v>-3.8130000029923394E-4</v>
      </c>
      <c r="J39" s="9"/>
      <c r="K39" s="9"/>
      <c r="L39" s="9"/>
      <c r="M39" s="9"/>
      <c r="N39" s="25"/>
      <c r="P39" s="38">
        <f t="shared" si="4"/>
        <v>5.7016341652308647E-4</v>
      </c>
      <c r="Q39" s="10">
        <f t="shared" si="5"/>
        <v>32637.323299999996</v>
      </c>
      <c r="R39" s="9">
        <f t="shared" ref="R39:R45" si="11">(G39-P39)^2</f>
        <v>9.0528263355120461E-7</v>
      </c>
      <c r="S39" s="11">
        <v>0.5</v>
      </c>
      <c r="T39" s="42">
        <f t="shared" ref="T39:T45" si="12">R39*S39</f>
        <v>4.5264131677560231E-7</v>
      </c>
      <c r="U39" s="33"/>
      <c r="W39" s="71"/>
      <c r="X39">
        <v>8484.5</v>
      </c>
      <c r="Y39">
        <v>1.9731724998564459E-2</v>
      </c>
    </row>
    <row r="40" spans="1:25" x14ac:dyDescent="0.2">
      <c r="A40" s="9" t="s">
        <v>33</v>
      </c>
      <c r="C40" s="55">
        <v>47659.828399999999</v>
      </c>
      <c r="D40" s="14"/>
      <c r="E40">
        <f t="shared" si="1"/>
        <v>1506.4991280247177</v>
      </c>
      <c r="F40" s="11">
        <f t="shared" si="2"/>
        <v>1506.5</v>
      </c>
      <c r="G40" s="9">
        <v>-1.2135750002926216E-3</v>
      </c>
      <c r="H40" s="9"/>
      <c r="I40" s="9">
        <f>G40</f>
        <v>-1.2135750002926216E-3</v>
      </c>
      <c r="J40" s="9"/>
      <c r="K40" s="9"/>
      <c r="L40" s="9"/>
      <c r="M40" s="9"/>
      <c r="N40" s="25"/>
      <c r="P40" s="38">
        <f t="shared" si="4"/>
        <v>5.7664001785815171E-4</v>
      </c>
      <c r="Q40" s="10">
        <f t="shared" si="5"/>
        <v>32641.328399999999</v>
      </c>
      <c r="R40" s="9">
        <f t="shared" si="11"/>
        <v>3.2048698112125738E-6</v>
      </c>
      <c r="S40" s="11">
        <v>0.5</v>
      </c>
      <c r="T40" s="42">
        <f t="shared" si="12"/>
        <v>1.6024349056062869E-6</v>
      </c>
      <c r="U40" s="33"/>
      <c r="W40" s="71"/>
      <c r="X40">
        <v>8638</v>
      </c>
      <c r="Y40">
        <v>1.8947700002172496E-2</v>
      </c>
    </row>
    <row r="41" spans="1:25" x14ac:dyDescent="0.2">
      <c r="A41" s="9" t="s">
        <v>33</v>
      </c>
      <c r="C41" s="55">
        <v>47695.88336</v>
      </c>
      <c r="D41" s="14"/>
      <c r="E41">
        <f t="shared" si="1"/>
        <v>1583.0024339769623</v>
      </c>
      <c r="F41" s="11">
        <f t="shared" si="2"/>
        <v>1583</v>
      </c>
      <c r="G41" s="9">
        <v>3.559500037226826E-4</v>
      </c>
      <c r="H41" s="9"/>
      <c r="I41" s="9">
        <f>G41</f>
        <v>3.559500037226826E-4</v>
      </c>
      <c r="J41" s="9"/>
      <c r="K41" s="9"/>
      <c r="L41" s="9"/>
      <c r="M41" s="9"/>
      <c r="N41" s="25"/>
      <c r="P41" s="38">
        <f t="shared" si="4"/>
        <v>6.365782731961976E-4</v>
      </c>
      <c r="Q41" s="10">
        <f t="shared" si="5"/>
        <v>32677.38336</v>
      </c>
      <c r="R41" s="9">
        <f t="shared" si="11"/>
        <v>7.8752225627699759E-8</v>
      </c>
      <c r="S41" s="11">
        <v>0.5</v>
      </c>
      <c r="T41" s="42">
        <f t="shared" si="12"/>
        <v>3.937611281384988E-8</v>
      </c>
      <c r="U41" s="33"/>
      <c r="W41" s="71"/>
      <c r="X41">
        <v>9175</v>
      </c>
      <c r="Y41">
        <v>2.3045149995596148E-2</v>
      </c>
    </row>
    <row r="42" spans="1:25" x14ac:dyDescent="0.2">
      <c r="A42" s="9" t="s">
        <v>43</v>
      </c>
      <c r="C42" s="55">
        <v>49600.358</v>
      </c>
      <c r="D42" s="14"/>
      <c r="E42" s="26">
        <f>(C42-C$7)/C$8</f>
        <v>5624.0166539956654</v>
      </c>
      <c r="F42" s="9">
        <f>ROUND(2*E42,0)/2</f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>+D$11+D$12*F42+D$13*F42^2</f>
        <v>8.0218446727769212E-3</v>
      </c>
      <c r="Q42" s="10">
        <f>C42-15018.5</f>
        <v>34581.858</v>
      </c>
      <c r="R42" s="9">
        <f t="shared" si="11"/>
        <v>1.2819598571734055E-7</v>
      </c>
      <c r="S42" s="9">
        <v>1</v>
      </c>
      <c r="T42" s="9">
        <f t="shared" si="12"/>
        <v>1.2819598571734055E-7</v>
      </c>
      <c r="U42" s="33"/>
      <c r="X42">
        <v>16103</v>
      </c>
      <c r="Y42">
        <v>6.6711099992971867E-2</v>
      </c>
    </row>
    <row r="43" spans="1:25" x14ac:dyDescent="0.2">
      <c r="A43" s="25" t="s">
        <v>43</v>
      </c>
      <c r="C43" s="55">
        <v>49600.362000000001</v>
      </c>
      <c r="D43" s="14"/>
      <c r="E43">
        <f>(C43-C$7)/C$8</f>
        <v>5624.0251414055492</v>
      </c>
      <c r="F43" s="9">
        <f>ROUND(2*E43,0)/2</f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25"/>
      <c r="N43" s="25"/>
      <c r="P43" s="38">
        <f>+D$11+D$12*F43+D$13*F43^2</f>
        <v>8.0218446727769212E-3</v>
      </c>
      <c r="Q43" s="10">
        <f>C43-15018.5</f>
        <v>34581.862000000001</v>
      </c>
      <c r="R43" s="9">
        <f t="shared" si="11"/>
        <v>1.3263838631631472E-5</v>
      </c>
      <c r="S43" s="9">
        <v>0</v>
      </c>
      <c r="T43" s="9">
        <f t="shared" si="12"/>
        <v>0</v>
      </c>
      <c r="U43" s="33"/>
      <c r="X43">
        <v>17078.5</v>
      </c>
      <c r="Y43">
        <v>7.7425449999282137E-2</v>
      </c>
    </row>
    <row r="44" spans="1:25" x14ac:dyDescent="0.2">
      <c r="A44" s="61" t="s">
        <v>58</v>
      </c>
      <c r="C44" s="53">
        <v>50349.70938</v>
      </c>
      <c r="D44" s="14">
        <v>1.5E-3</v>
      </c>
      <c r="E44" s="26">
        <f>(C44-C$7)/C$8</f>
        <v>7214.029730972441</v>
      </c>
      <c r="F44" s="9">
        <f>ROUND(2*E44,0)/2</f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>+D$11+D$12*F44+D$13*F44^2</f>
        <v>1.3197994818725365E-2</v>
      </c>
      <c r="Q44" s="10">
        <f>C44-15018.5</f>
        <v>35331.20938</v>
      </c>
      <c r="R44" s="9">
        <f t="shared" si="11"/>
        <v>7.5221827406168494E-7</v>
      </c>
      <c r="S44" s="9">
        <v>1</v>
      </c>
      <c r="T44" s="9">
        <f t="shared" si="12"/>
        <v>7.5221827406168494E-7</v>
      </c>
      <c r="U44" s="33"/>
    </row>
    <row r="45" spans="1:25" x14ac:dyDescent="0.2">
      <c r="A45" s="19" t="s">
        <v>58</v>
      </c>
      <c r="C45" s="55">
        <v>51020.82574</v>
      </c>
      <c r="D45" s="14">
        <v>1E-3</v>
      </c>
      <c r="E45" s="26">
        <f>(C45-C$7)/C$8</f>
        <v>8638.0396374772554</v>
      </c>
      <c r="F45" s="9">
        <f>ROUND(2*E45,0)/2</f>
        <v>8638</v>
      </c>
      <c r="G45" s="9">
        <v>1.8947700002172496E-2</v>
      </c>
      <c r="H45" s="9"/>
      <c r="I45" s="9"/>
      <c r="J45" s="9"/>
      <c r="K45" s="26"/>
      <c r="L45" s="9">
        <f>G45</f>
        <v>1.8947700002172496E-2</v>
      </c>
      <c r="N45" s="25"/>
      <c r="P45" s="38">
        <f>+D$11+D$12*F45+D$13*F45^2</f>
        <v>1.8922050981711611E-2</v>
      </c>
      <c r="Q45" s="10">
        <f>C45-15018.5</f>
        <v>36002.32574</v>
      </c>
      <c r="R45" s="9">
        <f t="shared" si="11"/>
        <v>6.578722506029268E-10</v>
      </c>
      <c r="S45" s="9">
        <v>1</v>
      </c>
      <c r="T45" s="9">
        <f t="shared" si="12"/>
        <v>6.578722506029268E-10</v>
      </c>
      <c r="U45" s="33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21"/>
  <sheetViews>
    <sheetView workbookViewId="0">
      <selection activeCell="E9" sqref="E9"/>
    </sheetView>
  </sheetViews>
  <sheetFormatPr defaultRowHeight="12.75" x14ac:dyDescent="0.2"/>
  <cols>
    <col min="2" max="2" width="10.140625" customWidth="1"/>
    <col min="5" max="5" width="12.42578125" bestFit="1" customWidth="1"/>
    <col min="6" max="6" width="9" customWidth="1"/>
  </cols>
  <sheetData>
    <row r="1" spans="1:22" ht="18.75" thickBot="1" x14ac:dyDescent="0.25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K1" s="75" t="s">
        <v>87</v>
      </c>
      <c r="L1" s="25" t="s">
        <v>88</v>
      </c>
      <c r="M1" s="25">
        <f ca="1">F18*H18-G18*G18</f>
        <v>0.29610581183177143</v>
      </c>
      <c r="N1" s="25"/>
      <c r="O1" s="25"/>
      <c r="P1" s="25"/>
      <c r="Q1" s="25"/>
      <c r="R1" s="25">
        <v>1</v>
      </c>
      <c r="S1" s="25" t="s">
        <v>89</v>
      </c>
      <c r="U1" s="100" t="s">
        <v>13</v>
      </c>
      <c r="V1" s="100" t="s">
        <v>166</v>
      </c>
    </row>
    <row r="2" spans="1:22" x14ac:dyDescent="0.2">
      <c r="A2" s="18" t="s">
        <v>165</v>
      </c>
      <c r="B2" s="25"/>
      <c r="C2" s="25"/>
      <c r="D2" s="25"/>
      <c r="E2" s="25"/>
      <c r="F2" s="25"/>
      <c r="G2" s="25"/>
      <c r="H2" s="25"/>
      <c r="K2" s="75" t="s">
        <v>90</v>
      </c>
      <c r="L2" s="25" t="s">
        <v>91</v>
      </c>
      <c r="M2" s="25">
        <f ca="1">+D18*H18-F18*G18</f>
        <v>0.69643031908795061</v>
      </c>
      <c r="N2" s="25"/>
      <c r="O2" s="25"/>
      <c r="P2" s="25"/>
      <c r="Q2" s="25"/>
      <c r="R2" s="25">
        <v>2</v>
      </c>
      <c r="S2" s="25" t="s">
        <v>92</v>
      </c>
      <c r="U2">
        <v>-0.4</v>
      </c>
      <c r="V2">
        <f ca="1">+E$4+E$5*U2+E$6*U2^2</f>
        <v>0.21244795414488674</v>
      </c>
    </row>
    <row r="3" spans="1:22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100" t="s">
        <v>98</v>
      </c>
      <c r="K3" s="75" t="s">
        <v>99</v>
      </c>
      <c r="L3" s="25" t="s">
        <v>100</v>
      </c>
      <c r="M3" s="25">
        <f ca="1">+D18*G18-F18*F18</f>
        <v>0.32003570021743233</v>
      </c>
      <c r="N3" s="25"/>
      <c r="O3" s="25"/>
      <c r="P3" s="25"/>
      <c r="Q3" s="25"/>
      <c r="R3" s="25">
        <v>3</v>
      </c>
      <c r="S3" s="25" t="s">
        <v>101</v>
      </c>
      <c r="U3">
        <v>-0.3</v>
      </c>
      <c r="V3">
        <f t="shared" ref="V3:V16" ca="1" si="0">+E$4+E$5*U3+E$6*U3^2</f>
        <v>8.2075121857385747E-2</v>
      </c>
    </row>
    <row r="4" spans="1:22" x14ac:dyDescent="0.2">
      <c r="A4" s="25" t="s">
        <v>102</v>
      </c>
      <c r="B4" s="25" t="s">
        <v>103</v>
      </c>
      <c r="C4" s="25"/>
      <c r="D4" s="77" t="s">
        <v>104</v>
      </c>
      <c r="E4" s="78">
        <f ca="1">(E18*M1-I18*M2+J18*M3)/M7</f>
        <v>-3.1337684183461105E-2</v>
      </c>
      <c r="F4" s="79">
        <f ca="1">+E7/M7*M18</f>
        <v>2.7110370315029379E-2</v>
      </c>
      <c r="G4" s="80">
        <f>+B18</f>
        <v>0.01</v>
      </c>
      <c r="H4" s="106">
        <f ca="1">ABS(F4/E4)</f>
        <v>0.86510445878247921</v>
      </c>
      <c r="K4" s="75" t="s">
        <v>105</v>
      </c>
      <c r="L4" s="25" t="s">
        <v>106</v>
      </c>
      <c r="M4" s="25">
        <f ca="1">+D17*H18-F18*F18</f>
        <v>20.289471459449707</v>
      </c>
      <c r="N4" s="25"/>
      <c r="O4" s="25"/>
      <c r="P4" s="25"/>
      <c r="Q4" s="25"/>
      <c r="R4" s="25">
        <v>4</v>
      </c>
      <c r="S4" s="25" t="s">
        <v>107</v>
      </c>
      <c r="U4">
        <v>-0.2</v>
      </c>
      <c r="V4">
        <f t="shared" ca="1" si="0"/>
        <v>-2.013428626505831E-3</v>
      </c>
    </row>
    <row r="5" spans="1:22" x14ac:dyDescent="0.2">
      <c r="A5" s="25" t="s">
        <v>108</v>
      </c>
      <c r="B5" s="81">
        <v>40323</v>
      </c>
      <c r="C5" s="25"/>
      <c r="D5" s="82" t="s">
        <v>109</v>
      </c>
      <c r="E5" s="83">
        <f ca="1">+(-E18*M2+I18*M4-J18*M5)/M7</f>
        <v>0.31622154025131693</v>
      </c>
      <c r="F5" s="84">
        <f ca="1">N18*E7/M7</f>
        <v>0.22441265868208868</v>
      </c>
      <c r="G5" s="85">
        <f>+B18/A18</f>
        <v>9.9999999999999995E-7</v>
      </c>
      <c r="H5" s="106">
        <f ca="1">ABS(F5/E5)</f>
        <v>0.70966910889035839</v>
      </c>
      <c r="K5" s="75" t="s">
        <v>110</v>
      </c>
      <c r="L5" s="25" t="s">
        <v>111</v>
      </c>
      <c r="M5" s="25">
        <f ca="1">+D17*G18-D18*F18</f>
        <v>25.61160274327613</v>
      </c>
      <c r="N5" s="25"/>
      <c r="O5" s="25"/>
      <c r="P5" s="25"/>
      <c r="Q5" s="25"/>
      <c r="R5" s="25">
        <v>5</v>
      </c>
      <c r="S5" s="25" t="s">
        <v>112</v>
      </c>
      <c r="U5">
        <v>-0.1</v>
      </c>
      <c r="V5">
        <f t="shared" ca="1" si="0"/>
        <v>-3.9817697306788136E-2</v>
      </c>
    </row>
    <row r="6" spans="1:22" ht="13.5" thickBot="1" x14ac:dyDescent="0.25">
      <c r="A6" s="25"/>
      <c r="B6" s="25"/>
      <c r="C6" s="25"/>
      <c r="D6" s="86" t="s">
        <v>113</v>
      </c>
      <c r="E6" s="87">
        <f ca="1">+(E18*M3-I18*M5+J18*M6)/M7</f>
        <v>2.314214090180466</v>
      </c>
      <c r="F6" s="88">
        <f ca="1">O18*E7/M7</f>
        <v>0.30974971661498141</v>
      </c>
      <c r="G6" s="89">
        <f>+B18/A18^2</f>
        <v>1E-10</v>
      </c>
      <c r="H6" s="106">
        <f ca="1">ABS(F6/E6)</f>
        <v>0.13384661251925342</v>
      </c>
      <c r="K6" s="90" t="s">
        <v>114</v>
      </c>
      <c r="L6" s="91" t="s">
        <v>115</v>
      </c>
      <c r="M6" s="91">
        <f ca="1">+D17*F18-D18*D18</f>
        <v>38.654304837500007</v>
      </c>
      <c r="N6" s="25"/>
      <c r="O6" s="25"/>
      <c r="P6" s="25"/>
      <c r="Q6" s="25"/>
      <c r="R6" s="25">
        <v>6</v>
      </c>
      <c r="S6" s="25" t="s">
        <v>116</v>
      </c>
      <c r="U6">
        <v>0</v>
      </c>
      <c r="V6">
        <f t="shared" ca="1" si="0"/>
        <v>-3.1337684183461105E-2</v>
      </c>
    </row>
    <row r="7" spans="1:22" x14ac:dyDescent="0.2">
      <c r="A7" s="92">
        <v>21</v>
      </c>
      <c r="B7" s="25"/>
      <c r="C7" s="25"/>
      <c r="D7" s="61" t="s">
        <v>117</v>
      </c>
      <c r="E7" s="93">
        <f ca="1">SQRT(L18/(D17-3))</f>
        <v>0.11520082856738401</v>
      </c>
      <c r="F7" s="25"/>
      <c r="G7" s="94">
        <f>+B21</f>
        <v>1.1011500027962029E-3</v>
      </c>
      <c r="H7" s="25"/>
      <c r="K7" s="75" t="s">
        <v>118</v>
      </c>
      <c r="L7" s="25" t="s">
        <v>119</v>
      </c>
      <c r="M7" s="25">
        <f ca="1">+D17*M1-D18*M2+F18*M3</f>
        <v>5.3467174877473305</v>
      </c>
      <c r="N7" s="25"/>
      <c r="O7" s="25"/>
      <c r="P7" s="25"/>
      <c r="Q7" s="25"/>
      <c r="R7" s="25">
        <v>7</v>
      </c>
      <c r="S7" s="25" t="s">
        <v>120</v>
      </c>
      <c r="U7">
        <v>0.1</v>
      </c>
      <c r="V7">
        <f t="shared" ca="1" si="0"/>
        <v>2.3426610743475254E-2</v>
      </c>
    </row>
    <row r="8" spans="1:22" x14ac:dyDescent="0.2">
      <c r="A8" s="92">
        <f>20+COUNT(A21:A1448)</f>
        <v>44</v>
      </c>
      <c r="B8" s="25"/>
      <c r="C8" s="25"/>
      <c r="D8" s="61" t="s">
        <v>163</v>
      </c>
      <c r="E8" s="25"/>
      <c r="F8" s="108">
        <f ca="1">CORREL(E21:E72,K21:K72)</f>
        <v>0.97951887580409769</v>
      </c>
      <c r="G8" s="93"/>
      <c r="I8" s="94"/>
      <c r="J8" s="25"/>
      <c r="K8" s="25"/>
      <c r="L8" s="25"/>
      <c r="M8" s="25"/>
      <c r="N8" s="25"/>
      <c r="O8" s="25"/>
      <c r="P8" s="25"/>
      <c r="Q8" s="25"/>
      <c r="R8" s="25">
        <v>8</v>
      </c>
      <c r="S8" s="25" t="s">
        <v>121</v>
      </c>
      <c r="U8">
        <v>0.2</v>
      </c>
      <c r="V8">
        <f t="shared" ca="1" si="0"/>
        <v>0.12447518747402095</v>
      </c>
    </row>
    <row r="9" spans="1:22" x14ac:dyDescent="0.2">
      <c r="A9" s="25"/>
      <c r="B9" s="25"/>
      <c r="C9" s="25"/>
      <c r="D9" s="25"/>
      <c r="E9" s="109">
        <f ca="1">E6*G6</f>
        <v>2.3142140901804662E-10</v>
      </c>
      <c r="F9" s="110">
        <f ca="1">H6</f>
        <v>0.13384661251925342</v>
      </c>
      <c r="G9" s="111">
        <f ca="1">F8</f>
        <v>0.97951887580409769</v>
      </c>
      <c r="H9" s="25"/>
      <c r="I9" s="94"/>
      <c r="J9" s="25"/>
      <c r="K9" s="25"/>
      <c r="L9" s="25"/>
      <c r="M9" s="25"/>
      <c r="N9" s="25"/>
      <c r="O9" s="25"/>
      <c r="P9" s="25"/>
      <c r="Q9" s="25"/>
      <c r="R9" s="25">
        <v>9</v>
      </c>
      <c r="S9" s="25" t="s">
        <v>64</v>
      </c>
      <c r="U9">
        <v>0.3</v>
      </c>
      <c r="V9">
        <f t="shared" ca="1" si="0"/>
        <v>0.27180804600817587</v>
      </c>
    </row>
    <row r="10" spans="1:22" x14ac:dyDescent="0.2">
      <c r="A10" s="134" t="s">
        <v>205</v>
      </c>
      <c r="B10" s="134">
        <f>'A (2)'!C8</f>
        <v>0.47128629999999999</v>
      </c>
      <c r="C10" s="25"/>
      <c r="D10" s="25" t="s">
        <v>206</v>
      </c>
      <c r="E10" s="25">
        <f ca="1">2*E9*365.24/B10</f>
        <v>3.5869642478362454E-7</v>
      </c>
      <c r="F10" s="25">
        <f ca="1">F9*E10</f>
        <v>4.8010301380055323E-8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10</v>
      </c>
      <c r="S10" s="25" t="s">
        <v>122</v>
      </c>
      <c r="U10">
        <v>0.4</v>
      </c>
      <c r="V10">
        <f t="shared" ca="1" si="0"/>
        <v>0.46542518634594032</v>
      </c>
    </row>
    <row r="11" spans="1:22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11</v>
      </c>
      <c r="S11" s="25" t="s">
        <v>123</v>
      </c>
      <c r="U11">
        <v>0.5</v>
      </c>
      <c r="V11">
        <f t="shared" ca="1" si="0"/>
        <v>0.70532660848731388</v>
      </c>
    </row>
    <row r="12" spans="1:22" x14ac:dyDescent="0.2">
      <c r="A12" s="5" t="str">
        <f>A$15&amp;$C12</f>
        <v>A21</v>
      </c>
      <c r="B12" s="25" t="s">
        <v>124</v>
      </c>
      <c r="C12" s="95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P12" s="25"/>
      <c r="Q12" s="25"/>
      <c r="R12" s="25">
        <v>12</v>
      </c>
      <c r="S12" s="25" t="s">
        <v>125</v>
      </c>
      <c r="U12">
        <v>0.6</v>
      </c>
      <c r="V12">
        <f t="shared" ca="1" si="0"/>
        <v>0.99151231243229676</v>
      </c>
    </row>
    <row r="13" spans="1:22" x14ac:dyDescent="0.2">
      <c r="A13" s="5" t="str">
        <f>A$15&amp;$C13</f>
        <v>A44</v>
      </c>
      <c r="B13" s="25" t="s">
        <v>126</v>
      </c>
      <c r="C13" s="95">
        <v>44</v>
      </c>
      <c r="D13" s="5" t="str">
        <f>D$15&amp;$C13</f>
        <v>D44</v>
      </c>
      <c r="E13" s="5" t="str">
        <f t="shared" ref="E13:O13" si="2">E$15&amp;$C13</f>
        <v>E44</v>
      </c>
      <c r="F13" s="5" t="str">
        <f t="shared" si="2"/>
        <v>F44</v>
      </c>
      <c r="G13" s="5" t="str">
        <f t="shared" si="2"/>
        <v>G44</v>
      </c>
      <c r="H13" s="5" t="str">
        <f t="shared" si="2"/>
        <v>H44</v>
      </c>
      <c r="I13" s="5" t="str">
        <f t="shared" si="2"/>
        <v>I44</v>
      </c>
      <c r="J13" s="5" t="str">
        <f t="shared" si="2"/>
        <v>J44</v>
      </c>
      <c r="K13" s="5" t="str">
        <f t="shared" si="2"/>
        <v>K44</v>
      </c>
      <c r="L13" s="5" t="str">
        <f t="shared" si="2"/>
        <v>L44</v>
      </c>
      <c r="M13" s="5" t="str">
        <f t="shared" si="2"/>
        <v>M44</v>
      </c>
      <c r="N13" s="5" t="str">
        <f t="shared" si="2"/>
        <v>N44</v>
      </c>
      <c r="O13" s="5" t="str">
        <f t="shared" si="2"/>
        <v>O44</v>
      </c>
      <c r="P13" s="25"/>
      <c r="Q13" s="25"/>
      <c r="R13" s="25">
        <v>13</v>
      </c>
      <c r="S13" s="25" t="s">
        <v>127</v>
      </c>
      <c r="U13">
        <v>0.7</v>
      </c>
      <c r="V13">
        <f t="shared" ca="1" si="0"/>
        <v>1.3239822981808889</v>
      </c>
    </row>
    <row r="14" spans="1:22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14</v>
      </c>
      <c r="S14" s="25" t="s">
        <v>128</v>
      </c>
      <c r="U14">
        <v>0.8</v>
      </c>
      <c r="V14">
        <f t="shared" ca="1" si="0"/>
        <v>1.7027365657330908</v>
      </c>
    </row>
    <row r="15" spans="1:22" x14ac:dyDescent="0.2">
      <c r="A15" s="5" t="s">
        <v>89</v>
      </c>
      <c r="B15" s="25"/>
      <c r="C15" s="25"/>
      <c r="D15" s="5" t="str">
        <f t="shared" ref="D15:O15" si="3">VLOOKUP(D16,$R1:$S25,2,FALSE)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25"/>
      <c r="Q15" s="25"/>
      <c r="R15" s="25">
        <v>15</v>
      </c>
      <c r="S15" s="25" t="s">
        <v>129</v>
      </c>
      <c r="U15">
        <v>0.9</v>
      </c>
      <c r="V15">
        <f t="shared" ca="1" si="0"/>
        <v>2.1277751150889017</v>
      </c>
    </row>
    <row r="16" spans="1:22" x14ac:dyDescent="0.2">
      <c r="A16" s="5">
        <f>COLUMN()</f>
        <v>1</v>
      </c>
      <c r="B16" s="25"/>
      <c r="C16" s="2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5"/>
      <c r="Q16" s="25"/>
      <c r="R16" s="25">
        <v>16</v>
      </c>
      <c r="S16" s="25" t="s">
        <v>130</v>
      </c>
      <c r="U16">
        <v>1</v>
      </c>
      <c r="V16">
        <f t="shared" ca="1" si="0"/>
        <v>2.5990979462483219</v>
      </c>
    </row>
    <row r="17" spans="1:19" x14ac:dyDescent="0.2">
      <c r="A17" s="61" t="s">
        <v>131</v>
      </c>
      <c r="B17" s="25"/>
      <c r="C17" s="25" t="s">
        <v>132</v>
      </c>
      <c r="D17" s="25">
        <f>C13-C12+1</f>
        <v>24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>
        <v>17</v>
      </c>
      <c r="S17" s="25" t="s">
        <v>133</v>
      </c>
    </row>
    <row r="18" spans="1:19" x14ac:dyDescent="0.2">
      <c r="A18" s="107">
        <v>10000</v>
      </c>
      <c r="B18" s="96">
        <v>0.01</v>
      </c>
      <c r="C18" s="25" t="s">
        <v>134</v>
      </c>
      <c r="D18" s="25">
        <f ca="1">SUM(INDIRECT(D12):INDIRECT(D13))</f>
        <v>3.5018499999999997</v>
      </c>
      <c r="E18" s="25">
        <f ca="1">SUM(INDIRECT(E12):INDIRECT(E13))</f>
        <v>5.2649825011030771</v>
      </c>
      <c r="F18" s="25">
        <f ca="1">SUM(INDIRECT(F12):INDIRECT(F13))</f>
        <v>2.1215524275000002</v>
      </c>
      <c r="G18" s="25">
        <f ca="1">SUM(INDIRECT(G12):INDIRECT(G13))</f>
        <v>1.3767067129798751</v>
      </c>
      <c r="H18" s="25">
        <f ca="1">SUM(INDIRECT(H12):INDIRECT(H13))</f>
        <v>1.0329356734200354</v>
      </c>
      <c r="I18" s="25">
        <f ca="1">SUM(INDIRECT(I12):INDIRECT(I13))</f>
        <v>3.747134780214183</v>
      </c>
      <c r="J18" s="25">
        <f ca="1">SUM(INDIRECT(J12):INDIRECT(J13))</f>
        <v>2.7592940669798711</v>
      </c>
      <c r="K18" s="25"/>
      <c r="L18" s="25">
        <f ca="1">SUM(INDIRECT(L12):INDIRECT(L13))</f>
        <v>0.27869584895484778</v>
      </c>
      <c r="M18" s="25">
        <f ca="1">SQRT(SUM(INDIRECT(M12):INDIRECT(M13)))</f>
        <v>1.258250421158106</v>
      </c>
      <c r="N18" s="25">
        <f ca="1">SQRT(SUM(INDIRECT(N12):INDIRECT(N13)))</f>
        <v>10.415472714639026</v>
      </c>
      <c r="O18" s="25">
        <f ca="1">SQRT(SUM(INDIRECT(O12):INDIRECT(O13)))</f>
        <v>14.376148568075433</v>
      </c>
      <c r="P18" s="25"/>
      <c r="Q18" s="25"/>
      <c r="R18" s="25">
        <v>18</v>
      </c>
      <c r="S18" s="25" t="s">
        <v>135</v>
      </c>
    </row>
    <row r="19" spans="1:19" x14ac:dyDescent="0.2">
      <c r="A19" s="97" t="s">
        <v>136</v>
      </c>
      <c r="B19" s="25"/>
      <c r="C19" s="25"/>
      <c r="D19" s="98" t="s">
        <v>137</v>
      </c>
      <c r="E19" s="98" t="s">
        <v>138</v>
      </c>
      <c r="F19" s="98" t="s">
        <v>139</v>
      </c>
      <c r="G19" s="98" t="s">
        <v>140</v>
      </c>
      <c r="H19" s="98" t="s">
        <v>141</v>
      </c>
      <c r="I19" s="98" t="s">
        <v>142</v>
      </c>
      <c r="J19" s="98" t="s">
        <v>143</v>
      </c>
      <c r="K19" s="99"/>
      <c r="L19" s="99"/>
      <c r="M19" s="99"/>
      <c r="N19" s="99"/>
      <c r="O19" s="99"/>
      <c r="P19" s="25"/>
      <c r="Q19" s="25"/>
      <c r="R19" s="25">
        <v>19</v>
      </c>
      <c r="S19" s="25" t="s">
        <v>144</v>
      </c>
    </row>
    <row r="20" spans="1:19" ht="15" thickBot="1" x14ac:dyDescent="0.25">
      <c r="A20" s="6" t="s">
        <v>145</v>
      </c>
      <c r="B20" s="6" t="s">
        <v>146</v>
      </c>
      <c r="C20" s="25"/>
      <c r="D20" s="100" t="s">
        <v>145</v>
      </c>
      <c r="E20" s="100" t="s">
        <v>146</v>
      </c>
      <c r="F20" s="100" t="s">
        <v>147</v>
      </c>
      <c r="G20" s="100" t="s">
        <v>148</v>
      </c>
      <c r="H20" s="100" t="s">
        <v>149</v>
      </c>
      <c r="I20" s="100" t="s">
        <v>150</v>
      </c>
      <c r="J20" s="100" t="s">
        <v>151</v>
      </c>
      <c r="K20" s="101" t="s">
        <v>152</v>
      </c>
      <c r="L20" s="100" t="s">
        <v>153</v>
      </c>
      <c r="M20" s="100" t="s">
        <v>154</v>
      </c>
      <c r="N20" s="100" t="s">
        <v>155</v>
      </c>
      <c r="O20" s="100" t="s">
        <v>156</v>
      </c>
      <c r="P20" s="76" t="s">
        <v>157</v>
      </c>
      <c r="Q20" s="25"/>
      <c r="R20" s="25">
        <v>20</v>
      </c>
      <c r="S20" s="25" t="s">
        <v>158</v>
      </c>
    </row>
    <row r="21" spans="1:19" x14ac:dyDescent="0.2">
      <c r="A21" s="102">
        <v>-2265</v>
      </c>
      <c r="B21" s="102">
        <v>1.1011500027962029E-3</v>
      </c>
      <c r="C21" s="25"/>
      <c r="D21" s="103">
        <f t="shared" ref="D21:D51" si="4">A21/A$18</f>
        <v>-0.22650000000000001</v>
      </c>
      <c r="E21" s="103">
        <f t="shared" ref="E21:E51" si="5">B21/B$18</f>
        <v>0.11011500027962029</v>
      </c>
      <c r="F21" s="92">
        <f t="shared" ref="F21:F51" si="6">D21*D21</f>
        <v>5.1302250000000001E-2</v>
      </c>
      <c r="G21" s="92">
        <f t="shared" ref="G21:G51" si="7">D21*F21</f>
        <v>-1.1619959625000001E-2</v>
      </c>
      <c r="H21" s="92">
        <f t="shared" ref="H21:H51" si="8">F21*F21</f>
        <v>2.6319208550625002E-3</v>
      </c>
      <c r="I21" s="92">
        <f t="shared" ref="I21:I51" si="9">E21*D21</f>
        <v>-2.4941047563333995E-2</v>
      </c>
      <c r="J21" s="92">
        <f t="shared" ref="J21:J51" si="10">I21*D21</f>
        <v>5.64914727309515E-3</v>
      </c>
      <c r="K21" s="92">
        <f t="shared" ref="K21:K51" ca="1" si="11">+E$4+E$5*D21+E$6*D21^2</f>
        <v>1.5762526757576403E-2</v>
      </c>
      <c r="L21" s="92">
        <f t="shared" ref="L21:L51" ca="1" si="12">+(K21-E21)^2</f>
        <v>8.9023892597279927E-3</v>
      </c>
      <c r="M21" s="92">
        <f t="shared" ref="M21:M51" ca="1" si="13">(M$1-M$2*D21+M$3*F21)^2</f>
        <v>0.2211499514361831</v>
      </c>
      <c r="N21" s="92">
        <f t="shared" ref="N21:N51" ca="1" si="14">(-M$2+M$4*D21-M$5*F21)^2</f>
        <v>43.638290706199079</v>
      </c>
      <c r="O21" s="92">
        <f t="shared" ref="O21:O51" ca="1" si="15">+(M$3-D21*M$5+F21*M$6)^2</f>
        <v>65.676704762924643</v>
      </c>
      <c r="P21" s="25">
        <f t="shared" ref="P21:P51" ca="1" si="16">+E21-K21</f>
        <v>9.4352473522043886E-2</v>
      </c>
      <c r="Q21" s="25"/>
      <c r="R21" s="25">
        <v>22</v>
      </c>
      <c r="S21" s="25" t="s">
        <v>160</v>
      </c>
    </row>
    <row r="22" spans="1:19" x14ac:dyDescent="0.2">
      <c r="A22" s="102">
        <v>-1468.5</v>
      </c>
      <c r="B22" s="102">
        <v>-1.5173249994404614E-3</v>
      </c>
      <c r="C22" s="25"/>
      <c r="D22" s="103">
        <f t="shared" si="4"/>
        <v>-0.14685000000000001</v>
      </c>
      <c r="E22" s="103">
        <f t="shared" si="5"/>
        <v>-0.15173249994404614</v>
      </c>
      <c r="F22" s="92">
        <f t="shared" si="6"/>
        <v>2.1564922500000003E-2</v>
      </c>
      <c r="G22" s="92">
        <f t="shared" si="7"/>
        <v>-3.1668088691250008E-3</v>
      </c>
      <c r="H22" s="92">
        <f t="shared" si="8"/>
        <v>4.6504588243100639E-4</v>
      </c>
      <c r="I22" s="92">
        <f t="shared" si="9"/>
        <v>2.2281917616783178E-2</v>
      </c>
      <c r="J22" s="92">
        <f t="shared" si="10"/>
        <v>-3.27209960202461E-3</v>
      </c>
      <c r="K22" s="92">
        <f t="shared" ca="1" si="11"/>
        <v>-2.7868969866217237E-2</v>
      </c>
      <c r="L22" s="92">
        <f t="shared" ca="1" si="12"/>
        <v>1.5342174083341226E-2</v>
      </c>
      <c r="M22" s="92">
        <f t="shared" ca="1" si="13"/>
        <v>0.16425037826944203</v>
      </c>
      <c r="N22" s="92">
        <f t="shared" ca="1" si="14"/>
        <v>17.878110165171517</v>
      </c>
      <c r="O22" s="92">
        <f t="shared" ca="1" si="15"/>
        <v>24.154046585649876</v>
      </c>
      <c r="P22" s="25">
        <f t="shared" ca="1" si="16"/>
        <v>-0.12386353007782891</v>
      </c>
      <c r="Q22" s="25"/>
      <c r="R22" s="25">
        <v>23</v>
      </c>
      <c r="S22" s="25" t="s">
        <v>161</v>
      </c>
    </row>
    <row r="23" spans="1:19" x14ac:dyDescent="0.2">
      <c r="A23" s="102">
        <v>-715</v>
      </c>
      <c r="B23" s="102">
        <v>2.6865000108955428E-4</v>
      </c>
      <c r="C23" s="25"/>
      <c r="D23" s="103">
        <f t="shared" si="4"/>
        <v>-7.1499999999999994E-2</v>
      </c>
      <c r="E23" s="103">
        <f t="shared" si="5"/>
        <v>2.6865000108955428E-2</v>
      </c>
      <c r="F23" s="92">
        <f t="shared" si="6"/>
        <v>5.1122499999999987E-3</v>
      </c>
      <c r="G23" s="92">
        <f t="shared" si="7"/>
        <v>-3.6552587499999987E-4</v>
      </c>
      <c r="H23" s="92">
        <f t="shared" si="8"/>
        <v>2.6135100062499986E-5</v>
      </c>
      <c r="I23" s="92">
        <f t="shared" si="9"/>
        <v>-1.9208475077903129E-3</v>
      </c>
      <c r="J23" s="92">
        <f t="shared" si="10"/>
        <v>1.3734059680700736E-4</v>
      </c>
      <c r="K23" s="92">
        <f t="shared" ca="1" si="11"/>
        <v>-4.2116683328905183E-2</v>
      </c>
      <c r="L23" s="92">
        <f t="shared" ca="1" si="12"/>
        <v>4.7584726499212129E-3</v>
      </c>
      <c r="M23" s="92">
        <f t="shared" ca="1" si="13"/>
        <v>0.12078174544330303</v>
      </c>
      <c r="N23" s="92">
        <f t="shared" ca="1" si="14"/>
        <v>5.1895593890821994</v>
      </c>
      <c r="O23" s="92">
        <f t="shared" ca="1" si="15"/>
        <v>5.5172173653572525</v>
      </c>
      <c r="P23" s="25">
        <f t="shared" ca="1" si="16"/>
        <v>6.8981683437860611E-2</v>
      </c>
      <c r="Q23" s="25"/>
      <c r="R23" s="25">
        <v>24</v>
      </c>
      <c r="S23" s="25" t="s">
        <v>145</v>
      </c>
    </row>
    <row r="24" spans="1:19" x14ac:dyDescent="0.2">
      <c r="A24" s="102">
        <v>-713</v>
      </c>
      <c r="B24" s="102">
        <v>-3.0364999838639051E-4</v>
      </c>
      <c r="C24" s="25"/>
      <c r="D24" s="103">
        <f t="shared" si="4"/>
        <v>-7.1300000000000002E-2</v>
      </c>
      <c r="E24" s="103">
        <f t="shared" si="5"/>
        <v>-3.0364999838639051E-2</v>
      </c>
      <c r="F24" s="92">
        <f t="shared" si="6"/>
        <v>5.0836900000000001E-3</v>
      </c>
      <c r="G24" s="92">
        <f t="shared" si="7"/>
        <v>-3.6246709700000004E-4</v>
      </c>
      <c r="H24" s="92">
        <f t="shared" si="8"/>
        <v>2.5843904016100002E-5</v>
      </c>
      <c r="I24" s="92">
        <f t="shared" si="9"/>
        <v>2.1650244884949643E-3</v>
      </c>
      <c r="J24" s="92">
        <f t="shared" si="10"/>
        <v>-1.5436624602969097E-4</v>
      </c>
      <c r="K24" s="92">
        <f t="shared" ca="1" si="11"/>
        <v>-4.211953297527047E-2</v>
      </c>
      <c r="L24" s="92">
        <f t="shared" ca="1" si="12"/>
        <v>1.3816904926016607E-4</v>
      </c>
      <c r="M24" s="92">
        <f t="shared" ca="1" si="13"/>
        <v>0.1206786003174988</v>
      </c>
      <c r="N24" s="92">
        <f t="shared" ca="1" si="14"/>
        <v>5.167761416334244</v>
      </c>
      <c r="O24" s="92">
        <f t="shared" ca="1" si="15"/>
        <v>5.4880065803924607</v>
      </c>
      <c r="P24" s="25">
        <f t="shared" ca="1" si="16"/>
        <v>1.1754533136631419E-2</v>
      </c>
      <c r="Q24" s="25"/>
      <c r="R24" s="25">
        <v>25</v>
      </c>
      <c r="S24" s="25" t="s">
        <v>146</v>
      </c>
    </row>
    <row r="25" spans="1:19" x14ac:dyDescent="0.2">
      <c r="A25" s="102">
        <v>0</v>
      </c>
      <c r="B25" s="102">
        <v>-2.2286000021267682E-3</v>
      </c>
      <c r="C25" s="25"/>
      <c r="D25" s="103">
        <f t="shared" si="4"/>
        <v>0</v>
      </c>
      <c r="E25" s="103">
        <f t="shared" si="5"/>
        <v>-0.22286000021267682</v>
      </c>
      <c r="F25" s="92">
        <f t="shared" si="6"/>
        <v>0</v>
      </c>
      <c r="G25" s="92">
        <f t="shared" si="7"/>
        <v>0</v>
      </c>
      <c r="H25" s="92">
        <f t="shared" si="8"/>
        <v>0</v>
      </c>
      <c r="I25" s="92">
        <f t="shared" si="9"/>
        <v>0</v>
      </c>
      <c r="J25" s="92">
        <f t="shared" si="10"/>
        <v>0</v>
      </c>
      <c r="K25" s="92">
        <f t="shared" ca="1" si="11"/>
        <v>-3.1337684183461105E-2</v>
      </c>
      <c r="L25" s="92">
        <f t="shared" ca="1" si="12"/>
        <v>3.6680797537194776E-2</v>
      </c>
      <c r="M25" s="92">
        <f t="shared" ca="1" si="13"/>
        <v>8.7678651800552426E-2</v>
      </c>
      <c r="N25" s="92">
        <f t="shared" ca="1" si="14"/>
        <v>0.4850151893449447</v>
      </c>
      <c r="O25" s="92">
        <f t="shared" ca="1" si="15"/>
        <v>0.10242284941366221</v>
      </c>
      <c r="P25" s="25">
        <f t="shared" ca="1" si="16"/>
        <v>-0.19152231602921571</v>
      </c>
      <c r="Q25" s="25"/>
      <c r="R25" s="25">
        <v>26</v>
      </c>
      <c r="S25" s="25" t="s">
        <v>162</v>
      </c>
    </row>
    <row r="26" spans="1:19" x14ac:dyDescent="0.2">
      <c r="A26" s="102">
        <v>87</v>
      </c>
      <c r="B26" s="102">
        <v>-1.2365000293357298E-4</v>
      </c>
      <c r="C26" s="25"/>
      <c r="D26" s="103">
        <f t="shared" si="4"/>
        <v>8.6999999999999994E-3</v>
      </c>
      <c r="E26" s="103">
        <f t="shared" si="5"/>
        <v>-1.2365000293357298E-2</v>
      </c>
      <c r="F26" s="92">
        <f t="shared" si="6"/>
        <v>7.5689999999999989E-5</v>
      </c>
      <c r="G26" s="92">
        <f t="shared" si="7"/>
        <v>6.585029999999999E-7</v>
      </c>
      <c r="H26" s="92">
        <f t="shared" si="8"/>
        <v>5.7289760999999986E-9</v>
      </c>
      <c r="I26" s="92">
        <f t="shared" si="9"/>
        <v>-1.0757550255220848E-4</v>
      </c>
      <c r="J26" s="92">
        <f t="shared" si="10"/>
        <v>-9.3590687220421366E-7</v>
      </c>
      <c r="K26" s="92">
        <f t="shared" ca="1" si="11"/>
        <v>-2.8411393918788889E-2</v>
      </c>
      <c r="L26" s="92">
        <f t="shared" ca="1" si="12"/>
        <v>2.574867483822916E-4</v>
      </c>
      <c r="M26" s="92">
        <f t="shared" ca="1" si="13"/>
        <v>8.4141238157565912E-2</v>
      </c>
      <c r="N26" s="92">
        <f t="shared" ca="1" si="14"/>
        <v>0.27232790218721187</v>
      </c>
      <c r="O26" s="92">
        <f t="shared" ca="1" si="15"/>
        <v>1.0028119877258306E-2</v>
      </c>
      <c r="P26" s="25">
        <f t="shared" ca="1" si="16"/>
        <v>1.6046393625431591E-2</v>
      </c>
      <c r="Q26" s="25"/>
      <c r="R26" s="25"/>
    </row>
    <row r="27" spans="1:19" x14ac:dyDescent="0.2">
      <c r="A27" s="102">
        <v>116.5</v>
      </c>
      <c r="B27" s="102">
        <v>1.2349250027909875E-3</v>
      </c>
      <c r="C27" s="25"/>
      <c r="D27" s="103">
        <f t="shared" si="4"/>
        <v>1.1650000000000001E-2</v>
      </c>
      <c r="E27" s="103">
        <f t="shared" si="5"/>
        <v>0.12349250027909875</v>
      </c>
      <c r="F27" s="92">
        <f t="shared" si="6"/>
        <v>1.3572250000000002E-4</v>
      </c>
      <c r="G27" s="92">
        <f t="shared" si="7"/>
        <v>1.5811671250000003E-6</v>
      </c>
      <c r="H27" s="92">
        <f t="shared" si="8"/>
        <v>1.8420597006250005E-8</v>
      </c>
      <c r="I27" s="92">
        <f t="shared" si="9"/>
        <v>1.4386876282515004E-3</v>
      </c>
      <c r="J27" s="92">
        <f t="shared" si="10"/>
        <v>1.6760710869129981E-5</v>
      </c>
      <c r="K27" s="92">
        <f t="shared" ca="1" si="11"/>
        <v>-2.7339612317678744E-2</v>
      </c>
      <c r="L27" s="92">
        <f t="shared" ca="1" si="12"/>
        <v>2.2750326190406959E-2</v>
      </c>
      <c r="M27" s="92">
        <f t="shared" ca="1" si="13"/>
        <v>8.296464204812129E-2</v>
      </c>
      <c r="N27" s="92">
        <f t="shared" ca="1" si="14"/>
        <v>0.21486381304218302</v>
      </c>
      <c r="O27" s="92">
        <f t="shared" ca="1" si="15"/>
        <v>7.2397519455098683E-4</v>
      </c>
      <c r="P27" s="25">
        <f t="shared" ca="1" si="16"/>
        <v>0.15083211259677748</v>
      </c>
      <c r="Q27" s="25"/>
      <c r="R27" s="25"/>
    </row>
    <row r="28" spans="1:19" x14ac:dyDescent="0.2">
      <c r="A28" s="102">
        <v>764</v>
      </c>
      <c r="B28" s="102">
        <v>-6.472000022768043E-4</v>
      </c>
      <c r="C28" s="25"/>
      <c r="D28" s="103">
        <f t="shared" si="4"/>
        <v>7.6399999999999996E-2</v>
      </c>
      <c r="E28" s="103">
        <f t="shared" si="5"/>
        <v>-6.472000022768043E-2</v>
      </c>
      <c r="F28" s="92">
        <f t="shared" si="6"/>
        <v>5.8369599999999995E-3</v>
      </c>
      <c r="G28" s="92">
        <f t="shared" si="7"/>
        <v>4.4594374399999992E-4</v>
      </c>
      <c r="H28" s="92">
        <f t="shared" si="8"/>
        <v>3.4070102041599993E-5</v>
      </c>
      <c r="I28" s="92">
        <f t="shared" si="9"/>
        <v>-4.9446080173947849E-3</v>
      </c>
      <c r="J28" s="92">
        <f t="shared" si="10"/>
        <v>-3.7776805252896155E-4</v>
      </c>
      <c r="K28" s="92">
        <f t="shared" ca="1" si="11"/>
        <v>6.3296165675592788E-3</v>
      </c>
      <c r="L28" s="92">
        <f t="shared" ca="1" si="12"/>
        <v>5.0480480467504077E-3</v>
      </c>
      <c r="M28" s="92">
        <f t="shared" ca="1" si="13"/>
        <v>5.9910674295836713E-2</v>
      </c>
      <c r="N28" s="92">
        <f t="shared" ca="1" si="14"/>
        <v>0.49588552736301644</v>
      </c>
      <c r="O28" s="92">
        <f t="shared" ca="1" si="15"/>
        <v>1.9911104120781493</v>
      </c>
      <c r="P28" s="25">
        <f t="shared" ca="1" si="16"/>
        <v>-7.1049616795239703E-2</v>
      </c>
      <c r="Q28" s="25"/>
      <c r="R28" s="25"/>
    </row>
    <row r="29" spans="1:19" x14ac:dyDescent="0.2">
      <c r="A29" s="102">
        <v>793.5</v>
      </c>
      <c r="B29" s="102">
        <v>4.1137500375043601E-4</v>
      </c>
      <c r="C29" s="25"/>
      <c r="D29" s="103">
        <f t="shared" si="4"/>
        <v>7.9350000000000004E-2</v>
      </c>
      <c r="E29" s="103">
        <f t="shared" si="5"/>
        <v>4.1137500375043601E-2</v>
      </c>
      <c r="F29" s="92">
        <f t="shared" si="6"/>
        <v>6.2964225000000009E-3</v>
      </c>
      <c r="G29" s="92">
        <f t="shared" si="7"/>
        <v>4.996211253750001E-4</v>
      </c>
      <c r="H29" s="92">
        <f t="shared" si="8"/>
        <v>3.9644936298506265E-5</v>
      </c>
      <c r="I29" s="92">
        <f t="shared" si="9"/>
        <v>3.2642606547597097E-3</v>
      </c>
      <c r="J29" s="92">
        <f t="shared" si="10"/>
        <v>2.5901908295518296E-4</v>
      </c>
      <c r="K29" s="92">
        <f t="shared" ca="1" si="11"/>
        <v>8.3257647027102106E-3</v>
      </c>
      <c r="L29" s="92">
        <f t="shared" ca="1" si="12"/>
        <v>1.0766099978310757E-3</v>
      </c>
      <c r="M29" s="92">
        <f t="shared" ca="1" si="13"/>
        <v>5.898056479380679E-2</v>
      </c>
      <c r="N29" s="92">
        <f t="shared" ca="1" si="14"/>
        <v>0.56592184240198429</v>
      </c>
      <c r="O29" s="92">
        <f t="shared" ca="1" si="15"/>
        <v>2.1575530567126653</v>
      </c>
      <c r="P29" s="25">
        <f t="shared" ca="1" si="16"/>
        <v>3.2811735672333392E-2</v>
      </c>
      <c r="Q29" s="25"/>
      <c r="R29" s="25"/>
    </row>
    <row r="30" spans="1:19" x14ac:dyDescent="0.2">
      <c r="A30" s="102">
        <v>793.5</v>
      </c>
      <c r="B30" s="102">
        <v>5.1137500122422352E-4</v>
      </c>
      <c r="C30" s="25"/>
      <c r="D30" s="103">
        <f t="shared" si="4"/>
        <v>7.9350000000000004E-2</v>
      </c>
      <c r="E30" s="103">
        <f t="shared" si="5"/>
        <v>5.1137500122422352E-2</v>
      </c>
      <c r="F30" s="92">
        <f t="shared" si="6"/>
        <v>6.2964225000000009E-3</v>
      </c>
      <c r="G30" s="92">
        <f t="shared" si="7"/>
        <v>4.996211253750001E-4</v>
      </c>
      <c r="H30" s="92">
        <f t="shared" si="8"/>
        <v>3.9644936298506265E-5</v>
      </c>
      <c r="I30" s="92">
        <f t="shared" si="9"/>
        <v>4.057760634714214E-3</v>
      </c>
      <c r="J30" s="92">
        <f t="shared" si="10"/>
        <v>3.2198330636457289E-4</v>
      </c>
      <c r="K30" s="92">
        <f t="shared" ca="1" si="11"/>
        <v>8.3257647027102106E-3</v>
      </c>
      <c r="L30" s="92">
        <f t="shared" ca="1" si="12"/>
        <v>1.8328446896474352E-3</v>
      </c>
      <c r="M30" s="92">
        <f t="shared" ca="1" si="13"/>
        <v>5.898056479380679E-2</v>
      </c>
      <c r="N30" s="92">
        <f t="shared" ca="1" si="14"/>
        <v>0.56592184240198429</v>
      </c>
      <c r="O30" s="92">
        <f t="shared" ca="1" si="15"/>
        <v>2.1575530567126653</v>
      </c>
      <c r="P30" s="25">
        <f t="shared" ca="1" si="16"/>
        <v>4.2811735419712144E-2</v>
      </c>
      <c r="Q30" s="25"/>
      <c r="R30" s="25"/>
    </row>
    <row r="31" spans="1:19" x14ac:dyDescent="0.2">
      <c r="A31" s="102">
        <v>800</v>
      </c>
      <c r="B31" s="102">
        <v>-3.4859999868785962E-4</v>
      </c>
      <c r="C31" s="25"/>
      <c r="D31" s="103">
        <f t="shared" si="4"/>
        <v>0.08</v>
      </c>
      <c r="E31" s="103">
        <f t="shared" si="5"/>
        <v>-3.4859999868785962E-2</v>
      </c>
      <c r="F31" s="92">
        <f t="shared" si="6"/>
        <v>6.4000000000000003E-3</v>
      </c>
      <c r="G31" s="92">
        <f t="shared" si="7"/>
        <v>5.1200000000000009E-4</v>
      </c>
      <c r="H31" s="92">
        <f t="shared" si="8"/>
        <v>4.0960000000000001E-5</v>
      </c>
      <c r="I31" s="92">
        <f t="shared" si="9"/>
        <v>-2.788799989502877E-3</v>
      </c>
      <c r="J31" s="92">
        <f t="shared" si="10"/>
        <v>-2.2310399916023016E-4</v>
      </c>
      <c r="K31" s="92">
        <f t="shared" ca="1" si="11"/>
        <v>8.7710092137992333E-3</v>
      </c>
      <c r="L31" s="92">
        <f t="shared" ca="1" si="12"/>
        <v>1.9036649535646318E-3</v>
      </c>
      <c r="M31" s="92">
        <f t="shared" ca="1" si="13"/>
        <v>5.8776966817645632E-2</v>
      </c>
      <c r="N31" s="92">
        <f t="shared" ca="1" si="14"/>
        <v>0.5818838867260937</v>
      </c>
      <c r="O31" s="92">
        <f t="shared" ca="1" si="15"/>
        <v>2.1948569710521255</v>
      </c>
      <c r="P31" s="25">
        <f t="shared" ca="1" si="16"/>
        <v>-4.3631009082585194E-2</v>
      </c>
      <c r="Q31" s="25"/>
      <c r="R31" s="25"/>
    </row>
    <row r="32" spans="1:19" x14ac:dyDescent="0.2">
      <c r="A32" s="102">
        <v>802</v>
      </c>
      <c r="B32" s="102">
        <v>1.7910000315168872E-4</v>
      </c>
      <c r="C32" s="25"/>
      <c r="D32" s="103">
        <f t="shared" si="4"/>
        <v>8.0199999999999994E-2</v>
      </c>
      <c r="E32" s="103">
        <f t="shared" si="5"/>
        <v>1.7910000315168872E-2</v>
      </c>
      <c r="F32" s="92">
        <f t="shared" si="6"/>
        <v>6.4320399999999991E-3</v>
      </c>
      <c r="G32" s="92">
        <f t="shared" si="7"/>
        <v>5.1584960799999993E-4</v>
      </c>
      <c r="H32" s="92">
        <f t="shared" si="8"/>
        <v>4.1371138561599986E-5</v>
      </c>
      <c r="I32" s="92">
        <f t="shared" si="9"/>
        <v>1.4363820252765434E-3</v>
      </c>
      <c r="J32" s="92">
        <f t="shared" si="10"/>
        <v>1.1519783842717877E-4</v>
      </c>
      <c r="K32" s="92">
        <f t="shared" ca="1" si="11"/>
        <v>8.9084009412988725E-3</v>
      </c>
      <c r="L32" s="92">
        <f t="shared" ca="1" si="12"/>
        <v>8.1028791287656774E-5</v>
      </c>
      <c r="M32" s="92">
        <f t="shared" ca="1" si="13"/>
        <v>5.8714418472006355E-2</v>
      </c>
      <c r="N32" s="92">
        <f t="shared" ca="1" si="14"/>
        <v>0.58683327455747236</v>
      </c>
      <c r="O32" s="92">
        <f t="shared" ca="1" si="15"/>
        <v>2.2063799017410251</v>
      </c>
      <c r="P32" s="25">
        <f t="shared" ca="1" si="16"/>
        <v>9.0015993738699999E-3</v>
      </c>
      <c r="Q32" s="25"/>
      <c r="R32" s="25"/>
    </row>
    <row r="33" spans="1:18" x14ac:dyDescent="0.2">
      <c r="A33" s="102">
        <v>804</v>
      </c>
      <c r="B33" s="102">
        <v>-3.9320000360021368E-4</v>
      </c>
      <c r="C33" s="25"/>
      <c r="D33" s="103">
        <f t="shared" si="4"/>
        <v>8.0399999999999999E-2</v>
      </c>
      <c r="E33" s="103">
        <f t="shared" si="5"/>
        <v>-3.9320000360021368E-2</v>
      </c>
      <c r="F33" s="92">
        <f t="shared" si="6"/>
        <v>6.46416E-3</v>
      </c>
      <c r="G33" s="92">
        <f t="shared" si="7"/>
        <v>5.1971846399999995E-4</v>
      </c>
      <c r="H33" s="92">
        <f t="shared" si="8"/>
        <v>4.17853645056E-5</v>
      </c>
      <c r="I33" s="92">
        <f t="shared" si="9"/>
        <v>-3.1613280289457179E-3</v>
      </c>
      <c r="J33" s="92">
        <f t="shared" si="10"/>
        <v>-2.5417077352723571E-4</v>
      </c>
      <c r="K33" s="92">
        <f t="shared" ca="1" si="11"/>
        <v>9.0459778059257378E-3</v>
      </c>
      <c r="L33" s="92">
        <f t="shared" ca="1" si="12"/>
        <v>2.3392678439488725E-3</v>
      </c>
      <c r="M33" s="92">
        <f t="shared" ca="1" si="13"/>
        <v>5.8651915826022472E-2</v>
      </c>
      <c r="N33" s="92">
        <f t="shared" ca="1" si="14"/>
        <v>0.59180047016601611</v>
      </c>
      <c r="O33" s="92">
        <f t="shared" ca="1" si="15"/>
        <v>2.2179237901255071</v>
      </c>
      <c r="P33" s="25">
        <f t="shared" ca="1" si="16"/>
        <v>-4.8365978165947107E-2</v>
      </c>
      <c r="Q33" s="25"/>
      <c r="R33" s="25"/>
    </row>
    <row r="34" spans="1:18" x14ac:dyDescent="0.2">
      <c r="A34" s="102">
        <v>856.5</v>
      </c>
      <c r="B34" s="102">
        <v>8.3924998762086034E-5</v>
      </c>
      <c r="C34" s="25"/>
      <c r="D34" s="103">
        <f t="shared" si="4"/>
        <v>8.5650000000000004E-2</v>
      </c>
      <c r="E34" s="103">
        <f t="shared" si="5"/>
        <v>8.3924998762086034E-3</v>
      </c>
      <c r="F34" s="92">
        <f t="shared" si="6"/>
        <v>7.3359225000000005E-3</v>
      </c>
      <c r="G34" s="92">
        <f t="shared" si="7"/>
        <v>6.2832176212500009E-4</v>
      </c>
      <c r="H34" s="92">
        <f t="shared" si="8"/>
        <v>5.381575892600626E-5</v>
      </c>
      <c r="I34" s="92">
        <f t="shared" si="9"/>
        <v>7.1881761439726696E-4</v>
      </c>
      <c r="J34" s="92">
        <f t="shared" si="10"/>
        <v>6.156672867312592E-5</v>
      </c>
      <c r="K34" s="92">
        <f t="shared" ca="1" si="11"/>
        <v>1.2723585953036104E-2</v>
      </c>
      <c r="L34" s="92">
        <f t="shared" ca="1" si="12"/>
        <v>1.8758306604889029E-5</v>
      </c>
      <c r="M34" s="92">
        <f t="shared" ca="1" si="13"/>
        <v>5.7027499475604017E-2</v>
      </c>
      <c r="N34" s="92">
        <f t="shared" ca="1" si="14"/>
        <v>0.72842500132666799</v>
      </c>
      <c r="O34" s="92">
        <f t="shared" ca="1" si="15"/>
        <v>2.5282052278193201</v>
      </c>
      <c r="P34" s="25">
        <f t="shared" ca="1" si="16"/>
        <v>-4.3310860768275006E-3</v>
      </c>
      <c r="Q34" s="25"/>
      <c r="R34" s="25"/>
    </row>
    <row r="35" spans="1:18" x14ac:dyDescent="0.2">
      <c r="A35" s="102">
        <v>882</v>
      </c>
      <c r="B35" s="102">
        <v>9.8710000020219013E-4</v>
      </c>
      <c r="C35" s="25"/>
      <c r="D35" s="103">
        <f t="shared" si="4"/>
        <v>8.8200000000000001E-2</v>
      </c>
      <c r="E35" s="103">
        <f t="shared" si="5"/>
        <v>9.8710000020219013E-2</v>
      </c>
      <c r="F35" s="92">
        <f t="shared" si="6"/>
        <v>7.7792399999999998E-3</v>
      </c>
      <c r="G35" s="92">
        <f t="shared" si="7"/>
        <v>6.8612896799999997E-4</v>
      </c>
      <c r="H35" s="92">
        <f t="shared" si="8"/>
        <v>6.0516574977599998E-5</v>
      </c>
      <c r="I35" s="92">
        <f t="shared" si="9"/>
        <v>8.7062220017833179E-3</v>
      </c>
      <c r="J35" s="92">
        <f t="shared" si="10"/>
        <v>7.6788878055728861E-4</v>
      </c>
      <c r="K35" s="92">
        <f t="shared" ca="1" si="11"/>
        <v>1.4555882485600538E-2</v>
      </c>
      <c r="L35" s="92">
        <f t="shared" ca="1" si="12"/>
        <v>7.0819154980303811E-3</v>
      </c>
      <c r="M35" s="92">
        <f t="shared" ca="1" si="13"/>
        <v>5.6249747506395061E-2</v>
      </c>
      <c r="N35" s="92">
        <f t="shared" ca="1" si="14"/>
        <v>0.79898973826286002</v>
      </c>
      <c r="O35" s="92">
        <f t="shared" ca="1" si="15"/>
        <v>2.6837206918637886</v>
      </c>
      <c r="P35" s="25">
        <f t="shared" ca="1" si="16"/>
        <v>8.4154117534618475E-2</v>
      </c>
      <c r="Q35" s="25"/>
      <c r="R35" s="25"/>
    </row>
    <row r="36" spans="1:18" x14ac:dyDescent="0.2">
      <c r="A36" s="102">
        <v>884</v>
      </c>
      <c r="B36" s="102">
        <v>1.1147999975946732E-3</v>
      </c>
      <c r="C36" s="25"/>
      <c r="D36" s="103">
        <f t="shared" si="4"/>
        <v>8.8400000000000006E-2</v>
      </c>
      <c r="E36" s="103">
        <f t="shared" si="5"/>
        <v>0.11147999975946732</v>
      </c>
      <c r="F36" s="92">
        <f t="shared" si="6"/>
        <v>7.8145600000000016E-3</v>
      </c>
      <c r="G36" s="92">
        <f t="shared" si="7"/>
        <v>6.9080710400000022E-4</v>
      </c>
      <c r="H36" s="92">
        <f t="shared" si="8"/>
        <v>6.1067347993600031E-5</v>
      </c>
      <c r="I36" s="92">
        <f t="shared" si="9"/>
        <v>9.8548319787369124E-3</v>
      </c>
      <c r="J36" s="92">
        <f t="shared" si="10"/>
        <v>8.7116714692034314E-4</v>
      </c>
      <c r="K36" s="92">
        <f t="shared" ca="1" si="11"/>
        <v>1.4700864835315981E-2</v>
      </c>
      <c r="L36" s="92">
        <f t="shared" ca="1" si="12"/>
        <v>9.3662009566670892E-3</v>
      </c>
      <c r="M36" s="92">
        <f t="shared" ca="1" si="13"/>
        <v>5.6189056638110454E-2</v>
      </c>
      <c r="N36" s="92">
        <f t="shared" ca="1" si="14"/>
        <v>0.80463689980132258</v>
      </c>
      <c r="O36" s="92">
        <f t="shared" ca="1" si="15"/>
        <v>2.6960444567539832</v>
      </c>
      <c r="P36" s="25">
        <f t="shared" ca="1" si="16"/>
        <v>9.6779134924151342E-2</v>
      </c>
      <c r="Q36" s="25"/>
      <c r="R36" s="25"/>
    </row>
    <row r="37" spans="1:18" x14ac:dyDescent="0.2">
      <c r="A37" s="102">
        <v>909.5</v>
      </c>
      <c r="B37" s="102">
        <v>1.2179749974166043E-3</v>
      </c>
      <c r="C37" s="25"/>
      <c r="D37" s="103">
        <f t="shared" si="4"/>
        <v>9.0950000000000003E-2</v>
      </c>
      <c r="E37" s="103">
        <f t="shared" si="5"/>
        <v>0.12179749974166043</v>
      </c>
      <c r="F37" s="92">
        <f t="shared" si="6"/>
        <v>8.2719025000000009E-3</v>
      </c>
      <c r="G37" s="92">
        <f t="shared" si="7"/>
        <v>7.5232953237500014E-4</v>
      </c>
      <c r="H37" s="92">
        <f t="shared" si="8"/>
        <v>6.8424370969506261E-5</v>
      </c>
      <c r="I37" s="92">
        <f t="shared" si="9"/>
        <v>1.1077482601504016E-2</v>
      </c>
      <c r="J37" s="92">
        <f t="shared" si="10"/>
        <v>1.0074970426067903E-3</v>
      </c>
      <c r="K37" s="92">
        <f t="shared" ca="1" si="11"/>
        <v>1.6565618220495196E-2</v>
      </c>
      <c r="L37" s="92">
        <f t="shared" ca="1" si="12"/>
        <v>1.1073748888484558E-2</v>
      </c>
      <c r="M37" s="92">
        <f t="shared" ca="1" si="13"/>
        <v>5.5419176243160423E-2</v>
      </c>
      <c r="N37" s="92">
        <f t="shared" ca="1" si="14"/>
        <v>0.87804476630743711</v>
      </c>
      <c r="O37" s="92">
        <f t="shared" ca="1" si="15"/>
        <v>2.8547310222860425</v>
      </c>
      <c r="P37" s="25">
        <f t="shared" ca="1" si="16"/>
        <v>0.10523188152116524</v>
      </c>
      <c r="Q37" s="25"/>
      <c r="R37" s="25"/>
    </row>
    <row r="38" spans="1:18" x14ac:dyDescent="0.2">
      <c r="A38" s="102">
        <v>1498</v>
      </c>
      <c r="B38" s="102">
        <v>-3.8130000029923394E-4</v>
      </c>
      <c r="C38" s="25"/>
      <c r="D38" s="103">
        <f t="shared" si="4"/>
        <v>0.14979999999999999</v>
      </c>
      <c r="E38" s="103">
        <f t="shared" si="5"/>
        <v>-3.8130000029923394E-2</v>
      </c>
      <c r="F38" s="92">
        <f t="shared" si="6"/>
        <v>2.2440039999999998E-2</v>
      </c>
      <c r="G38" s="92">
        <f t="shared" si="7"/>
        <v>3.3615179919999996E-3</v>
      </c>
      <c r="H38" s="92">
        <f t="shared" si="8"/>
        <v>5.0355539520159989E-4</v>
      </c>
      <c r="I38" s="92">
        <f t="shared" si="9"/>
        <v>-5.7118740044825242E-3</v>
      </c>
      <c r="J38" s="92">
        <f t="shared" si="10"/>
        <v>-8.556387258714821E-4</v>
      </c>
      <c r="K38" s="92">
        <f t="shared" ca="1" si="11"/>
        <v>6.7963359298399431E-2</v>
      </c>
      <c r="L38" s="92">
        <f t="shared" ca="1" si="12"/>
        <v>1.1255800893568623E-2</v>
      </c>
      <c r="M38" s="92">
        <f t="shared" ca="1" si="13"/>
        <v>3.9585942682354963E-2</v>
      </c>
      <c r="N38" s="92">
        <f t="shared" ca="1" si="14"/>
        <v>3.1265564033557158</v>
      </c>
      <c r="O38" s="92">
        <f t="shared" ca="1" si="15"/>
        <v>7.0181453684810071</v>
      </c>
      <c r="P38" s="25">
        <f t="shared" ca="1" si="16"/>
        <v>-0.10609335932832283</v>
      </c>
      <c r="Q38" s="25"/>
      <c r="R38" s="25"/>
    </row>
    <row r="39" spans="1:18" x14ac:dyDescent="0.2">
      <c r="A39" s="102">
        <v>1506.5</v>
      </c>
      <c r="B39" s="102">
        <v>-1.2135750002926216E-3</v>
      </c>
      <c r="C39" s="25"/>
      <c r="D39" s="103">
        <f t="shared" si="4"/>
        <v>0.15065000000000001</v>
      </c>
      <c r="E39" s="103">
        <f t="shared" si="5"/>
        <v>-0.12135750002926216</v>
      </c>
      <c r="F39" s="92">
        <f t="shared" si="6"/>
        <v>2.2695422500000003E-2</v>
      </c>
      <c r="G39" s="92">
        <f t="shared" si="7"/>
        <v>3.4190653996250004E-3</v>
      </c>
      <c r="H39" s="92">
        <f t="shared" si="8"/>
        <v>5.1508220245350636E-4</v>
      </c>
      <c r="I39" s="92">
        <f t="shared" si="9"/>
        <v>-1.8282507379408345E-2</v>
      </c>
      <c r="J39" s="92">
        <f t="shared" si="10"/>
        <v>-2.7542597367078672E-3</v>
      </c>
      <c r="K39" s="92">
        <f t="shared" ca="1" si="11"/>
        <v>6.8823157387498571E-2</v>
      </c>
      <c r="L39" s="92">
        <f t="shared" ca="1" si="12"/>
        <v>3.61686824554713E-2</v>
      </c>
      <c r="M39" s="92">
        <f t="shared" ca="1" si="13"/>
        <v>3.9383168398752229E-2</v>
      </c>
      <c r="N39" s="92">
        <f t="shared" ca="1" si="14"/>
        <v>3.1645293664272978</v>
      </c>
      <c r="O39" s="92">
        <f t="shared" ca="1" si="15"/>
        <v>7.0813279968905274</v>
      </c>
      <c r="P39" s="25">
        <f t="shared" ca="1" si="16"/>
        <v>-0.19018065741676071</v>
      </c>
      <c r="Q39" s="25"/>
      <c r="R39" s="25"/>
    </row>
    <row r="40" spans="1:18" x14ac:dyDescent="0.2">
      <c r="A40" s="102">
        <v>1583</v>
      </c>
      <c r="B40" s="102">
        <v>3.559500037226826E-4</v>
      </c>
      <c r="C40" s="25"/>
      <c r="D40" s="103">
        <f t="shared" si="4"/>
        <v>0.1583</v>
      </c>
      <c r="E40" s="103">
        <f t="shared" si="5"/>
        <v>3.559500037226826E-2</v>
      </c>
      <c r="F40" s="92">
        <f t="shared" si="6"/>
        <v>2.505889E-2</v>
      </c>
      <c r="G40" s="92">
        <f t="shared" si="7"/>
        <v>3.9668222870000002E-3</v>
      </c>
      <c r="H40" s="92">
        <f t="shared" si="8"/>
        <v>6.2794796803210002E-4</v>
      </c>
      <c r="I40" s="92">
        <f t="shared" si="9"/>
        <v>5.6346885589300651E-3</v>
      </c>
      <c r="J40" s="92">
        <f t="shared" si="10"/>
        <v>8.9197119887862925E-4</v>
      </c>
      <c r="K40" s="92">
        <f t="shared" ca="1" si="11"/>
        <v>7.6711821960604748E-2</v>
      </c>
      <c r="L40" s="92">
        <f t="shared" ca="1" si="12"/>
        <v>1.6905930175270935E-3</v>
      </c>
      <c r="M40" s="92">
        <f t="shared" ca="1" si="13"/>
        <v>3.7589699359236908E-2</v>
      </c>
      <c r="N40" s="92">
        <f t="shared" ca="1" si="14"/>
        <v>3.5103570139655833</v>
      </c>
      <c r="O40" s="92">
        <f t="shared" ca="1" si="15"/>
        <v>7.6488035559108827</v>
      </c>
      <c r="P40" s="25">
        <f t="shared" ca="1" si="16"/>
        <v>-4.1116821588336488E-2</v>
      </c>
      <c r="Q40" s="25"/>
      <c r="R40" s="25"/>
    </row>
    <row r="41" spans="1:18" x14ac:dyDescent="0.2">
      <c r="A41" s="102">
        <v>5624</v>
      </c>
      <c r="B41" s="102">
        <v>7.6638000027742237E-3</v>
      </c>
      <c r="C41" s="25"/>
      <c r="D41" s="103">
        <f t="shared" si="4"/>
        <v>0.56240000000000001</v>
      </c>
      <c r="E41" s="103">
        <f t="shared" si="5"/>
        <v>0.76638000027742237</v>
      </c>
      <c r="F41" s="92">
        <f t="shared" si="6"/>
        <v>0.31629376000000003</v>
      </c>
      <c r="G41" s="92">
        <f t="shared" si="7"/>
        <v>0.17788361062400002</v>
      </c>
      <c r="H41" s="92">
        <f t="shared" si="8"/>
        <v>0.10004174261493762</v>
      </c>
      <c r="I41" s="92">
        <f t="shared" si="9"/>
        <v>0.43101211215602236</v>
      </c>
      <c r="J41" s="92">
        <f t="shared" si="10"/>
        <v>0.24240121187654698</v>
      </c>
      <c r="K41" s="92">
        <f t="shared" ca="1" si="11"/>
        <v>0.87847678608203827</v>
      </c>
      <c r="L41" s="92">
        <f t="shared" ca="1" si="12"/>
        <v>1.2565689387725938E-2</v>
      </c>
      <c r="M41" s="92">
        <f t="shared" ca="1" si="13"/>
        <v>3.2020832868462248E-5</v>
      </c>
      <c r="N41" s="92">
        <f t="shared" ca="1" si="14"/>
        <v>6.8307915219168009</v>
      </c>
      <c r="O41" s="92">
        <f t="shared" ca="1" si="15"/>
        <v>3.4514738445825288</v>
      </c>
      <c r="P41" s="25">
        <f t="shared" ca="1" si="16"/>
        <v>-0.11209678580461591</v>
      </c>
      <c r="Q41" s="25"/>
      <c r="R41" s="25"/>
    </row>
    <row r="42" spans="1:18" x14ac:dyDescent="0.2">
      <c r="A42" s="102">
        <v>5624</v>
      </c>
      <c r="B42" s="102">
        <v>1.1663800003589131E-2</v>
      </c>
      <c r="C42" s="25"/>
      <c r="D42" s="103">
        <f t="shared" si="4"/>
        <v>0.56240000000000001</v>
      </c>
      <c r="E42" s="103">
        <f t="shared" si="5"/>
        <v>1.1663800003589131</v>
      </c>
      <c r="F42" s="92">
        <f t="shared" si="6"/>
        <v>0.31629376000000003</v>
      </c>
      <c r="G42" s="92">
        <f t="shared" si="7"/>
        <v>0.17788361062400002</v>
      </c>
      <c r="H42" s="92">
        <f t="shared" si="8"/>
        <v>0.10004174261493762</v>
      </c>
      <c r="I42" s="92">
        <f t="shared" si="9"/>
        <v>0.6559721122018527</v>
      </c>
      <c r="J42" s="92">
        <f t="shared" si="10"/>
        <v>0.36891871590232195</v>
      </c>
      <c r="K42" s="92">
        <f t="shared" ca="1" si="11"/>
        <v>0.87847678608203827</v>
      </c>
      <c r="L42" s="92">
        <f t="shared" ca="1" si="12"/>
        <v>8.2888260790956098E-2</v>
      </c>
      <c r="M42" s="92">
        <f t="shared" ca="1" si="13"/>
        <v>3.2020832868462248E-5</v>
      </c>
      <c r="N42" s="92">
        <f t="shared" ca="1" si="14"/>
        <v>6.8307915219168009</v>
      </c>
      <c r="O42" s="92">
        <f t="shared" ca="1" si="15"/>
        <v>3.4514738445825288</v>
      </c>
      <c r="P42" s="25">
        <f t="shared" ca="1" si="16"/>
        <v>0.28790321427687482</v>
      </c>
      <c r="Q42" s="25"/>
      <c r="R42" s="25"/>
    </row>
    <row r="43" spans="1:18" x14ac:dyDescent="0.2">
      <c r="A43" s="102">
        <v>7214</v>
      </c>
      <c r="B43" s="102">
        <v>1.4065299998037517E-2</v>
      </c>
      <c r="C43" s="25"/>
      <c r="D43" s="103">
        <f t="shared" si="4"/>
        <v>0.72140000000000004</v>
      </c>
      <c r="E43" s="103">
        <f t="shared" si="5"/>
        <v>1.4065299998037517</v>
      </c>
      <c r="F43" s="92">
        <f t="shared" si="6"/>
        <v>0.52041796000000007</v>
      </c>
      <c r="G43" s="92">
        <f t="shared" si="7"/>
        <v>0.37542951634400007</v>
      </c>
      <c r="H43" s="92">
        <f t="shared" si="8"/>
        <v>0.27083485309056166</v>
      </c>
      <c r="I43" s="92">
        <f t="shared" si="9"/>
        <v>1.0146707418584267</v>
      </c>
      <c r="J43" s="92">
        <f t="shared" si="10"/>
        <v>0.73198347317666901</v>
      </c>
      <c r="K43" s="92">
        <f t="shared" ca="1" si="11"/>
        <v>1.401143110768813</v>
      </c>
      <c r="L43" s="92">
        <f t="shared" ca="1" si="12"/>
        <v>2.9018573474742465E-5</v>
      </c>
      <c r="M43" s="92">
        <f t="shared" ca="1" si="13"/>
        <v>1.5797996937827192E-3</v>
      </c>
      <c r="N43" s="92">
        <f t="shared" ca="1" si="14"/>
        <v>0.37412347798438078</v>
      </c>
      <c r="O43" s="92">
        <f t="shared" ca="1" si="15"/>
        <v>3.8424622522522269</v>
      </c>
      <c r="P43" s="25">
        <f t="shared" ca="1" si="16"/>
        <v>5.3868890349386689E-3</v>
      </c>
      <c r="Q43" s="25"/>
      <c r="R43" s="25"/>
    </row>
    <row r="44" spans="1:18" x14ac:dyDescent="0.2">
      <c r="A44" s="102">
        <v>8638</v>
      </c>
      <c r="B44" s="102">
        <v>1.8947700002172496E-2</v>
      </c>
      <c r="C44" s="25"/>
      <c r="D44" s="103">
        <f t="shared" si="4"/>
        <v>0.86380000000000001</v>
      </c>
      <c r="E44" s="103">
        <f t="shared" si="5"/>
        <v>1.8947700002172496</v>
      </c>
      <c r="F44" s="92">
        <f t="shared" si="6"/>
        <v>0.74615043999999997</v>
      </c>
      <c r="G44" s="92">
        <f t="shared" si="7"/>
        <v>0.64452475007199994</v>
      </c>
      <c r="H44" s="92">
        <f t="shared" si="8"/>
        <v>0.5567404791121936</v>
      </c>
      <c r="I44" s="92">
        <f t="shared" si="9"/>
        <v>1.6367023261876603</v>
      </c>
      <c r="J44" s="92">
        <f t="shared" si="10"/>
        <v>1.413783469360901</v>
      </c>
      <c r="K44" s="92">
        <f t="shared" ca="1" si="11"/>
        <v>1.9685663439279808</v>
      </c>
      <c r="L44" s="92">
        <f t="shared" ca="1" si="12"/>
        <v>5.4459003450723735E-3</v>
      </c>
      <c r="M44" s="92">
        <f t="shared" ca="1" si="13"/>
        <v>4.4456782096267853E-3</v>
      </c>
      <c r="N44" s="92">
        <f t="shared" ca="1" si="14"/>
        <v>5.200650733147187</v>
      </c>
      <c r="O44" s="92">
        <f t="shared" ca="1" si="15"/>
        <v>49.54273196272262</v>
      </c>
      <c r="P44" s="25">
        <f t="shared" ca="1" si="16"/>
        <v>-7.3796343710731183E-2</v>
      </c>
      <c r="Q44" s="25"/>
      <c r="R44" s="25"/>
    </row>
    <row r="45" spans="1:18" x14ac:dyDescent="0.2">
      <c r="A45" s="102"/>
      <c r="B45" s="102"/>
      <c r="C45" s="25"/>
      <c r="D45" s="103">
        <f t="shared" si="4"/>
        <v>0</v>
      </c>
      <c r="E45" s="103">
        <f t="shared" si="5"/>
        <v>0</v>
      </c>
      <c r="F45" s="92">
        <f t="shared" si="6"/>
        <v>0</v>
      </c>
      <c r="G45" s="92">
        <f t="shared" si="7"/>
        <v>0</v>
      </c>
      <c r="H45" s="92">
        <f t="shared" si="8"/>
        <v>0</v>
      </c>
      <c r="I45" s="92">
        <f t="shared" si="9"/>
        <v>0</v>
      </c>
      <c r="J45" s="92">
        <f t="shared" si="10"/>
        <v>0</v>
      </c>
      <c r="K45" s="92">
        <f t="shared" ca="1" si="11"/>
        <v>-3.1337684183461105E-2</v>
      </c>
      <c r="L45" s="92">
        <f t="shared" ca="1" si="12"/>
        <v>9.8205044998234841E-4</v>
      </c>
      <c r="M45" s="92">
        <f t="shared" ca="1" si="13"/>
        <v>8.7678651800552426E-2</v>
      </c>
      <c r="N45" s="92">
        <f t="shared" ca="1" si="14"/>
        <v>0.4850151893449447</v>
      </c>
      <c r="O45" s="92">
        <f t="shared" ca="1" si="15"/>
        <v>0.10242284941366221</v>
      </c>
      <c r="P45" s="25">
        <f t="shared" ca="1" si="16"/>
        <v>3.1337684183461105E-2</v>
      </c>
      <c r="Q45" s="25"/>
      <c r="R45" s="25"/>
    </row>
    <row r="46" spans="1:18" x14ac:dyDescent="0.2">
      <c r="A46" s="102"/>
      <c r="B46" s="102"/>
      <c r="C46" s="25"/>
      <c r="D46" s="103">
        <f t="shared" si="4"/>
        <v>0</v>
      </c>
      <c r="E46" s="103">
        <f t="shared" si="5"/>
        <v>0</v>
      </c>
      <c r="F46" s="92">
        <f t="shared" si="6"/>
        <v>0</v>
      </c>
      <c r="G46" s="92">
        <f t="shared" si="7"/>
        <v>0</v>
      </c>
      <c r="H46" s="92">
        <f t="shared" si="8"/>
        <v>0</v>
      </c>
      <c r="I46" s="92">
        <f t="shared" si="9"/>
        <v>0</v>
      </c>
      <c r="J46" s="92">
        <f t="shared" si="10"/>
        <v>0</v>
      </c>
      <c r="K46" s="92">
        <f t="shared" ca="1" si="11"/>
        <v>-3.1337684183461105E-2</v>
      </c>
      <c r="L46" s="92">
        <f t="shared" ca="1" si="12"/>
        <v>9.8205044998234841E-4</v>
      </c>
      <c r="M46" s="92">
        <f t="shared" ca="1" si="13"/>
        <v>8.7678651800552426E-2</v>
      </c>
      <c r="N46" s="92">
        <f t="shared" ca="1" si="14"/>
        <v>0.4850151893449447</v>
      </c>
      <c r="O46" s="92">
        <f t="shared" ca="1" si="15"/>
        <v>0.10242284941366221</v>
      </c>
      <c r="P46" s="25">
        <f t="shared" ca="1" si="16"/>
        <v>3.1337684183461105E-2</v>
      </c>
      <c r="Q46" s="25"/>
      <c r="R46" s="25"/>
    </row>
    <row r="47" spans="1:18" x14ac:dyDescent="0.2">
      <c r="A47" s="102"/>
      <c r="B47" s="102"/>
      <c r="C47" s="25"/>
      <c r="D47" s="103">
        <f t="shared" si="4"/>
        <v>0</v>
      </c>
      <c r="E47" s="103">
        <f t="shared" si="5"/>
        <v>0</v>
      </c>
      <c r="F47" s="92">
        <f t="shared" si="6"/>
        <v>0</v>
      </c>
      <c r="G47" s="92">
        <f t="shared" si="7"/>
        <v>0</v>
      </c>
      <c r="H47" s="92">
        <f t="shared" si="8"/>
        <v>0</v>
      </c>
      <c r="I47" s="92">
        <f t="shared" si="9"/>
        <v>0</v>
      </c>
      <c r="J47" s="92">
        <f t="shared" si="10"/>
        <v>0</v>
      </c>
      <c r="K47" s="92">
        <f t="shared" ca="1" si="11"/>
        <v>-3.1337684183461105E-2</v>
      </c>
      <c r="L47" s="92">
        <f t="shared" ca="1" si="12"/>
        <v>9.8205044998234841E-4</v>
      </c>
      <c r="M47" s="92">
        <f t="shared" ca="1" si="13"/>
        <v>8.7678651800552426E-2</v>
      </c>
      <c r="N47" s="92">
        <f t="shared" ca="1" si="14"/>
        <v>0.4850151893449447</v>
      </c>
      <c r="O47" s="92">
        <f t="shared" ca="1" si="15"/>
        <v>0.10242284941366221</v>
      </c>
      <c r="P47" s="25">
        <f t="shared" ca="1" si="16"/>
        <v>3.1337684183461105E-2</v>
      </c>
      <c r="Q47" s="25"/>
      <c r="R47" s="25"/>
    </row>
    <row r="48" spans="1:18" x14ac:dyDescent="0.2">
      <c r="A48" s="102"/>
      <c r="B48" s="102"/>
      <c r="C48" s="25"/>
      <c r="D48" s="103">
        <f t="shared" si="4"/>
        <v>0</v>
      </c>
      <c r="E48" s="103">
        <f t="shared" si="5"/>
        <v>0</v>
      </c>
      <c r="F48" s="92">
        <f t="shared" si="6"/>
        <v>0</v>
      </c>
      <c r="G48" s="92">
        <f t="shared" si="7"/>
        <v>0</v>
      </c>
      <c r="H48" s="92">
        <f t="shared" si="8"/>
        <v>0</v>
      </c>
      <c r="I48" s="92">
        <f t="shared" si="9"/>
        <v>0</v>
      </c>
      <c r="J48" s="92">
        <f t="shared" si="10"/>
        <v>0</v>
      </c>
      <c r="K48" s="92">
        <f t="shared" ca="1" si="11"/>
        <v>-3.1337684183461105E-2</v>
      </c>
      <c r="L48" s="92">
        <f t="shared" ca="1" si="12"/>
        <v>9.8205044998234841E-4</v>
      </c>
      <c r="M48" s="92">
        <f t="shared" ca="1" si="13"/>
        <v>8.7678651800552426E-2</v>
      </c>
      <c r="N48" s="92">
        <f t="shared" ca="1" si="14"/>
        <v>0.4850151893449447</v>
      </c>
      <c r="O48" s="92">
        <f t="shared" ca="1" si="15"/>
        <v>0.10242284941366221</v>
      </c>
      <c r="P48" s="25">
        <f t="shared" ca="1" si="16"/>
        <v>3.1337684183461105E-2</v>
      </c>
      <c r="Q48" s="25"/>
      <c r="R48" s="25"/>
    </row>
    <row r="49" spans="1:18" x14ac:dyDescent="0.2">
      <c r="A49" s="102"/>
      <c r="B49" s="102"/>
      <c r="C49" s="25"/>
      <c r="D49" s="103">
        <f t="shared" si="4"/>
        <v>0</v>
      </c>
      <c r="E49" s="103">
        <f t="shared" si="5"/>
        <v>0</v>
      </c>
      <c r="F49" s="92">
        <f t="shared" si="6"/>
        <v>0</v>
      </c>
      <c r="G49" s="92">
        <f t="shared" si="7"/>
        <v>0</v>
      </c>
      <c r="H49" s="92">
        <f t="shared" si="8"/>
        <v>0</v>
      </c>
      <c r="I49" s="92">
        <f t="shared" si="9"/>
        <v>0</v>
      </c>
      <c r="J49" s="92">
        <f t="shared" si="10"/>
        <v>0</v>
      </c>
      <c r="K49" s="92">
        <f t="shared" ca="1" si="11"/>
        <v>-3.1337684183461105E-2</v>
      </c>
      <c r="L49" s="92">
        <f t="shared" ca="1" si="12"/>
        <v>9.8205044998234841E-4</v>
      </c>
      <c r="M49" s="92">
        <f t="shared" ca="1" si="13"/>
        <v>8.7678651800552426E-2</v>
      </c>
      <c r="N49" s="92">
        <f t="shared" ca="1" si="14"/>
        <v>0.4850151893449447</v>
      </c>
      <c r="O49" s="92">
        <f t="shared" ca="1" si="15"/>
        <v>0.10242284941366221</v>
      </c>
      <c r="P49" s="25">
        <f t="shared" ca="1" si="16"/>
        <v>3.1337684183461105E-2</v>
      </c>
      <c r="Q49" s="25"/>
      <c r="R49" s="25"/>
    </row>
    <row r="50" spans="1:18" x14ac:dyDescent="0.2">
      <c r="A50" s="102"/>
      <c r="B50" s="102"/>
      <c r="C50" s="25"/>
      <c r="D50" s="103">
        <f t="shared" si="4"/>
        <v>0</v>
      </c>
      <c r="E50" s="103">
        <f t="shared" si="5"/>
        <v>0</v>
      </c>
      <c r="F50" s="92">
        <f t="shared" si="6"/>
        <v>0</v>
      </c>
      <c r="G50" s="92">
        <f t="shared" si="7"/>
        <v>0</v>
      </c>
      <c r="H50" s="92">
        <f t="shared" si="8"/>
        <v>0</v>
      </c>
      <c r="I50" s="92">
        <f t="shared" si="9"/>
        <v>0</v>
      </c>
      <c r="J50" s="92">
        <f t="shared" si="10"/>
        <v>0</v>
      </c>
      <c r="K50" s="92">
        <f t="shared" ca="1" si="11"/>
        <v>-3.1337684183461105E-2</v>
      </c>
      <c r="L50" s="92">
        <f t="shared" ca="1" si="12"/>
        <v>9.8205044998234841E-4</v>
      </c>
      <c r="M50" s="92">
        <f t="shared" ca="1" si="13"/>
        <v>8.7678651800552426E-2</v>
      </c>
      <c r="N50" s="92">
        <f t="shared" ca="1" si="14"/>
        <v>0.4850151893449447</v>
      </c>
      <c r="O50" s="92">
        <f t="shared" ca="1" si="15"/>
        <v>0.10242284941366221</v>
      </c>
      <c r="P50" s="25">
        <f t="shared" ca="1" si="16"/>
        <v>3.1337684183461105E-2</v>
      </c>
      <c r="Q50" s="25"/>
      <c r="R50" s="25"/>
    </row>
    <row r="51" spans="1:18" x14ac:dyDescent="0.2">
      <c r="A51" s="102"/>
      <c r="B51" s="102"/>
      <c r="C51" s="25"/>
      <c r="D51" s="103">
        <f t="shared" si="4"/>
        <v>0</v>
      </c>
      <c r="E51" s="103">
        <f t="shared" si="5"/>
        <v>0</v>
      </c>
      <c r="F51" s="92">
        <f t="shared" si="6"/>
        <v>0</v>
      </c>
      <c r="G51" s="92">
        <f t="shared" si="7"/>
        <v>0</v>
      </c>
      <c r="H51" s="92">
        <f t="shared" si="8"/>
        <v>0</v>
      </c>
      <c r="I51" s="92">
        <f t="shared" si="9"/>
        <v>0</v>
      </c>
      <c r="J51" s="92">
        <f t="shared" si="10"/>
        <v>0</v>
      </c>
      <c r="K51" s="92">
        <f t="shared" ca="1" si="11"/>
        <v>-3.1337684183461105E-2</v>
      </c>
      <c r="L51" s="92">
        <f t="shared" ca="1" si="12"/>
        <v>9.8205044998234841E-4</v>
      </c>
      <c r="M51" s="92">
        <f t="shared" ca="1" si="13"/>
        <v>8.7678651800552426E-2</v>
      </c>
      <c r="N51" s="92">
        <f t="shared" ca="1" si="14"/>
        <v>0.4850151893449447</v>
      </c>
      <c r="O51" s="92">
        <f t="shared" ca="1" si="15"/>
        <v>0.10242284941366221</v>
      </c>
      <c r="P51" s="25">
        <f t="shared" ca="1" si="16"/>
        <v>3.1337684183461105E-2</v>
      </c>
      <c r="Q51" s="25"/>
      <c r="R51" s="25"/>
    </row>
    <row r="52" spans="1:18" x14ac:dyDescent="0.2">
      <c r="A52" s="102"/>
      <c r="B52" s="102"/>
      <c r="C52" s="25"/>
      <c r="D52" s="103">
        <f t="shared" ref="D52:D83" si="17">A52/A$18</f>
        <v>0</v>
      </c>
      <c r="E52" s="103">
        <f t="shared" ref="E52:E83" si="18">B52/B$18</f>
        <v>0</v>
      </c>
      <c r="F52" s="92">
        <f t="shared" ref="F52:F83" si="19">D52*D52</f>
        <v>0</v>
      </c>
      <c r="G52" s="92">
        <f t="shared" ref="G52:G83" si="20">D52*F52</f>
        <v>0</v>
      </c>
      <c r="H52" s="92">
        <f t="shared" ref="H52:H83" si="21">F52*F52</f>
        <v>0</v>
      </c>
      <c r="I52" s="92">
        <f t="shared" ref="I52:I83" si="22">E52*D52</f>
        <v>0</v>
      </c>
      <c r="J52" s="92">
        <f t="shared" ref="J52:J83" si="23">I52*D52</f>
        <v>0</v>
      </c>
      <c r="K52" s="92">
        <f t="shared" ref="K52:K83" ca="1" si="24">+E$4+E$5*D52+E$6*D52^2</f>
        <v>-3.1337684183461105E-2</v>
      </c>
      <c r="L52" s="92">
        <f t="shared" ref="L52:L83" ca="1" si="25">+(K52-E52)^2</f>
        <v>9.8205044998234841E-4</v>
      </c>
      <c r="M52" s="92">
        <f t="shared" ref="M52:M83" ca="1" si="26">(M$1-M$2*D52+M$3*F52)^2</f>
        <v>8.7678651800552426E-2</v>
      </c>
      <c r="N52" s="92">
        <f t="shared" ref="N52:N83" ca="1" si="27">(-M$2+M$4*D52-M$5*F52)^2</f>
        <v>0.4850151893449447</v>
      </c>
      <c r="O52" s="92">
        <f t="shared" ref="O52:O83" ca="1" si="28">+(M$3-D52*M$5+F52*M$6)^2</f>
        <v>0.10242284941366221</v>
      </c>
      <c r="P52" s="25">
        <f t="shared" ref="P52:P83" ca="1" si="29">+E52-K52</f>
        <v>3.1337684183461105E-2</v>
      </c>
      <c r="Q52" s="25"/>
      <c r="R52" s="25"/>
    </row>
    <row r="53" spans="1:18" x14ac:dyDescent="0.2">
      <c r="A53" s="102"/>
      <c r="B53" s="102"/>
      <c r="C53" s="25"/>
      <c r="D53" s="103">
        <f t="shared" si="17"/>
        <v>0</v>
      </c>
      <c r="E53" s="103">
        <f t="shared" si="18"/>
        <v>0</v>
      </c>
      <c r="F53" s="92">
        <f t="shared" si="19"/>
        <v>0</v>
      </c>
      <c r="G53" s="92">
        <f t="shared" si="20"/>
        <v>0</v>
      </c>
      <c r="H53" s="92">
        <f t="shared" si="21"/>
        <v>0</v>
      </c>
      <c r="I53" s="92">
        <f t="shared" si="22"/>
        <v>0</v>
      </c>
      <c r="J53" s="92">
        <f t="shared" si="23"/>
        <v>0</v>
      </c>
      <c r="K53" s="92">
        <f t="shared" ca="1" si="24"/>
        <v>-3.1337684183461105E-2</v>
      </c>
      <c r="L53" s="92">
        <f t="shared" ca="1" si="25"/>
        <v>9.8205044998234841E-4</v>
      </c>
      <c r="M53" s="92">
        <f t="shared" ca="1" si="26"/>
        <v>8.7678651800552426E-2</v>
      </c>
      <c r="N53" s="92">
        <f t="shared" ca="1" si="27"/>
        <v>0.4850151893449447</v>
      </c>
      <c r="O53" s="92">
        <f t="shared" ca="1" si="28"/>
        <v>0.10242284941366221</v>
      </c>
      <c r="P53" s="25">
        <f t="shared" ca="1" si="29"/>
        <v>3.1337684183461105E-2</v>
      </c>
      <c r="Q53" s="25"/>
      <c r="R53" s="25"/>
    </row>
    <row r="54" spans="1:18" x14ac:dyDescent="0.2">
      <c r="A54" s="102"/>
      <c r="B54" s="102"/>
      <c r="C54" s="25"/>
      <c r="D54" s="103">
        <f t="shared" si="17"/>
        <v>0</v>
      </c>
      <c r="E54" s="103">
        <f t="shared" si="18"/>
        <v>0</v>
      </c>
      <c r="F54" s="92">
        <f t="shared" si="19"/>
        <v>0</v>
      </c>
      <c r="G54" s="92">
        <f t="shared" si="20"/>
        <v>0</v>
      </c>
      <c r="H54" s="92">
        <f t="shared" si="21"/>
        <v>0</v>
      </c>
      <c r="I54" s="92">
        <f t="shared" si="22"/>
        <v>0</v>
      </c>
      <c r="J54" s="92">
        <f t="shared" si="23"/>
        <v>0</v>
      </c>
      <c r="K54" s="92">
        <f t="shared" ca="1" si="24"/>
        <v>-3.1337684183461105E-2</v>
      </c>
      <c r="L54" s="92">
        <f t="shared" ca="1" si="25"/>
        <v>9.8205044998234841E-4</v>
      </c>
      <c r="M54" s="92">
        <f t="shared" ca="1" si="26"/>
        <v>8.7678651800552426E-2</v>
      </c>
      <c r="N54" s="92">
        <f t="shared" ca="1" si="27"/>
        <v>0.4850151893449447</v>
      </c>
      <c r="O54" s="92">
        <f t="shared" ca="1" si="28"/>
        <v>0.10242284941366221</v>
      </c>
      <c r="P54" s="25">
        <f t="shared" ca="1" si="29"/>
        <v>3.1337684183461105E-2</v>
      </c>
      <c r="Q54" s="25"/>
      <c r="R54" s="25"/>
    </row>
    <row r="55" spans="1:18" x14ac:dyDescent="0.2">
      <c r="A55" s="102"/>
      <c r="B55" s="102"/>
      <c r="C55" s="25"/>
      <c r="D55" s="103">
        <f t="shared" si="17"/>
        <v>0</v>
      </c>
      <c r="E55" s="103">
        <f t="shared" si="18"/>
        <v>0</v>
      </c>
      <c r="F55" s="92">
        <f t="shared" si="19"/>
        <v>0</v>
      </c>
      <c r="G55" s="92">
        <f t="shared" si="20"/>
        <v>0</v>
      </c>
      <c r="H55" s="92">
        <f t="shared" si="21"/>
        <v>0</v>
      </c>
      <c r="I55" s="92">
        <f t="shared" si="22"/>
        <v>0</v>
      </c>
      <c r="J55" s="92">
        <f t="shared" si="23"/>
        <v>0</v>
      </c>
      <c r="K55" s="92">
        <f t="shared" ca="1" si="24"/>
        <v>-3.1337684183461105E-2</v>
      </c>
      <c r="L55" s="92">
        <f t="shared" ca="1" si="25"/>
        <v>9.8205044998234841E-4</v>
      </c>
      <c r="M55" s="92">
        <f t="shared" ca="1" si="26"/>
        <v>8.7678651800552426E-2</v>
      </c>
      <c r="N55" s="92">
        <f t="shared" ca="1" si="27"/>
        <v>0.4850151893449447</v>
      </c>
      <c r="O55" s="92">
        <f t="shared" ca="1" si="28"/>
        <v>0.10242284941366221</v>
      </c>
      <c r="P55" s="25">
        <f t="shared" ca="1" si="29"/>
        <v>3.1337684183461105E-2</v>
      </c>
      <c r="Q55" s="25"/>
      <c r="R55" s="25"/>
    </row>
    <row r="56" spans="1:18" x14ac:dyDescent="0.2">
      <c r="A56" s="102"/>
      <c r="B56" s="102"/>
      <c r="C56" s="25"/>
      <c r="D56" s="103">
        <f t="shared" si="17"/>
        <v>0</v>
      </c>
      <c r="E56" s="103">
        <f t="shared" si="18"/>
        <v>0</v>
      </c>
      <c r="F56" s="92">
        <f t="shared" si="19"/>
        <v>0</v>
      </c>
      <c r="G56" s="92">
        <f t="shared" si="20"/>
        <v>0</v>
      </c>
      <c r="H56" s="92">
        <f t="shared" si="21"/>
        <v>0</v>
      </c>
      <c r="I56" s="92">
        <f t="shared" si="22"/>
        <v>0</v>
      </c>
      <c r="J56" s="92">
        <f t="shared" si="23"/>
        <v>0</v>
      </c>
      <c r="K56" s="92">
        <f t="shared" ca="1" si="24"/>
        <v>-3.1337684183461105E-2</v>
      </c>
      <c r="L56" s="92">
        <f t="shared" ca="1" si="25"/>
        <v>9.8205044998234841E-4</v>
      </c>
      <c r="M56" s="92">
        <f t="shared" ca="1" si="26"/>
        <v>8.7678651800552426E-2</v>
      </c>
      <c r="N56" s="92">
        <f t="shared" ca="1" si="27"/>
        <v>0.4850151893449447</v>
      </c>
      <c r="O56" s="92">
        <f t="shared" ca="1" si="28"/>
        <v>0.10242284941366221</v>
      </c>
      <c r="P56" s="25">
        <f t="shared" ca="1" si="29"/>
        <v>3.1337684183461105E-2</v>
      </c>
      <c r="Q56" s="25"/>
      <c r="R56" s="25"/>
    </row>
    <row r="57" spans="1:18" x14ac:dyDescent="0.2">
      <c r="A57" s="102"/>
      <c r="B57" s="102"/>
      <c r="C57" s="25"/>
      <c r="D57" s="103">
        <f t="shared" si="17"/>
        <v>0</v>
      </c>
      <c r="E57" s="103">
        <f t="shared" si="18"/>
        <v>0</v>
      </c>
      <c r="F57" s="92">
        <f t="shared" si="19"/>
        <v>0</v>
      </c>
      <c r="G57" s="92">
        <f t="shared" si="20"/>
        <v>0</v>
      </c>
      <c r="H57" s="92">
        <f t="shared" si="21"/>
        <v>0</v>
      </c>
      <c r="I57" s="92">
        <f t="shared" si="22"/>
        <v>0</v>
      </c>
      <c r="J57" s="92">
        <f t="shared" si="23"/>
        <v>0</v>
      </c>
      <c r="K57" s="92">
        <f t="shared" ca="1" si="24"/>
        <v>-3.1337684183461105E-2</v>
      </c>
      <c r="L57" s="92">
        <f t="shared" ca="1" si="25"/>
        <v>9.8205044998234841E-4</v>
      </c>
      <c r="M57" s="92">
        <f t="shared" ca="1" si="26"/>
        <v>8.7678651800552426E-2</v>
      </c>
      <c r="N57" s="92">
        <f t="shared" ca="1" si="27"/>
        <v>0.4850151893449447</v>
      </c>
      <c r="O57" s="92">
        <f t="shared" ca="1" si="28"/>
        <v>0.10242284941366221</v>
      </c>
      <c r="P57" s="25">
        <f t="shared" ca="1" si="29"/>
        <v>3.1337684183461105E-2</v>
      </c>
      <c r="Q57" s="25"/>
      <c r="R57" s="25"/>
    </row>
    <row r="58" spans="1:18" x14ac:dyDescent="0.2">
      <c r="A58" s="102"/>
      <c r="B58" s="102"/>
      <c r="C58" s="25"/>
      <c r="D58" s="103">
        <f t="shared" si="17"/>
        <v>0</v>
      </c>
      <c r="E58" s="103">
        <f t="shared" si="18"/>
        <v>0</v>
      </c>
      <c r="F58" s="92">
        <f t="shared" si="19"/>
        <v>0</v>
      </c>
      <c r="G58" s="92">
        <f t="shared" si="20"/>
        <v>0</v>
      </c>
      <c r="H58" s="92">
        <f t="shared" si="21"/>
        <v>0</v>
      </c>
      <c r="I58" s="92">
        <f t="shared" si="22"/>
        <v>0</v>
      </c>
      <c r="J58" s="92">
        <f t="shared" si="23"/>
        <v>0</v>
      </c>
      <c r="K58" s="92">
        <f t="shared" ca="1" si="24"/>
        <v>-3.1337684183461105E-2</v>
      </c>
      <c r="L58" s="92">
        <f t="shared" ca="1" si="25"/>
        <v>9.8205044998234841E-4</v>
      </c>
      <c r="M58" s="92">
        <f t="shared" ca="1" si="26"/>
        <v>8.7678651800552426E-2</v>
      </c>
      <c r="N58" s="92">
        <f t="shared" ca="1" si="27"/>
        <v>0.4850151893449447</v>
      </c>
      <c r="O58" s="92">
        <f t="shared" ca="1" si="28"/>
        <v>0.10242284941366221</v>
      </c>
      <c r="P58" s="25">
        <f t="shared" ca="1" si="29"/>
        <v>3.1337684183461105E-2</v>
      </c>
      <c r="Q58" s="25"/>
      <c r="R58" s="25"/>
    </row>
    <row r="59" spans="1:18" x14ac:dyDescent="0.2">
      <c r="A59" s="102"/>
      <c r="B59" s="102"/>
      <c r="C59" s="25"/>
      <c r="D59" s="103">
        <f t="shared" si="17"/>
        <v>0</v>
      </c>
      <c r="E59" s="103">
        <f t="shared" si="18"/>
        <v>0</v>
      </c>
      <c r="F59" s="92">
        <f t="shared" si="19"/>
        <v>0</v>
      </c>
      <c r="G59" s="92">
        <f t="shared" si="20"/>
        <v>0</v>
      </c>
      <c r="H59" s="92">
        <f t="shared" si="21"/>
        <v>0</v>
      </c>
      <c r="I59" s="92">
        <f t="shared" si="22"/>
        <v>0</v>
      </c>
      <c r="J59" s="92">
        <f t="shared" si="23"/>
        <v>0</v>
      </c>
      <c r="K59" s="92">
        <f t="shared" ca="1" si="24"/>
        <v>-3.1337684183461105E-2</v>
      </c>
      <c r="L59" s="92">
        <f t="shared" ca="1" si="25"/>
        <v>9.8205044998234841E-4</v>
      </c>
      <c r="M59" s="92">
        <f t="shared" ca="1" si="26"/>
        <v>8.7678651800552426E-2</v>
      </c>
      <c r="N59" s="92">
        <f t="shared" ca="1" si="27"/>
        <v>0.4850151893449447</v>
      </c>
      <c r="O59" s="92">
        <f t="shared" ca="1" si="28"/>
        <v>0.10242284941366221</v>
      </c>
      <c r="P59" s="25">
        <f t="shared" ca="1" si="29"/>
        <v>3.1337684183461105E-2</v>
      </c>
      <c r="Q59" s="25"/>
      <c r="R59" s="25"/>
    </row>
    <row r="60" spans="1:18" x14ac:dyDescent="0.2">
      <c r="A60" s="102"/>
      <c r="B60" s="102"/>
      <c r="C60" s="25"/>
      <c r="D60" s="103">
        <f t="shared" si="17"/>
        <v>0</v>
      </c>
      <c r="E60" s="103">
        <f t="shared" si="18"/>
        <v>0</v>
      </c>
      <c r="F60" s="92">
        <f t="shared" si="19"/>
        <v>0</v>
      </c>
      <c r="G60" s="92">
        <f t="shared" si="20"/>
        <v>0</v>
      </c>
      <c r="H60" s="92">
        <f t="shared" si="21"/>
        <v>0</v>
      </c>
      <c r="I60" s="92">
        <f t="shared" si="22"/>
        <v>0</v>
      </c>
      <c r="J60" s="92">
        <f t="shared" si="23"/>
        <v>0</v>
      </c>
      <c r="K60" s="92">
        <f t="shared" ca="1" si="24"/>
        <v>-3.1337684183461105E-2</v>
      </c>
      <c r="L60" s="92">
        <f t="shared" ca="1" si="25"/>
        <v>9.8205044998234841E-4</v>
      </c>
      <c r="M60" s="92">
        <f t="shared" ca="1" si="26"/>
        <v>8.7678651800552426E-2</v>
      </c>
      <c r="N60" s="92">
        <f t="shared" ca="1" si="27"/>
        <v>0.4850151893449447</v>
      </c>
      <c r="O60" s="92">
        <f t="shared" ca="1" si="28"/>
        <v>0.10242284941366221</v>
      </c>
      <c r="P60" s="25">
        <f t="shared" ca="1" si="29"/>
        <v>3.1337684183461105E-2</v>
      </c>
      <c r="Q60" s="25"/>
      <c r="R60" s="25"/>
    </row>
    <row r="61" spans="1:18" x14ac:dyDescent="0.2">
      <c r="A61" s="102"/>
      <c r="B61" s="102"/>
      <c r="C61" s="25"/>
      <c r="D61" s="103">
        <f t="shared" si="17"/>
        <v>0</v>
      </c>
      <c r="E61" s="103">
        <f t="shared" si="18"/>
        <v>0</v>
      </c>
      <c r="F61" s="92">
        <f t="shared" si="19"/>
        <v>0</v>
      </c>
      <c r="G61" s="92">
        <f t="shared" si="20"/>
        <v>0</v>
      </c>
      <c r="H61" s="92">
        <f t="shared" si="21"/>
        <v>0</v>
      </c>
      <c r="I61" s="92">
        <f t="shared" si="22"/>
        <v>0</v>
      </c>
      <c r="J61" s="92">
        <f t="shared" si="23"/>
        <v>0</v>
      </c>
      <c r="K61" s="92">
        <f t="shared" ca="1" si="24"/>
        <v>-3.1337684183461105E-2</v>
      </c>
      <c r="L61" s="92">
        <f t="shared" ca="1" si="25"/>
        <v>9.8205044998234841E-4</v>
      </c>
      <c r="M61" s="92">
        <f t="shared" ca="1" si="26"/>
        <v>8.7678651800552426E-2</v>
      </c>
      <c r="N61" s="92">
        <f t="shared" ca="1" si="27"/>
        <v>0.4850151893449447</v>
      </c>
      <c r="O61" s="92">
        <f t="shared" ca="1" si="28"/>
        <v>0.10242284941366221</v>
      </c>
      <c r="P61" s="25">
        <f t="shared" ca="1" si="29"/>
        <v>3.1337684183461105E-2</v>
      </c>
      <c r="Q61" s="25"/>
      <c r="R61" s="25"/>
    </row>
    <row r="62" spans="1:18" x14ac:dyDescent="0.2">
      <c r="A62" s="102"/>
      <c r="B62" s="102"/>
      <c r="C62" s="25"/>
      <c r="D62" s="103">
        <f t="shared" si="17"/>
        <v>0</v>
      </c>
      <c r="E62" s="103">
        <f t="shared" si="18"/>
        <v>0</v>
      </c>
      <c r="F62" s="92">
        <f t="shared" si="19"/>
        <v>0</v>
      </c>
      <c r="G62" s="92">
        <f t="shared" si="20"/>
        <v>0</v>
      </c>
      <c r="H62" s="92">
        <f t="shared" si="21"/>
        <v>0</v>
      </c>
      <c r="I62" s="92">
        <f t="shared" si="22"/>
        <v>0</v>
      </c>
      <c r="J62" s="92">
        <f t="shared" si="23"/>
        <v>0</v>
      </c>
      <c r="K62" s="92">
        <f t="shared" ca="1" si="24"/>
        <v>-3.1337684183461105E-2</v>
      </c>
      <c r="L62" s="92">
        <f t="shared" ca="1" si="25"/>
        <v>9.8205044998234841E-4</v>
      </c>
      <c r="M62" s="92">
        <f t="shared" ca="1" si="26"/>
        <v>8.7678651800552426E-2</v>
      </c>
      <c r="N62" s="92">
        <f t="shared" ca="1" si="27"/>
        <v>0.4850151893449447</v>
      </c>
      <c r="O62" s="92">
        <f t="shared" ca="1" si="28"/>
        <v>0.10242284941366221</v>
      </c>
      <c r="P62" s="25">
        <f t="shared" ca="1" si="29"/>
        <v>3.1337684183461105E-2</v>
      </c>
      <c r="Q62" s="25"/>
      <c r="R62" s="25"/>
    </row>
    <row r="63" spans="1:18" x14ac:dyDescent="0.2">
      <c r="A63" s="102"/>
      <c r="B63" s="102"/>
      <c r="C63" s="25"/>
      <c r="D63" s="103">
        <f t="shared" si="17"/>
        <v>0</v>
      </c>
      <c r="E63" s="103">
        <f t="shared" si="18"/>
        <v>0</v>
      </c>
      <c r="F63" s="92">
        <f t="shared" si="19"/>
        <v>0</v>
      </c>
      <c r="G63" s="92">
        <f t="shared" si="20"/>
        <v>0</v>
      </c>
      <c r="H63" s="92">
        <f t="shared" si="21"/>
        <v>0</v>
      </c>
      <c r="I63" s="92">
        <f t="shared" si="22"/>
        <v>0</v>
      </c>
      <c r="J63" s="92">
        <f t="shared" si="23"/>
        <v>0</v>
      </c>
      <c r="K63" s="92">
        <f t="shared" ca="1" si="24"/>
        <v>-3.1337684183461105E-2</v>
      </c>
      <c r="L63" s="92">
        <f t="shared" ca="1" si="25"/>
        <v>9.8205044998234841E-4</v>
      </c>
      <c r="M63" s="92">
        <f t="shared" ca="1" si="26"/>
        <v>8.7678651800552426E-2</v>
      </c>
      <c r="N63" s="92">
        <f t="shared" ca="1" si="27"/>
        <v>0.4850151893449447</v>
      </c>
      <c r="O63" s="92">
        <f t="shared" ca="1" si="28"/>
        <v>0.10242284941366221</v>
      </c>
      <c r="P63" s="25">
        <f t="shared" ca="1" si="29"/>
        <v>3.1337684183461105E-2</v>
      </c>
      <c r="Q63" s="25"/>
      <c r="R63" s="25"/>
    </row>
    <row r="64" spans="1:18" x14ac:dyDescent="0.2">
      <c r="A64" s="102"/>
      <c r="B64" s="102"/>
      <c r="C64" s="25"/>
      <c r="D64" s="103">
        <f t="shared" si="17"/>
        <v>0</v>
      </c>
      <c r="E64" s="103">
        <f t="shared" si="18"/>
        <v>0</v>
      </c>
      <c r="F64" s="92">
        <f t="shared" si="19"/>
        <v>0</v>
      </c>
      <c r="G64" s="92">
        <f t="shared" si="20"/>
        <v>0</v>
      </c>
      <c r="H64" s="92">
        <f t="shared" si="21"/>
        <v>0</v>
      </c>
      <c r="I64" s="92">
        <f t="shared" si="22"/>
        <v>0</v>
      </c>
      <c r="J64" s="92">
        <f t="shared" si="23"/>
        <v>0</v>
      </c>
      <c r="K64" s="92">
        <f t="shared" ca="1" si="24"/>
        <v>-3.1337684183461105E-2</v>
      </c>
      <c r="L64" s="92">
        <f t="shared" ca="1" si="25"/>
        <v>9.8205044998234841E-4</v>
      </c>
      <c r="M64" s="92">
        <f t="shared" ca="1" si="26"/>
        <v>8.7678651800552426E-2</v>
      </c>
      <c r="N64" s="92">
        <f t="shared" ca="1" si="27"/>
        <v>0.4850151893449447</v>
      </c>
      <c r="O64" s="92">
        <f t="shared" ca="1" si="28"/>
        <v>0.10242284941366221</v>
      </c>
      <c r="P64" s="25">
        <f t="shared" ca="1" si="29"/>
        <v>3.1337684183461105E-2</v>
      </c>
      <c r="Q64" s="25"/>
      <c r="R64" s="25"/>
    </row>
    <row r="65" spans="1:18" x14ac:dyDescent="0.2">
      <c r="A65" s="102"/>
      <c r="B65" s="102"/>
      <c r="C65" s="25"/>
      <c r="D65" s="103">
        <f t="shared" si="17"/>
        <v>0</v>
      </c>
      <c r="E65" s="103">
        <f t="shared" si="18"/>
        <v>0</v>
      </c>
      <c r="F65" s="92">
        <f t="shared" si="19"/>
        <v>0</v>
      </c>
      <c r="G65" s="92">
        <f t="shared" si="20"/>
        <v>0</v>
      </c>
      <c r="H65" s="92">
        <f t="shared" si="21"/>
        <v>0</v>
      </c>
      <c r="I65" s="92">
        <f t="shared" si="22"/>
        <v>0</v>
      </c>
      <c r="J65" s="92">
        <f t="shared" si="23"/>
        <v>0</v>
      </c>
      <c r="K65" s="92">
        <f t="shared" ca="1" si="24"/>
        <v>-3.1337684183461105E-2</v>
      </c>
      <c r="L65" s="92">
        <f t="shared" ca="1" si="25"/>
        <v>9.8205044998234841E-4</v>
      </c>
      <c r="M65" s="92">
        <f t="shared" ca="1" si="26"/>
        <v>8.7678651800552426E-2</v>
      </c>
      <c r="N65" s="92">
        <f t="shared" ca="1" si="27"/>
        <v>0.4850151893449447</v>
      </c>
      <c r="O65" s="92">
        <f t="shared" ca="1" si="28"/>
        <v>0.10242284941366221</v>
      </c>
      <c r="P65" s="25">
        <f t="shared" ca="1" si="29"/>
        <v>3.1337684183461105E-2</v>
      </c>
      <c r="Q65" s="25"/>
      <c r="R65" s="25"/>
    </row>
    <row r="66" spans="1:18" x14ac:dyDescent="0.2">
      <c r="A66" s="102"/>
      <c r="B66" s="102"/>
      <c r="C66" s="25"/>
      <c r="D66" s="103">
        <f t="shared" si="17"/>
        <v>0</v>
      </c>
      <c r="E66" s="103">
        <f t="shared" si="18"/>
        <v>0</v>
      </c>
      <c r="F66" s="92">
        <f t="shared" si="19"/>
        <v>0</v>
      </c>
      <c r="G66" s="92">
        <f t="shared" si="20"/>
        <v>0</v>
      </c>
      <c r="H66" s="92">
        <f t="shared" si="21"/>
        <v>0</v>
      </c>
      <c r="I66" s="92">
        <f t="shared" si="22"/>
        <v>0</v>
      </c>
      <c r="J66" s="92">
        <f t="shared" si="23"/>
        <v>0</v>
      </c>
      <c r="K66" s="92">
        <f t="shared" ca="1" si="24"/>
        <v>-3.1337684183461105E-2</v>
      </c>
      <c r="L66" s="92">
        <f t="shared" ca="1" si="25"/>
        <v>9.8205044998234841E-4</v>
      </c>
      <c r="M66" s="92">
        <f t="shared" ca="1" si="26"/>
        <v>8.7678651800552426E-2</v>
      </c>
      <c r="N66" s="92">
        <f t="shared" ca="1" si="27"/>
        <v>0.4850151893449447</v>
      </c>
      <c r="O66" s="92">
        <f t="shared" ca="1" si="28"/>
        <v>0.10242284941366221</v>
      </c>
      <c r="P66" s="25">
        <f t="shared" ca="1" si="29"/>
        <v>3.1337684183461105E-2</v>
      </c>
      <c r="Q66" s="25"/>
      <c r="R66" s="25"/>
    </row>
    <row r="67" spans="1:18" x14ac:dyDescent="0.2">
      <c r="A67" s="102"/>
      <c r="B67" s="102"/>
      <c r="C67" s="25"/>
      <c r="D67" s="103">
        <f t="shared" si="17"/>
        <v>0</v>
      </c>
      <c r="E67" s="103">
        <f t="shared" si="18"/>
        <v>0</v>
      </c>
      <c r="F67" s="92">
        <f t="shared" si="19"/>
        <v>0</v>
      </c>
      <c r="G67" s="92">
        <f t="shared" si="20"/>
        <v>0</v>
      </c>
      <c r="H67" s="92">
        <f t="shared" si="21"/>
        <v>0</v>
      </c>
      <c r="I67" s="92">
        <f t="shared" si="22"/>
        <v>0</v>
      </c>
      <c r="J67" s="92">
        <f t="shared" si="23"/>
        <v>0</v>
      </c>
      <c r="K67" s="92">
        <f t="shared" ca="1" si="24"/>
        <v>-3.1337684183461105E-2</v>
      </c>
      <c r="L67" s="92">
        <f t="shared" ca="1" si="25"/>
        <v>9.8205044998234841E-4</v>
      </c>
      <c r="M67" s="92">
        <f t="shared" ca="1" si="26"/>
        <v>8.7678651800552426E-2</v>
      </c>
      <c r="N67" s="92">
        <f t="shared" ca="1" si="27"/>
        <v>0.4850151893449447</v>
      </c>
      <c r="O67" s="92">
        <f t="shared" ca="1" si="28"/>
        <v>0.10242284941366221</v>
      </c>
      <c r="P67" s="25">
        <f t="shared" ca="1" si="29"/>
        <v>3.1337684183461105E-2</v>
      </c>
      <c r="Q67" s="25"/>
      <c r="R67" s="25"/>
    </row>
    <row r="68" spans="1:18" x14ac:dyDescent="0.2">
      <c r="A68" s="102"/>
      <c r="B68" s="102"/>
      <c r="C68" s="25"/>
      <c r="D68" s="103">
        <f t="shared" si="17"/>
        <v>0</v>
      </c>
      <c r="E68" s="103">
        <f t="shared" si="18"/>
        <v>0</v>
      </c>
      <c r="F68" s="92">
        <f t="shared" si="19"/>
        <v>0</v>
      </c>
      <c r="G68" s="92">
        <f t="shared" si="20"/>
        <v>0</v>
      </c>
      <c r="H68" s="92">
        <f t="shared" si="21"/>
        <v>0</v>
      </c>
      <c r="I68" s="92">
        <f t="shared" si="22"/>
        <v>0</v>
      </c>
      <c r="J68" s="92">
        <f t="shared" si="23"/>
        <v>0</v>
      </c>
      <c r="K68" s="92">
        <f t="shared" ca="1" si="24"/>
        <v>-3.1337684183461105E-2</v>
      </c>
      <c r="L68" s="92">
        <f t="shared" ca="1" si="25"/>
        <v>9.8205044998234841E-4</v>
      </c>
      <c r="M68" s="92">
        <f t="shared" ca="1" si="26"/>
        <v>8.7678651800552426E-2</v>
      </c>
      <c r="N68" s="92">
        <f t="shared" ca="1" si="27"/>
        <v>0.4850151893449447</v>
      </c>
      <c r="O68" s="92">
        <f t="shared" ca="1" si="28"/>
        <v>0.10242284941366221</v>
      </c>
      <c r="P68" s="25">
        <f t="shared" ca="1" si="29"/>
        <v>3.1337684183461105E-2</v>
      </c>
      <c r="Q68" s="25"/>
      <c r="R68" s="25"/>
    </row>
    <row r="69" spans="1:18" x14ac:dyDescent="0.2">
      <c r="A69" s="102"/>
      <c r="B69" s="102"/>
      <c r="C69" s="25"/>
      <c r="D69" s="103">
        <f t="shared" si="17"/>
        <v>0</v>
      </c>
      <c r="E69" s="103">
        <f t="shared" si="18"/>
        <v>0</v>
      </c>
      <c r="F69" s="92">
        <f t="shared" si="19"/>
        <v>0</v>
      </c>
      <c r="G69" s="92">
        <f t="shared" si="20"/>
        <v>0</v>
      </c>
      <c r="H69" s="92">
        <f t="shared" si="21"/>
        <v>0</v>
      </c>
      <c r="I69" s="92">
        <f t="shared" si="22"/>
        <v>0</v>
      </c>
      <c r="J69" s="92">
        <f t="shared" si="23"/>
        <v>0</v>
      </c>
      <c r="K69" s="92">
        <f t="shared" ca="1" si="24"/>
        <v>-3.1337684183461105E-2</v>
      </c>
      <c r="L69" s="92">
        <f t="shared" ca="1" si="25"/>
        <v>9.8205044998234841E-4</v>
      </c>
      <c r="M69" s="92">
        <f t="shared" ca="1" si="26"/>
        <v>8.7678651800552426E-2</v>
      </c>
      <c r="N69" s="92">
        <f t="shared" ca="1" si="27"/>
        <v>0.4850151893449447</v>
      </c>
      <c r="O69" s="92">
        <f t="shared" ca="1" si="28"/>
        <v>0.10242284941366221</v>
      </c>
      <c r="P69" s="25">
        <f t="shared" ca="1" si="29"/>
        <v>3.1337684183461105E-2</v>
      </c>
      <c r="Q69" s="25"/>
      <c r="R69" s="25"/>
    </row>
    <row r="70" spans="1:18" x14ac:dyDescent="0.2">
      <c r="A70" s="102"/>
      <c r="B70" s="102"/>
      <c r="C70" s="25"/>
      <c r="D70" s="103">
        <f t="shared" si="17"/>
        <v>0</v>
      </c>
      <c r="E70" s="103">
        <f t="shared" si="18"/>
        <v>0</v>
      </c>
      <c r="F70" s="92">
        <f t="shared" si="19"/>
        <v>0</v>
      </c>
      <c r="G70" s="92">
        <f t="shared" si="20"/>
        <v>0</v>
      </c>
      <c r="H70" s="92">
        <f t="shared" si="21"/>
        <v>0</v>
      </c>
      <c r="I70" s="92">
        <f t="shared" si="22"/>
        <v>0</v>
      </c>
      <c r="J70" s="92">
        <f t="shared" si="23"/>
        <v>0</v>
      </c>
      <c r="K70" s="92">
        <f t="shared" ca="1" si="24"/>
        <v>-3.1337684183461105E-2</v>
      </c>
      <c r="L70" s="92">
        <f t="shared" ca="1" si="25"/>
        <v>9.8205044998234841E-4</v>
      </c>
      <c r="M70" s="92">
        <f t="shared" ca="1" si="26"/>
        <v>8.7678651800552426E-2</v>
      </c>
      <c r="N70" s="92">
        <f t="shared" ca="1" si="27"/>
        <v>0.4850151893449447</v>
      </c>
      <c r="O70" s="92">
        <f t="shared" ca="1" si="28"/>
        <v>0.10242284941366221</v>
      </c>
      <c r="P70" s="25">
        <f t="shared" ca="1" si="29"/>
        <v>3.1337684183461105E-2</v>
      </c>
      <c r="Q70" s="25"/>
      <c r="R70" s="25"/>
    </row>
    <row r="71" spans="1:18" x14ac:dyDescent="0.2">
      <c r="A71" s="102"/>
      <c r="B71" s="102"/>
      <c r="C71" s="25"/>
      <c r="D71" s="103">
        <f t="shared" si="17"/>
        <v>0</v>
      </c>
      <c r="E71" s="103">
        <f t="shared" si="18"/>
        <v>0</v>
      </c>
      <c r="F71" s="92">
        <f t="shared" si="19"/>
        <v>0</v>
      </c>
      <c r="G71" s="92">
        <f t="shared" si="20"/>
        <v>0</v>
      </c>
      <c r="H71" s="92">
        <f t="shared" si="21"/>
        <v>0</v>
      </c>
      <c r="I71" s="92">
        <f t="shared" si="22"/>
        <v>0</v>
      </c>
      <c r="J71" s="92">
        <f t="shared" si="23"/>
        <v>0</v>
      </c>
      <c r="K71" s="92">
        <f t="shared" ca="1" si="24"/>
        <v>-3.1337684183461105E-2</v>
      </c>
      <c r="L71" s="92">
        <f t="shared" ca="1" si="25"/>
        <v>9.8205044998234841E-4</v>
      </c>
      <c r="M71" s="92">
        <f t="shared" ca="1" si="26"/>
        <v>8.7678651800552426E-2</v>
      </c>
      <c r="N71" s="92">
        <f t="shared" ca="1" si="27"/>
        <v>0.4850151893449447</v>
      </c>
      <c r="O71" s="92">
        <f t="shared" ca="1" si="28"/>
        <v>0.10242284941366221</v>
      </c>
      <c r="P71" s="25">
        <f t="shared" ca="1" si="29"/>
        <v>3.1337684183461105E-2</v>
      </c>
      <c r="Q71" s="25"/>
      <c r="R71" s="25"/>
    </row>
    <row r="72" spans="1:18" x14ac:dyDescent="0.2">
      <c r="A72" s="102"/>
      <c r="B72" s="102"/>
      <c r="C72" s="25"/>
      <c r="D72" s="103">
        <f t="shared" si="17"/>
        <v>0</v>
      </c>
      <c r="E72" s="103">
        <f t="shared" si="18"/>
        <v>0</v>
      </c>
      <c r="F72" s="92">
        <f t="shared" si="19"/>
        <v>0</v>
      </c>
      <c r="G72" s="92">
        <f t="shared" si="20"/>
        <v>0</v>
      </c>
      <c r="H72" s="92">
        <f t="shared" si="21"/>
        <v>0</v>
      </c>
      <c r="I72" s="92">
        <f t="shared" si="22"/>
        <v>0</v>
      </c>
      <c r="J72" s="92">
        <f t="shared" si="23"/>
        <v>0</v>
      </c>
      <c r="K72" s="92">
        <f t="shared" ca="1" si="24"/>
        <v>-3.1337684183461105E-2</v>
      </c>
      <c r="L72" s="92">
        <f t="shared" ca="1" si="25"/>
        <v>9.8205044998234841E-4</v>
      </c>
      <c r="M72" s="92">
        <f t="shared" ca="1" si="26"/>
        <v>8.7678651800552426E-2</v>
      </c>
      <c r="N72" s="92">
        <f t="shared" ca="1" si="27"/>
        <v>0.4850151893449447</v>
      </c>
      <c r="O72" s="92">
        <f t="shared" ca="1" si="28"/>
        <v>0.10242284941366221</v>
      </c>
      <c r="P72" s="25">
        <f t="shared" ca="1" si="29"/>
        <v>3.1337684183461105E-2</v>
      </c>
      <c r="Q72" s="25"/>
      <c r="R72" s="25"/>
    </row>
    <row r="73" spans="1:18" x14ac:dyDescent="0.2">
      <c r="A73" s="102"/>
      <c r="B73" s="102"/>
      <c r="C73" s="25"/>
      <c r="D73" s="103">
        <f t="shared" si="17"/>
        <v>0</v>
      </c>
      <c r="E73" s="103">
        <f t="shared" si="18"/>
        <v>0</v>
      </c>
      <c r="F73" s="92">
        <f t="shared" si="19"/>
        <v>0</v>
      </c>
      <c r="G73" s="92">
        <f t="shared" si="20"/>
        <v>0</v>
      </c>
      <c r="H73" s="92">
        <f t="shared" si="21"/>
        <v>0</v>
      </c>
      <c r="I73" s="92">
        <f t="shared" si="22"/>
        <v>0</v>
      </c>
      <c r="J73" s="92">
        <f t="shared" si="23"/>
        <v>0</v>
      </c>
      <c r="K73" s="92">
        <f t="shared" ca="1" si="24"/>
        <v>-3.1337684183461105E-2</v>
      </c>
      <c r="L73" s="92">
        <f t="shared" ca="1" si="25"/>
        <v>9.8205044998234841E-4</v>
      </c>
      <c r="M73" s="92">
        <f t="shared" ca="1" si="26"/>
        <v>8.7678651800552426E-2</v>
      </c>
      <c r="N73" s="92">
        <f t="shared" ca="1" si="27"/>
        <v>0.4850151893449447</v>
      </c>
      <c r="O73" s="92">
        <f t="shared" ca="1" si="28"/>
        <v>0.10242284941366221</v>
      </c>
      <c r="P73" s="25">
        <f t="shared" ca="1" si="29"/>
        <v>3.1337684183461105E-2</v>
      </c>
      <c r="Q73" s="25"/>
      <c r="R73" s="25"/>
    </row>
    <row r="74" spans="1:18" x14ac:dyDescent="0.2">
      <c r="A74" s="102"/>
      <c r="B74" s="102"/>
      <c r="C74" s="25"/>
      <c r="D74" s="103">
        <f t="shared" si="17"/>
        <v>0</v>
      </c>
      <c r="E74" s="103">
        <f t="shared" si="18"/>
        <v>0</v>
      </c>
      <c r="F74" s="92">
        <f t="shared" si="19"/>
        <v>0</v>
      </c>
      <c r="G74" s="92">
        <f t="shared" si="20"/>
        <v>0</v>
      </c>
      <c r="H74" s="92">
        <f t="shared" si="21"/>
        <v>0</v>
      </c>
      <c r="I74" s="92">
        <f t="shared" si="22"/>
        <v>0</v>
      </c>
      <c r="J74" s="92">
        <f t="shared" si="23"/>
        <v>0</v>
      </c>
      <c r="K74" s="92">
        <f t="shared" ca="1" si="24"/>
        <v>-3.1337684183461105E-2</v>
      </c>
      <c r="L74" s="92">
        <f t="shared" ca="1" si="25"/>
        <v>9.8205044998234841E-4</v>
      </c>
      <c r="M74" s="92">
        <f t="shared" ca="1" si="26"/>
        <v>8.7678651800552426E-2</v>
      </c>
      <c r="N74" s="92">
        <f t="shared" ca="1" si="27"/>
        <v>0.4850151893449447</v>
      </c>
      <c r="O74" s="92">
        <f t="shared" ca="1" si="28"/>
        <v>0.10242284941366221</v>
      </c>
      <c r="P74" s="25">
        <f t="shared" ca="1" si="29"/>
        <v>3.1337684183461105E-2</v>
      </c>
      <c r="Q74" s="25"/>
      <c r="R74" s="25"/>
    </row>
    <row r="75" spans="1:18" x14ac:dyDescent="0.2">
      <c r="A75" s="102"/>
      <c r="B75" s="102"/>
      <c r="C75" s="25"/>
      <c r="D75" s="103">
        <f t="shared" si="17"/>
        <v>0</v>
      </c>
      <c r="E75" s="103">
        <f t="shared" si="18"/>
        <v>0</v>
      </c>
      <c r="F75" s="92">
        <f t="shared" si="19"/>
        <v>0</v>
      </c>
      <c r="G75" s="92">
        <f t="shared" si="20"/>
        <v>0</v>
      </c>
      <c r="H75" s="92">
        <f t="shared" si="21"/>
        <v>0</v>
      </c>
      <c r="I75" s="92">
        <f t="shared" si="22"/>
        <v>0</v>
      </c>
      <c r="J75" s="92">
        <f t="shared" si="23"/>
        <v>0</v>
      </c>
      <c r="K75" s="92">
        <f t="shared" ca="1" si="24"/>
        <v>-3.1337684183461105E-2</v>
      </c>
      <c r="L75" s="92">
        <f t="shared" ca="1" si="25"/>
        <v>9.8205044998234841E-4</v>
      </c>
      <c r="M75" s="92">
        <f t="shared" ca="1" si="26"/>
        <v>8.7678651800552426E-2</v>
      </c>
      <c r="N75" s="92">
        <f t="shared" ca="1" si="27"/>
        <v>0.4850151893449447</v>
      </c>
      <c r="O75" s="92">
        <f t="shared" ca="1" si="28"/>
        <v>0.10242284941366221</v>
      </c>
      <c r="P75" s="25">
        <f t="shared" ca="1" si="29"/>
        <v>3.1337684183461105E-2</v>
      </c>
      <c r="Q75" s="25"/>
      <c r="R75" s="25"/>
    </row>
    <row r="76" spans="1:18" x14ac:dyDescent="0.2">
      <c r="A76" s="102"/>
      <c r="B76" s="102"/>
      <c r="C76" s="25"/>
      <c r="D76" s="103">
        <f t="shared" si="17"/>
        <v>0</v>
      </c>
      <c r="E76" s="103">
        <f t="shared" si="18"/>
        <v>0</v>
      </c>
      <c r="F76" s="92">
        <f t="shared" si="19"/>
        <v>0</v>
      </c>
      <c r="G76" s="92">
        <f t="shared" si="20"/>
        <v>0</v>
      </c>
      <c r="H76" s="92">
        <f t="shared" si="21"/>
        <v>0</v>
      </c>
      <c r="I76" s="92">
        <f t="shared" si="22"/>
        <v>0</v>
      </c>
      <c r="J76" s="92">
        <f t="shared" si="23"/>
        <v>0</v>
      </c>
      <c r="K76" s="92">
        <f t="shared" ca="1" si="24"/>
        <v>-3.1337684183461105E-2</v>
      </c>
      <c r="L76" s="92">
        <f t="shared" ca="1" si="25"/>
        <v>9.8205044998234841E-4</v>
      </c>
      <c r="M76" s="92">
        <f t="shared" ca="1" si="26"/>
        <v>8.7678651800552426E-2</v>
      </c>
      <c r="N76" s="92">
        <f t="shared" ca="1" si="27"/>
        <v>0.4850151893449447</v>
      </c>
      <c r="O76" s="92">
        <f t="shared" ca="1" si="28"/>
        <v>0.10242284941366221</v>
      </c>
      <c r="P76" s="25">
        <f t="shared" ca="1" si="29"/>
        <v>3.1337684183461105E-2</v>
      </c>
      <c r="Q76" s="25"/>
      <c r="R76" s="25"/>
    </row>
    <row r="77" spans="1:18" x14ac:dyDescent="0.2">
      <c r="A77" s="102"/>
      <c r="B77" s="102"/>
      <c r="C77" s="25"/>
      <c r="D77" s="103">
        <f t="shared" si="17"/>
        <v>0</v>
      </c>
      <c r="E77" s="103">
        <f t="shared" si="18"/>
        <v>0</v>
      </c>
      <c r="F77" s="92">
        <f t="shared" si="19"/>
        <v>0</v>
      </c>
      <c r="G77" s="92">
        <f t="shared" si="20"/>
        <v>0</v>
      </c>
      <c r="H77" s="92">
        <f t="shared" si="21"/>
        <v>0</v>
      </c>
      <c r="I77" s="92">
        <f t="shared" si="22"/>
        <v>0</v>
      </c>
      <c r="J77" s="92">
        <f t="shared" si="23"/>
        <v>0</v>
      </c>
      <c r="K77" s="92">
        <f t="shared" ca="1" si="24"/>
        <v>-3.1337684183461105E-2</v>
      </c>
      <c r="L77" s="92">
        <f t="shared" ca="1" si="25"/>
        <v>9.8205044998234841E-4</v>
      </c>
      <c r="M77" s="92">
        <f t="shared" ca="1" si="26"/>
        <v>8.7678651800552426E-2</v>
      </c>
      <c r="N77" s="92">
        <f t="shared" ca="1" si="27"/>
        <v>0.4850151893449447</v>
      </c>
      <c r="O77" s="92">
        <f t="shared" ca="1" si="28"/>
        <v>0.10242284941366221</v>
      </c>
      <c r="P77" s="25">
        <f t="shared" ca="1" si="29"/>
        <v>3.1337684183461105E-2</v>
      </c>
      <c r="Q77" s="25"/>
      <c r="R77" s="25"/>
    </row>
    <row r="78" spans="1:18" x14ac:dyDescent="0.2">
      <c r="A78" s="102"/>
      <c r="B78" s="102"/>
      <c r="C78" s="25"/>
      <c r="D78" s="103">
        <f t="shared" si="17"/>
        <v>0</v>
      </c>
      <c r="E78" s="103">
        <f t="shared" si="18"/>
        <v>0</v>
      </c>
      <c r="F78" s="92">
        <f t="shared" si="19"/>
        <v>0</v>
      </c>
      <c r="G78" s="92">
        <f t="shared" si="20"/>
        <v>0</v>
      </c>
      <c r="H78" s="92">
        <f t="shared" si="21"/>
        <v>0</v>
      </c>
      <c r="I78" s="92">
        <f t="shared" si="22"/>
        <v>0</v>
      </c>
      <c r="J78" s="92">
        <f t="shared" si="23"/>
        <v>0</v>
      </c>
      <c r="K78" s="92">
        <f t="shared" ca="1" si="24"/>
        <v>-3.1337684183461105E-2</v>
      </c>
      <c r="L78" s="92">
        <f t="shared" ca="1" si="25"/>
        <v>9.8205044998234841E-4</v>
      </c>
      <c r="M78" s="92">
        <f t="shared" ca="1" si="26"/>
        <v>8.7678651800552426E-2</v>
      </c>
      <c r="N78" s="92">
        <f t="shared" ca="1" si="27"/>
        <v>0.4850151893449447</v>
      </c>
      <c r="O78" s="92">
        <f t="shared" ca="1" si="28"/>
        <v>0.10242284941366221</v>
      </c>
      <c r="P78" s="25">
        <f t="shared" ca="1" si="29"/>
        <v>3.1337684183461105E-2</v>
      </c>
      <c r="Q78" s="25"/>
      <c r="R78" s="25"/>
    </row>
    <row r="79" spans="1:18" x14ac:dyDescent="0.2">
      <c r="A79" s="102"/>
      <c r="B79" s="102"/>
      <c r="C79" s="25"/>
      <c r="D79" s="103">
        <f t="shared" si="17"/>
        <v>0</v>
      </c>
      <c r="E79" s="103">
        <f t="shared" si="18"/>
        <v>0</v>
      </c>
      <c r="F79" s="92">
        <f t="shared" si="19"/>
        <v>0</v>
      </c>
      <c r="G79" s="92">
        <f t="shared" si="20"/>
        <v>0</v>
      </c>
      <c r="H79" s="92">
        <f t="shared" si="21"/>
        <v>0</v>
      </c>
      <c r="I79" s="92">
        <f t="shared" si="22"/>
        <v>0</v>
      </c>
      <c r="J79" s="92">
        <f t="shared" si="23"/>
        <v>0</v>
      </c>
      <c r="K79" s="92">
        <f t="shared" ca="1" si="24"/>
        <v>-3.1337684183461105E-2</v>
      </c>
      <c r="L79" s="92">
        <f t="shared" ca="1" si="25"/>
        <v>9.8205044998234841E-4</v>
      </c>
      <c r="M79" s="92">
        <f t="shared" ca="1" si="26"/>
        <v>8.7678651800552426E-2</v>
      </c>
      <c r="N79" s="92">
        <f t="shared" ca="1" si="27"/>
        <v>0.4850151893449447</v>
      </c>
      <c r="O79" s="92">
        <f t="shared" ca="1" si="28"/>
        <v>0.10242284941366221</v>
      </c>
      <c r="P79" s="25">
        <f t="shared" ca="1" si="29"/>
        <v>3.1337684183461105E-2</v>
      </c>
      <c r="Q79" s="25"/>
      <c r="R79" s="25"/>
    </row>
    <row r="80" spans="1:18" x14ac:dyDescent="0.2">
      <c r="A80" s="102"/>
      <c r="B80" s="102"/>
      <c r="C80" s="25"/>
      <c r="D80" s="103">
        <f t="shared" si="17"/>
        <v>0</v>
      </c>
      <c r="E80" s="103">
        <f t="shared" si="18"/>
        <v>0</v>
      </c>
      <c r="F80" s="92">
        <f t="shared" si="19"/>
        <v>0</v>
      </c>
      <c r="G80" s="92">
        <f t="shared" si="20"/>
        <v>0</v>
      </c>
      <c r="H80" s="92">
        <f t="shared" si="21"/>
        <v>0</v>
      </c>
      <c r="I80" s="92">
        <f t="shared" si="22"/>
        <v>0</v>
      </c>
      <c r="J80" s="92">
        <f t="shared" si="23"/>
        <v>0</v>
      </c>
      <c r="K80" s="92">
        <f t="shared" ca="1" si="24"/>
        <v>-3.1337684183461105E-2</v>
      </c>
      <c r="L80" s="92">
        <f t="shared" ca="1" si="25"/>
        <v>9.8205044998234841E-4</v>
      </c>
      <c r="M80" s="92">
        <f t="shared" ca="1" si="26"/>
        <v>8.7678651800552426E-2</v>
      </c>
      <c r="N80" s="92">
        <f t="shared" ca="1" si="27"/>
        <v>0.4850151893449447</v>
      </c>
      <c r="O80" s="92">
        <f t="shared" ca="1" si="28"/>
        <v>0.10242284941366221</v>
      </c>
      <c r="P80" s="25">
        <f t="shared" ca="1" si="29"/>
        <v>3.1337684183461105E-2</v>
      </c>
      <c r="Q80" s="25"/>
      <c r="R80" s="25"/>
    </row>
    <row r="81" spans="1:18" x14ac:dyDescent="0.2">
      <c r="A81" s="102"/>
      <c r="B81" s="102"/>
      <c r="C81" s="25"/>
      <c r="D81" s="103">
        <f t="shared" si="17"/>
        <v>0</v>
      </c>
      <c r="E81" s="103">
        <f t="shared" si="18"/>
        <v>0</v>
      </c>
      <c r="F81" s="92">
        <f t="shared" si="19"/>
        <v>0</v>
      </c>
      <c r="G81" s="92">
        <f t="shared" si="20"/>
        <v>0</v>
      </c>
      <c r="H81" s="92">
        <f t="shared" si="21"/>
        <v>0</v>
      </c>
      <c r="I81" s="92">
        <f t="shared" si="22"/>
        <v>0</v>
      </c>
      <c r="J81" s="92">
        <f t="shared" si="23"/>
        <v>0</v>
      </c>
      <c r="K81" s="92">
        <f t="shared" ca="1" si="24"/>
        <v>-3.1337684183461105E-2</v>
      </c>
      <c r="L81" s="92">
        <f t="shared" ca="1" si="25"/>
        <v>9.8205044998234841E-4</v>
      </c>
      <c r="M81" s="92">
        <f t="shared" ca="1" si="26"/>
        <v>8.7678651800552426E-2</v>
      </c>
      <c r="N81" s="92">
        <f t="shared" ca="1" si="27"/>
        <v>0.4850151893449447</v>
      </c>
      <c r="O81" s="92">
        <f t="shared" ca="1" si="28"/>
        <v>0.10242284941366221</v>
      </c>
      <c r="P81" s="25">
        <f t="shared" ca="1" si="29"/>
        <v>3.1337684183461105E-2</v>
      </c>
      <c r="Q81" s="25"/>
      <c r="R81" s="25"/>
    </row>
    <row r="82" spans="1:18" x14ac:dyDescent="0.2">
      <c r="A82" s="102"/>
      <c r="B82" s="102"/>
      <c r="C82" s="25"/>
      <c r="D82" s="103">
        <f t="shared" si="17"/>
        <v>0</v>
      </c>
      <c r="E82" s="103">
        <f t="shared" si="18"/>
        <v>0</v>
      </c>
      <c r="F82" s="92">
        <f t="shared" si="19"/>
        <v>0</v>
      </c>
      <c r="G82" s="92">
        <f t="shared" si="20"/>
        <v>0</v>
      </c>
      <c r="H82" s="92">
        <f t="shared" si="21"/>
        <v>0</v>
      </c>
      <c r="I82" s="92">
        <f t="shared" si="22"/>
        <v>0</v>
      </c>
      <c r="J82" s="92">
        <f t="shared" si="23"/>
        <v>0</v>
      </c>
      <c r="K82" s="92">
        <f t="shared" ca="1" si="24"/>
        <v>-3.1337684183461105E-2</v>
      </c>
      <c r="L82" s="92">
        <f t="shared" ca="1" si="25"/>
        <v>9.8205044998234841E-4</v>
      </c>
      <c r="M82" s="92">
        <f t="shared" ca="1" si="26"/>
        <v>8.7678651800552426E-2</v>
      </c>
      <c r="N82" s="92">
        <f t="shared" ca="1" si="27"/>
        <v>0.4850151893449447</v>
      </c>
      <c r="O82" s="92">
        <f t="shared" ca="1" si="28"/>
        <v>0.10242284941366221</v>
      </c>
      <c r="P82" s="25">
        <f t="shared" ca="1" si="29"/>
        <v>3.1337684183461105E-2</v>
      </c>
      <c r="Q82" s="25"/>
      <c r="R82" s="25"/>
    </row>
    <row r="83" spans="1:18" x14ac:dyDescent="0.2">
      <c r="A83" s="102"/>
      <c r="B83" s="102"/>
      <c r="C83" s="25"/>
      <c r="D83" s="103">
        <f t="shared" si="17"/>
        <v>0</v>
      </c>
      <c r="E83" s="103">
        <f t="shared" si="18"/>
        <v>0</v>
      </c>
      <c r="F83" s="92">
        <f t="shared" si="19"/>
        <v>0</v>
      </c>
      <c r="G83" s="92">
        <f t="shared" si="20"/>
        <v>0</v>
      </c>
      <c r="H83" s="92">
        <f t="shared" si="21"/>
        <v>0</v>
      </c>
      <c r="I83" s="92">
        <f t="shared" si="22"/>
        <v>0</v>
      </c>
      <c r="J83" s="92">
        <f t="shared" si="23"/>
        <v>0</v>
      </c>
      <c r="K83" s="92">
        <f t="shared" ca="1" si="24"/>
        <v>-3.1337684183461105E-2</v>
      </c>
      <c r="L83" s="92">
        <f t="shared" ca="1" si="25"/>
        <v>9.8205044998234841E-4</v>
      </c>
      <c r="M83" s="92">
        <f t="shared" ca="1" si="26"/>
        <v>8.7678651800552426E-2</v>
      </c>
      <c r="N83" s="92">
        <f t="shared" ca="1" si="27"/>
        <v>0.4850151893449447</v>
      </c>
      <c r="O83" s="92">
        <f t="shared" ca="1" si="28"/>
        <v>0.10242284941366221</v>
      </c>
      <c r="P83" s="25">
        <f t="shared" ca="1" si="29"/>
        <v>3.1337684183461105E-2</v>
      </c>
      <c r="Q83" s="25"/>
      <c r="R83" s="25"/>
    </row>
    <row r="84" spans="1:18" x14ac:dyDescent="0.2">
      <c r="A84" s="102"/>
      <c r="B84" s="102"/>
      <c r="C84" s="25"/>
      <c r="D84" s="103">
        <f t="shared" ref="D84:D115" si="30">A84/A$18</f>
        <v>0</v>
      </c>
      <c r="E84" s="103">
        <f t="shared" ref="E84:E115" si="31">B84/B$18</f>
        <v>0</v>
      </c>
      <c r="F84" s="92">
        <f t="shared" ref="F84:F115" si="32">D84*D84</f>
        <v>0</v>
      </c>
      <c r="G84" s="92">
        <f t="shared" ref="G84:G115" si="33">D84*F84</f>
        <v>0</v>
      </c>
      <c r="H84" s="92">
        <f t="shared" ref="H84:H115" si="34">F84*F84</f>
        <v>0</v>
      </c>
      <c r="I84" s="92">
        <f t="shared" ref="I84:I115" si="35">E84*D84</f>
        <v>0</v>
      </c>
      <c r="J84" s="92">
        <f t="shared" ref="J84:J115" si="36">I84*D84</f>
        <v>0</v>
      </c>
      <c r="K84" s="92">
        <f t="shared" ref="K84:K115" ca="1" si="37">+E$4+E$5*D84+E$6*D84^2</f>
        <v>-3.1337684183461105E-2</v>
      </c>
      <c r="L84" s="92">
        <f t="shared" ref="L84:L115" ca="1" si="38">+(K84-E84)^2</f>
        <v>9.8205044998234841E-4</v>
      </c>
      <c r="M84" s="92">
        <f t="shared" ref="M84:M115" ca="1" si="39">(M$1-M$2*D84+M$3*F84)^2</f>
        <v>8.7678651800552426E-2</v>
      </c>
      <c r="N84" s="92">
        <f t="shared" ref="N84:N115" ca="1" si="40">(-M$2+M$4*D84-M$5*F84)^2</f>
        <v>0.4850151893449447</v>
      </c>
      <c r="O84" s="92">
        <f t="shared" ref="O84:O115" ca="1" si="41">+(M$3-D84*M$5+F84*M$6)^2</f>
        <v>0.10242284941366221</v>
      </c>
      <c r="P84" s="25">
        <f t="shared" ref="P84:P115" ca="1" si="42">+E84-K84</f>
        <v>3.1337684183461105E-2</v>
      </c>
      <c r="Q84" s="25"/>
      <c r="R84" s="25"/>
    </row>
    <row r="85" spans="1:18" x14ac:dyDescent="0.2">
      <c r="A85" s="102"/>
      <c r="B85" s="102"/>
      <c r="C85" s="25"/>
      <c r="D85" s="103">
        <f t="shared" si="30"/>
        <v>0</v>
      </c>
      <c r="E85" s="103">
        <f t="shared" si="31"/>
        <v>0</v>
      </c>
      <c r="F85" s="92">
        <f t="shared" si="32"/>
        <v>0</v>
      </c>
      <c r="G85" s="92">
        <f t="shared" si="33"/>
        <v>0</v>
      </c>
      <c r="H85" s="92">
        <f t="shared" si="34"/>
        <v>0</v>
      </c>
      <c r="I85" s="92">
        <f t="shared" si="35"/>
        <v>0</v>
      </c>
      <c r="J85" s="92">
        <f t="shared" si="36"/>
        <v>0</v>
      </c>
      <c r="K85" s="92">
        <f t="shared" ca="1" si="37"/>
        <v>-3.1337684183461105E-2</v>
      </c>
      <c r="L85" s="92">
        <f t="shared" ca="1" si="38"/>
        <v>9.8205044998234841E-4</v>
      </c>
      <c r="M85" s="92">
        <f t="shared" ca="1" si="39"/>
        <v>8.7678651800552426E-2</v>
      </c>
      <c r="N85" s="92">
        <f t="shared" ca="1" si="40"/>
        <v>0.4850151893449447</v>
      </c>
      <c r="O85" s="92">
        <f t="shared" ca="1" si="41"/>
        <v>0.10242284941366221</v>
      </c>
      <c r="P85" s="25">
        <f t="shared" ca="1" si="42"/>
        <v>3.1337684183461105E-2</v>
      </c>
      <c r="Q85" s="25"/>
      <c r="R85" s="25"/>
    </row>
    <row r="86" spans="1:18" x14ac:dyDescent="0.2">
      <c r="A86" s="102"/>
      <c r="B86" s="102"/>
      <c r="C86" s="25"/>
      <c r="D86" s="103">
        <f t="shared" si="30"/>
        <v>0</v>
      </c>
      <c r="E86" s="103">
        <f t="shared" si="31"/>
        <v>0</v>
      </c>
      <c r="F86" s="92">
        <f t="shared" si="32"/>
        <v>0</v>
      </c>
      <c r="G86" s="92">
        <f t="shared" si="33"/>
        <v>0</v>
      </c>
      <c r="H86" s="92">
        <f t="shared" si="34"/>
        <v>0</v>
      </c>
      <c r="I86" s="92">
        <f t="shared" si="35"/>
        <v>0</v>
      </c>
      <c r="J86" s="92">
        <f t="shared" si="36"/>
        <v>0</v>
      </c>
      <c r="K86" s="92">
        <f t="shared" ca="1" si="37"/>
        <v>-3.1337684183461105E-2</v>
      </c>
      <c r="L86" s="92">
        <f t="shared" ca="1" si="38"/>
        <v>9.8205044998234841E-4</v>
      </c>
      <c r="M86" s="92">
        <f t="shared" ca="1" si="39"/>
        <v>8.7678651800552426E-2</v>
      </c>
      <c r="N86" s="92">
        <f t="shared" ca="1" si="40"/>
        <v>0.4850151893449447</v>
      </c>
      <c r="O86" s="92">
        <f t="shared" ca="1" si="41"/>
        <v>0.10242284941366221</v>
      </c>
      <c r="P86" s="25">
        <f t="shared" ca="1" si="42"/>
        <v>3.1337684183461105E-2</v>
      </c>
      <c r="Q86" s="25"/>
      <c r="R86" s="25"/>
    </row>
    <row r="87" spans="1:18" x14ac:dyDescent="0.2">
      <c r="A87" s="102"/>
      <c r="B87" s="102"/>
      <c r="C87" s="25"/>
      <c r="D87" s="103">
        <f t="shared" si="30"/>
        <v>0</v>
      </c>
      <c r="E87" s="103">
        <f t="shared" si="31"/>
        <v>0</v>
      </c>
      <c r="F87" s="92">
        <f t="shared" si="32"/>
        <v>0</v>
      </c>
      <c r="G87" s="92">
        <f t="shared" si="33"/>
        <v>0</v>
      </c>
      <c r="H87" s="92">
        <f t="shared" si="34"/>
        <v>0</v>
      </c>
      <c r="I87" s="92">
        <f t="shared" si="35"/>
        <v>0</v>
      </c>
      <c r="J87" s="92">
        <f t="shared" si="36"/>
        <v>0</v>
      </c>
      <c r="K87" s="92">
        <f t="shared" ca="1" si="37"/>
        <v>-3.1337684183461105E-2</v>
      </c>
      <c r="L87" s="92">
        <f t="shared" ca="1" si="38"/>
        <v>9.8205044998234841E-4</v>
      </c>
      <c r="M87" s="92">
        <f t="shared" ca="1" si="39"/>
        <v>8.7678651800552426E-2</v>
      </c>
      <c r="N87" s="92">
        <f t="shared" ca="1" si="40"/>
        <v>0.4850151893449447</v>
      </c>
      <c r="O87" s="92">
        <f t="shared" ca="1" si="41"/>
        <v>0.10242284941366221</v>
      </c>
      <c r="P87" s="25">
        <f t="shared" ca="1" si="42"/>
        <v>3.1337684183461105E-2</v>
      </c>
      <c r="Q87" s="25"/>
      <c r="R87" s="25"/>
    </row>
    <row r="88" spans="1:18" x14ac:dyDescent="0.2">
      <c r="A88" s="102"/>
      <c r="B88" s="102"/>
      <c r="C88" s="25"/>
      <c r="D88" s="103">
        <f t="shared" si="30"/>
        <v>0</v>
      </c>
      <c r="E88" s="103">
        <f t="shared" si="31"/>
        <v>0</v>
      </c>
      <c r="F88" s="92">
        <f t="shared" si="32"/>
        <v>0</v>
      </c>
      <c r="G88" s="92">
        <f t="shared" si="33"/>
        <v>0</v>
      </c>
      <c r="H88" s="92">
        <f t="shared" si="34"/>
        <v>0</v>
      </c>
      <c r="I88" s="92">
        <f t="shared" si="35"/>
        <v>0</v>
      </c>
      <c r="J88" s="92">
        <f t="shared" si="36"/>
        <v>0</v>
      </c>
      <c r="K88" s="92">
        <f t="shared" ca="1" si="37"/>
        <v>-3.1337684183461105E-2</v>
      </c>
      <c r="L88" s="92">
        <f t="shared" ca="1" si="38"/>
        <v>9.8205044998234841E-4</v>
      </c>
      <c r="M88" s="92">
        <f t="shared" ca="1" si="39"/>
        <v>8.7678651800552426E-2</v>
      </c>
      <c r="N88" s="92">
        <f t="shared" ca="1" si="40"/>
        <v>0.4850151893449447</v>
      </c>
      <c r="O88" s="92">
        <f t="shared" ca="1" si="41"/>
        <v>0.10242284941366221</v>
      </c>
      <c r="P88" s="25">
        <f t="shared" ca="1" si="42"/>
        <v>3.1337684183461105E-2</v>
      </c>
      <c r="Q88" s="25"/>
      <c r="R88" s="25"/>
    </row>
    <row r="89" spans="1:18" x14ac:dyDescent="0.2">
      <c r="A89" s="102"/>
      <c r="B89" s="102"/>
      <c r="C89" s="25"/>
      <c r="D89" s="103">
        <f t="shared" si="30"/>
        <v>0</v>
      </c>
      <c r="E89" s="103">
        <f t="shared" si="31"/>
        <v>0</v>
      </c>
      <c r="F89" s="92">
        <f t="shared" si="32"/>
        <v>0</v>
      </c>
      <c r="G89" s="92">
        <f t="shared" si="33"/>
        <v>0</v>
      </c>
      <c r="H89" s="92">
        <f t="shared" si="34"/>
        <v>0</v>
      </c>
      <c r="I89" s="92">
        <f t="shared" si="35"/>
        <v>0</v>
      </c>
      <c r="J89" s="92">
        <f t="shared" si="36"/>
        <v>0</v>
      </c>
      <c r="K89" s="92">
        <f t="shared" ca="1" si="37"/>
        <v>-3.1337684183461105E-2</v>
      </c>
      <c r="L89" s="92">
        <f t="shared" ca="1" si="38"/>
        <v>9.8205044998234841E-4</v>
      </c>
      <c r="M89" s="92">
        <f t="shared" ca="1" si="39"/>
        <v>8.7678651800552426E-2</v>
      </c>
      <c r="N89" s="92">
        <f t="shared" ca="1" si="40"/>
        <v>0.4850151893449447</v>
      </c>
      <c r="O89" s="92">
        <f t="shared" ca="1" si="41"/>
        <v>0.10242284941366221</v>
      </c>
      <c r="P89" s="25">
        <f t="shared" ca="1" si="42"/>
        <v>3.1337684183461105E-2</v>
      </c>
      <c r="Q89" s="25"/>
      <c r="R89" s="25"/>
    </row>
    <row r="90" spans="1:18" x14ac:dyDescent="0.2">
      <c r="A90" s="102"/>
      <c r="B90" s="102"/>
      <c r="C90" s="25"/>
      <c r="D90" s="103">
        <f t="shared" si="30"/>
        <v>0</v>
      </c>
      <c r="E90" s="103">
        <f t="shared" si="31"/>
        <v>0</v>
      </c>
      <c r="F90" s="92">
        <f t="shared" si="32"/>
        <v>0</v>
      </c>
      <c r="G90" s="92">
        <f t="shared" si="33"/>
        <v>0</v>
      </c>
      <c r="H90" s="92">
        <f t="shared" si="34"/>
        <v>0</v>
      </c>
      <c r="I90" s="92">
        <f t="shared" si="35"/>
        <v>0</v>
      </c>
      <c r="J90" s="92">
        <f t="shared" si="36"/>
        <v>0</v>
      </c>
      <c r="K90" s="92">
        <f t="shared" ca="1" si="37"/>
        <v>-3.1337684183461105E-2</v>
      </c>
      <c r="L90" s="92">
        <f t="shared" ca="1" si="38"/>
        <v>9.8205044998234841E-4</v>
      </c>
      <c r="M90" s="92">
        <f t="shared" ca="1" si="39"/>
        <v>8.7678651800552426E-2</v>
      </c>
      <c r="N90" s="92">
        <f t="shared" ca="1" si="40"/>
        <v>0.4850151893449447</v>
      </c>
      <c r="O90" s="92">
        <f t="shared" ca="1" si="41"/>
        <v>0.10242284941366221</v>
      </c>
      <c r="P90" s="25">
        <f t="shared" ca="1" si="42"/>
        <v>3.1337684183461105E-2</v>
      </c>
      <c r="Q90" s="25"/>
      <c r="R90" s="25"/>
    </row>
    <row r="91" spans="1:18" x14ac:dyDescent="0.2">
      <c r="A91" s="102"/>
      <c r="B91" s="102"/>
      <c r="C91" s="25"/>
      <c r="D91" s="103">
        <f t="shared" si="30"/>
        <v>0</v>
      </c>
      <c r="E91" s="103">
        <f t="shared" si="31"/>
        <v>0</v>
      </c>
      <c r="F91" s="92">
        <f t="shared" si="32"/>
        <v>0</v>
      </c>
      <c r="G91" s="92">
        <f t="shared" si="33"/>
        <v>0</v>
      </c>
      <c r="H91" s="92">
        <f t="shared" si="34"/>
        <v>0</v>
      </c>
      <c r="I91" s="92">
        <f t="shared" si="35"/>
        <v>0</v>
      </c>
      <c r="J91" s="92">
        <f t="shared" si="36"/>
        <v>0</v>
      </c>
      <c r="K91" s="92">
        <f t="shared" ca="1" si="37"/>
        <v>-3.1337684183461105E-2</v>
      </c>
      <c r="L91" s="92">
        <f t="shared" ca="1" si="38"/>
        <v>9.8205044998234841E-4</v>
      </c>
      <c r="M91" s="92">
        <f t="shared" ca="1" si="39"/>
        <v>8.7678651800552426E-2</v>
      </c>
      <c r="N91" s="92">
        <f t="shared" ca="1" si="40"/>
        <v>0.4850151893449447</v>
      </c>
      <c r="O91" s="92">
        <f t="shared" ca="1" si="41"/>
        <v>0.10242284941366221</v>
      </c>
      <c r="P91" s="25">
        <f t="shared" ca="1" si="42"/>
        <v>3.1337684183461105E-2</v>
      </c>
      <c r="Q91" s="25"/>
      <c r="R91" s="25"/>
    </row>
    <row r="92" spans="1:18" x14ac:dyDescent="0.2">
      <c r="A92" s="102"/>
      <c r="B92" s="102"/>
      <c r="C92" s="25"/>
      <c r="D92" s="103">
        <f t="shared" si="30"/>
        <v>0</v>
      </c>
      <c r="E92" s="103">
        <f t="shared" si="31"/>
        <v>0</v>
      </c>
      <c r="F92" s="92">
        <f t="shared" si="32"/>
        <v>0</v>
      </c>
      <c r="G92" s="92">
        <f t="shared" si="33"/>
        <v>0</v>
      </c>
      <c r="H92" s="92">
        <f t="shared" si="34"/>
        <v>0</v>
      </c>
      <c r="I92" s="92">
        <f t="shared" si="35"/>
        <v>0</v>
      </c>
      <c r="J92" s="92">
        <f t="shared" si="36"/>
        <v>0</v>
      </c>
      <c r="K92" s="92">
        <f t="shared" ca="1" si="37"/>
        <v>-3.1337684183461105E-2</v>
      </c>
      <c r="L92" s="92">
        <f t="shared" ca="1" si="38"/>
        <v>9.8205044998234841E-4</v>
      </c>
      <c r="M92" s="92">
        <f t="shared" ca="1" si="39"/>
        <v>8.7678651800552426E-2</v>
      </c>
      <c r="N92" s="92">
        <f t="shared" ca="1" si="40"/>
        <v>0.4850151893449447</v>
      </c>
      <c r="O92" s="92">
        <f t="shared" ca="1" si="41"/>
        <v>0.10242284941366221</v>
      </c>
      <c r="P92" s="25">
        <f t="shared" ca="1" si="42"/>
        <v>3.1337684183461105E-2</v>
      </c>
      <c r="Q92" s="25"/>
      <c r="R92" s="25"/>
    </row>
    <row r="93" spans="1:18" x14ac:dyDescent="0.2">
      <c r="A93" s="102"/>
      <c r="B93" s="102"/>
      <c r="C93" s="25"/>
      <c r="D93" s="103">
        <f t="shared" si="30"/>
        <v>0</v>
      </c>
      <c r="E93" s="103">
        <f t="shared" si="31"/>
        <v>0</v>
      </c>
      <c r="F93" s="92">
        <f t="shared" si="32"/>
        <v>0</v>
      </c>
      <c r="G93" s="92">
        <f t="shared" si="33"/>
        <v>0</v>
      </c>
      <c r="H93" s="92">
        <f t="shared" si="34"/>
        <v>0</v>
      </c>
      <c r="I93" s="92">
        <f t="shared" si="35"/>
        <v>0</v>
      </c>
      <c r="J93" s="92">
        <f t="shared" si="36"/>
        <v>0</v>
      </c>
      <c r="K93" s="92">
        <f t="shared" ca="1" si="37"/>
        <v>-3.1337684183461105E-2</v>
      </c>
      <c r="L93" s="92">
        <f t="shared" ca="1" si="38"/>
        <v>9.8205044998234841E-4</v>
      </c>
      <c r="M93" s="92">
        <f t="shared" ca="1" si="39"/>
        <v>8.7678651800552426E-2</v>
      </c>
      <c r="N93" s="92">
        <f t="shared" ca="1" si="40"/>
        <v>0.4850151893449447</v>
      </c>
      <c r="O93" s="92">
        <f t="shared" ca="1" si="41"/>
        <v>0.10242284941366221</v>
      </c>
      <c r="P93" s="25">
        <f t="shared" ca="1" si="42"/>
        <v>3.1337684183461105E-2</v>
      </c>
      <c r="Q93" s="25"/>
      <c r="R93" s="25"/>
    </row>
    <row r="94" spans="1:18" x14ac:dyDescent="0.2">
      <c r="A94" s="102"/>
      <c r="B94" s="102"/>
      <c r="C94" s="25"/>
      <c r="D94" s="103">
        <f t="shared" si="30"/>
        <v>0</v>
      </c>
      <c r="E94" s="103">
        <f t="shared" si="31"/>
        <v>0</v>
      </c>
      <c r="F94" s="92">
        <f t="shared" si="32"/>
        <v>0</v>
      </c>
      <c r="G94" s="92">
        <f t="shared" si="33"/>
        <v>0</v>
      </c>
      <c r="H94" s="92">
        <f t="shared" si="34"/>
        <v>0</v>
      </c>
      <c r="I94" s="92">
        <f t="shared" si="35"/>
        <v>0</v>
      </c>
      <c r="J94" s="92">
        <f t="shared" si="36"/>
        <v>0</v>
      </c>
      <c r="K94" s="92">
        <f t="shared" ca="1" si="37"/>
        <v>-3.1337684183461105E-2</v>
      </c>
      <c r="L94" s="92">
        <f t="shared" ca="1" si="38"/>
        <v>9.8205044998234841E-4</v>
      </c>
      <c r="M94" s="92">
        <f t="shared" ca="1" si="39"/>
        <v>8.7678651800552426E-2</v>
      </c>
      <c r="N94" s="92">
        <f t="shared" ca="1" si="40"/>
        <v>0.4850151893449447</v>
      </c>
      <c r="O94" s="92">
        <f t="shared" ca="1" si="41"/>
        <v>0.10242284941366221</v>
      </c>
      <c r="P94" s="25">
        <f t="shared" ca="1" si="42"/>
        <v>3.1337684183461105E-2</v>
      </c>
      <c r="Q94" s="25"/>
      <c r="R94" s="25"/>
    </row>
    <row r="95" spans="1:18" x14ac:dyDescent="0.2">
      <c r="A95" s="102"/>
      <c r="B95" s="102"/>
      <c r="C95" s="25"/>
      <c r="D95" s="103">
        <f t="shared" si="30"/>
        <v>0</v>
      </c>
      <c r="E95" s="103">
        <f t="shared" si="31"/>
        <v>0</v>
      </c>
      <c r="F95" s="92">
        <f t="shared" si="32"/>
        <v>0</v>
      </c>
      <c r="G95" s="92">
        <f t="shared" si="33"/>
        <v>0</v>
      </c>
      <c r="H95" s="92">
        <f t="shared" si="34"/>
        <v>0</v>
      </c>
      <c r="I95" s="92">
        <f t="shared" si="35"/>
        <v>0</v>
      </c>
      <c r="J95" s="92">
        <f t="shared" si="36"/>
        <v>0</v>
      </c>
      <c r="K95" s="92">
        <f t="shared" ca="1" si="37"/>
        <v>-3.1337684183461105E-2</v>
      </c>
      <c r="L95" s="92">
        <f t="shared" ca="1" si="38"/>
        <v>9.8205044998234841E-4</v>
      </c>
      <c r="M95" s="92">
        <f t="shared" ca="1" si="39"/>
        <v>8.7678651800552426E-2</v>
      </c>
      <c r="N95" s="92">
        <f t="shared" ca="1" si="40"/>
        <v>0.4850151893449447</v>
      </c>
      <c r="O95" s="92">
        <f t="shared" ca="1" si="41"/>
        <v>0.10242284941366221</v>
      </c>
      <c r="P95" s="25">
        <f t="shared" ca="1" si="42"/>
        <v>3.1337684183461105E-2</v>
      </c>
      <c r="Q95" s="25"/>
      <c r="R95" s="25"/>
    </row>
    <row r="96" spans="1:18" x14ac:dyDescent="0.2">
      <c r="A96" s="102"/>
      <c r="B96" s="102"/>
      <c r="C96" s="25"/>
      <c r="D96" s="103">
        <f t="shared" si="30"/>
        <v>0</v>
      </c>
      <c r="E96" s="103">
        <f t="shared" si="31"/>
        <v>0</v>
      </c>
      <c r="F96" s="92">
        <f t="shared" si="32"/>
        <v>0</v>
      </c>
      <c r="G96" s="92">
        <f t="shared" si="33"/>
        <v>0</v>
      </c>
      <c r="H96" s="92">
        <f t="shared" si="34"/>
        <v>0</v>
      </c>
      <c r="I96" s="92">
        <f t="shared" si="35"/>
        <v>0</v>
      </c>
      <c r="J96" s="92">
        <f t="shared" si="36"/>
        <v>0</v>
      </c>
      <c r="K96" s="92">
        <f t="shared" ca="1" si="37"/>
        <v>-3.1337684183461105E-2</v>
      </c>
      <c r="L96" s="92">
        <f t="shared" ca="1" si="38"/>
        <v>9.8205044998234841E-4</v>
      </c>
      <c r="M96" s="92">
        <f t="shared" ca="1" si="39"/>
        <v>8.7678651800552426E-2</v>
      </c>
      <c r="N96" s="92">
        <f t="shared" ca="1" si="40"/>
        <v>0.4850151893449447</v>
      </c>
      <c r="O96" s="92">
        <f t="shared" ca="1" si="41"/>
        <v>0.10242284941366221</v>
      </c>
      <c r="P96" s="25">
        <f t="shared" ca="1" si="42"/>
        <v>3.1337684183461105E-2</v>
      </c>
      <c r="Q96" s="25"/>
      <c r="R96" s="25"/>
    </row>
    <row r="97" spans="1:18" x14ac:dyDescent="0.2">
      <c r="A97" s="102"/>
      <c r="B97" s="102"/>
      <c r="C97" s="25"/>
      <c r="D97" s="103">
        <f t="shared" si="30"/>
        <v>0</v>
      </c>
      <c r="E97" s="103">
        <f t="shared" si="31"/>
        <v>0</v>
      </c>
      <c r="F97" s="92">
        <f t="shared" si="32"/>
        <v>0</v>
      </c>
      <c r="G97" s="92">
        <f t="shared" si="33"/>
        <v>0</v>
      </c>
      <c r="H97" s="92">
        <f t="shared" si="34"/>
        <v>0</v>
      </c>
      <c r="I97" s="92">
        <f t="shared" si="35"/>
        <v>0</v>
      </c>
      <c r="J97" s="92">
        <f t="shared" si="36"/>
        <v>0</v>
      </c>
      <c r="K97" s="92">
        <f t="shared" ca="1" si="37"/>
        <v>-3.1337684183461105E-2</v>
      </c>
      <c r="L97" s="92">
        <f t="shared" ca="1" si="38"/>
        <v>9.8205044998234841E-4</v>
      </c>
      <c r="M97" s="92">
        <f t="shared" ca="1" si="39"/>
        <v>8.7678651800552426E-2</v>
      </c>
      <c r="N97" s="92">
        <f t="shared" ca="1" si="40"/>
        <v>0.4850151893449447</v>
      </c>
      <c r="O97" s="92">
        <f t="shared" ca="1" si="41"/>
        <v>0.10242284941366221</v>
      </c>
      <c r="P97" s="25">
        <f t="shared" ca="1" si="42"/>
        <v>3.1337684183461105E-2</v>
      </c>
      <c r="Q97" s="25"/>
      <c r="R97" s="25"/>
    </row>
    <row r="98" spans="1:18" x14ac:dyDescent="0.2">
      <c r="A98" s="102"/>
      <c r="B98" s="102"/>
      <c r="C98" s="25"/>
      <c r="D98" s="103">
        <f t="shared" si="30"/>
        <v>0</v>
      </c>
      <c r="E98" s="103">
        <f t="shared" si="31"/>
        <v>0</v>
      </c>
      <c r="F98" s="92">
        <f t="shared" si="32"/>
        <v>0</v>
      </c>
      <c r="G98" s="92">
        <f t="shared" si="33"/>
        <v>0</v>
      </c>
      <c r="H98" s="92">
        <f t="shared" si="34"/>
        <v>0</v>
      </c>
      <c r="I98" s="92">
        <f t="shared" si="35"/>
        <v>0</v>
      </c>
      <c r="J98" s="92">
        <f t="shared" si="36"/>
        <v>0</v>
      </c>
      <c r="K98" s="92">
        <f t="shared" ca="1" si="37"/>
        <v>-3.1337684183461105E-2</v>
      </c>
      <c r="L98" s="92">
        <f t="shared" ca="1" si="38"/>
        <v>9.8205044998234841E-4</v>
      </c>
      <c r="M98" s="92">
        <f t="shared" ca="1" si="39"/>
        <v>8.7678651800552426E-2</v>
      </c>
      <c r="N98" s="92">
        <f t="shared" ca="1" si="40"/>
        <v>0.4850151893449447</v>
      </c>
      <c r="O98" s="92">
        <f t="shared" ca="1" si="41"/>
        <v>0.10242284941366221</v>
      </c>
      <c r="P98" s="25">
        <f t="shared" ca="1" si="42"/>
        <v>3.1337684183461105E-2</v>
      </c>
      <c r="Q98" s="25"/>
      <c r="R98" s="25"/>
    </row>
    <row r="99" spans="1:18" x14ac:dyDescent="0.2">
      <c r="A99" s="102"/>
      <c r="B99" s="102"/>
      <c r="C99" s="25"/>
      <c r="D99" s="103">
        <f t="shared" si="30"/>
        <v>0</v>
      </c>
      <c r="E99" s="103">
        <f t="shared" si="31"/>
        <v>0</v>
      </c>
      <c r="F99" s="92">
        <f t="shared" si="32"/>
        <v>0</v>
      </c>
      <c r="G99" s="92">
        <f t="shared" si="33"/>
        <v>0</v>
      </c>
      <c r="H99" s="92">
        <f t="shared" si="34"/>
        <v>0</v>
      </c>
      <c r="I99" s="92">
        <f t="shared" si="35"/>
        <v>0</v>
      </c>
      <c r="J99" s="92">
        <f t="shared" si="36"/>
        <v>0</v>
      </c>
      <c r="K99" s="92">
        <f t="shared" ca="1" si="37"/>
        <v>-3.1337684183461105E-2</v>
      </c>
      <c r="L99" s="92">
        <f t="shared" ca="1" si="38"/>
        <v>9.8205044998234841E-4</v>
      </c>
      <c r="M99" s="92">
        <f t="shared" ca="1" si="39"/>
        <v>8.7678651800552426E-2</v>
      </c>
      <c r="N99" s="92">
        <f t="shared" ca="1" si="40"/>
        <v>0.4850151893449447</v>
      </c>
      <c r="O99" s="92">
        <f t="shared" ca="1" si="41"/>
        <v>0.10242284941366221</v>
      </c>
      <c r="P99" s="25">
        <f t="shared" ca="1" si="42"/>
        <v>3.1337684183461105E-2</v>
      </c>
      <c r="Q99" s="25"/>
      <c r="R99" s="25"/>
    </row>
    <row r="100" spans="1:18" x14ac:dyDescent="0.2">
      <c r="A100" s="102"/>
      <c r="B100" s="102"/>
      <c r="C100" s="25"/>
      <c r="D100" s="103">
        <f t="shared" si="30"/>
        <v>0</v>
      </c>
      <c r="E100" s="103">
        <f t="shared" si="31"/>
        <v>0</v>
      </c>
      <c r="F100" s="92">
        <f t="shared" si="32"/>
        <v>0</v>
      </c>
      <c r="G100" s="92">
        <f t="shared" si="33"/>
        <v>0</v>
      </c>
      <c r="H100" s="92">
        <f t="shared" si="34"/>
        <v>0</v>
      </c>
      <c r="I100" s="92">
        <f t="shared" si="35"/>
        <v>0</v>
      </c>
      <c r="J100" s="92">
        <f t="shared" si="36"/>
        <v>0</v>
      </c>
      <c r="K100" s="92">
        <f t="shared" ca="1" si="37"/>
        <v>-3.1337684183461105E-2</v>
      </c>
      <c r="L100" s="92">
        <f t="shared" ca="1" si="38"/>
        <v>9.8205044998234841E-4</v>
      </c>
      <c r="M100" s="92">
        <f t="shared" ca="1" si="39"/>
        <v>8.7678651800552426E-2</v>
      </c>
      <c r="N100" s="92">
        <f t="shared" ca="1" si="40"/>
        <v>0.4850151893449447</v>
      </c>
      <c r="O100" s="92">
        <f t="shared" ca="1" si="41"/>
        <v>0.10242284941366221</v>
      </c>
      <c r="P100" s="25">
        <f t="shared" ca="1" si="42"/>
        <v>3.1337684183461105E-2</v>
      </c>
      <c r="Q100" s="25"/>
      <c r="R100" s="25"/>
    </row>
    <row r="101" spans="1:18" x14ac:dyDescent="0.2">
      <c r="A101" s="102"/>
      <c r="B101" s="102"/>
      <c r="C101" s="25"/>
      <c r="D101" s="103">
        <f t="shared" si="30"/>
        <v>0</v>
      </c>
      <c r="E101" s="103">
        <f t="shared" si="31"/>
        <v>0</v>
      </c>
      <c r="F101" s="92">
        <f t="shared" si="32"/>
        <v>0</v>
      </c>
      <c r="G101" s="92">
        <f t="shared" si="33"/>
        <v>0</v>
      </c>
      <c r="H101" s="92">
        <f t="shared" si="34"/>
        <v>0</v>
      </c>
      <c r="I101" s="92">
        <f t="shared" si="35"/>
        <v>0</v>
      </c>
      <c r="J101" s="92">
        <f t="shared" si="36"/>
        <v>0</v>
      </c>
      <c r="K101" s="92">
        <f t="shared" ca="1" si="37"/>
        <v>-3.1337684183461105E-2</v>
      </c>
      <c r="L101" s="92">
        <f t="shared" ca="1" si="38"/>
        <v>9.8205044998234841E-4</v>
      </c>
      <c r="M101" s="92">
        <f t="shared" ca="1" si="39"/>
        <v>8.7678651800552426E-2</v>
      </c>
      <c r="N101" s="92">
        <f t="shared" ca="1" si="40"/>
        <v>0.4850151893449447</v>
      </c>
      <c r="O101" s="92">
        <f t="shared" ca="1" si="41"/>
        <v>0.10242284941366221</v>
      </c>
      <c r="P101" s="25">
        <f t="shared" ca="1" si="42"/>
        <v>3.1337684183461105E-2</v>
      </c>
      <c r="Q101" s="25"/>
      <c r="R101" s="25"/>
    </row>
    <row r="102" spans="1:18" x14ac:dyDescent="0.2">
      <c r="A102" s="102"/>
      <c r="B102" s="102"/>
      <c r="C102" s="25"/>
      <c r="D102" s="103">
        <f t="shared" si="30"/>
        <v>0</v>
      </c>
      <c r="E102" s="103">
        <f t="shared" si="31"/>
        <v>0</v>
      </c>
      <c r="F102" s="92">
        <f t="shared" si="32"/>
        <v>0</v>
      </c>
      <c r="G102" s="92">
        <f t="shared" si="33"/>
        <v>0</v>
      </c>
      <c r="H102" s="92">
        <f t="shared" si="34"/>
        <v>0</v>
      </c>
      <c r="I102" s="92">
        <f t="shared" si="35"/>
        <v>0</v>
      </c>
      <c r="J102" s="92">
        <f t="shared" si="36"/>
        <v>0</v>
      </c>
      <c r="K102" s="92">
        <f t="shared" ca="1" si="37"/>
        <v>-3.1337684183461105E-2</v>
      </c>
      <c r="L102" s="92">
        <f t="shared" ca="1" si="38"/>
        <v>9.8205044998234841E-4</v>
      </c>
      <c r="M102" s="92">
        <f t="shared" ca="1" si="39"/>
        <v>8.7678651800552426E-2</v>
      </c>
      <c r="N102" s="92">
        <f t="shared" ca="1" si="40"/>
        <v>0.4850151893449447</v>
      </c>
      <c r="O102" s="92">
        <f t="shared" ca="1" si="41"/>
        <v>0.10242284941366221</v>
      </c>
      <c r="P102" s="25">
        <f t="shared" ca="1" si="42"/>
        <v>3.1337684183461105E-2</v>
      </c>
      <c r="Q102" s="25"/>
      <c r="R102" s="25"/>
    </row>
    <row r="103" spans="1:18" x14ac:dyDescent="0.2">
      <c r="A103" s="102"/>
      <c r="B103" s="102"/>
      <c r="C103" s="25"/>
      <c r="D103" s="103">
        <f t="shared" si="30"/>
        <v>0</v>
      </c>
      <c r="E103" s="103">
        <f t="shared" si="31"/>
        <v>0</v>
      </c>
      <c r="F103" s="92">
        <f t="shared" si="32"/>
        <v>0</v>
      </c>
      <c r="G103" s="92">
        <f t="shared" si="33"/>
        <v>0</v>
      </c>
      <c r="H103" s="92">
        <f t="shared" si="34"/>
        <v>0</v>
      </c>
      <c r="I103" s="92">
        <f t="shared" si="35"/>
        <v>0</v>
      </c>
      <c r="J103" s="92">
        <f t="shared" si="36"/>
        <v>0</v>
      </c>
      <c r="K103" s="92">
        <f t="shared" ca="1" si="37"/>
        <v>-3.1337684183461105E-2</v>
      </c>
      <c r="L103" s="92">
        <f t="shared" ca="1" si="38"/>
        <v>9.8205044998234841E-4</v>
      </c>
      <c r="M103" s="92">
        <f t="shared" ca="1" si="39"/>
        <v>8.7678651800552426E-2</v>
      </c>
      <c r="N103" s="92">
        <f t="shared" ca="1" si="40"/>
        <v>0.4850151893449447</v>
      </c>
      <c r="O103" s="92">
        <f t="shared" ca="1" si="41"/>
        <v>0.10242284941366221</v>
      </c>
      <c r="P103" s="25">
        <f t="shared" ca="1" si="42"/>
        <v>3.1337684183461105E-2</v>
      </c>
      <c r="Q103" s="25"/>
      <c r="R103" s="25"/>
    </row>
    <row r="104" spans="1:18" x14ac:dyDescent="0.2">
      <c r="A104" s="102"/>
      <c r="B104" s="102"/>
      <c r="C104" s="25"/>
      <c r="D104" s="103">
        <f t="shared" si="30"/>
        <v>0</v>
      </c>
      <c r="E104" s="103">
        <f t="shared" si="31"/>
        <v>0</v>
      </c>
      <c r="F104" s="92">
        <f t="shared" si="32"/>
        <v>0</v>
      </c>
      <c r="G104" s="92">
        <f t="shared" si="33"/>
        <v>0</v>
      </c>
      <c r="H104" s="92">
        <f t="shared" si="34"/>
        <v>0</v>
      </c>
      <c r="I104" s="92">
        <f t="shared" si="35"/>
        <v>0</v>
      </c>
      <c r="J104" s="92">
        <f t="shared" si="36"/>
        <v>0</v>
      </c>
      <c r="K104" s="92">
        <f t="shared" ca="1" si="37"/>
        <v>-3.1337684183461105E-2</v>
      </c>
      <c r="L104" s="92">
        <f t="shared" ca="1" si="38"/>
        <v>9.8205044998234841E-4</v>
      </c>
      <c r="M104" s="92">
        <f t="shared" ca="1" si="39"/>
        <v>8.7678651800552426E-2</v>
      </c>
      <c r="N104" s="92">
        <f t="shared" ca="1" si="40"/>
        <v>0.4850151893449447</v>
      </c>
      <c r="O104" s="92">
        <f t="shared" ca="1" si="41"/>
        <v>0.10242284941366221</v>
      </c>
      <c r="P104" s="25">
        <f t="shared" ca="1" si="42"/>
        <v>3.1337684183461105E-2</v>
      </c>
      <c r="Q104" s="25"/>
      <c r="R104" s="25"/>
    </row>
    <row r="105" spans="1:18" x14ac:dyDescent="0.2">
      <c r="A105" s="102"/>
      <c r="B105" s="102"/>
      <c r="C105" s="25"/>
      <c r="D105" s="103">
        <f t="shared" si="30"/>
        <v>0</v>
      </c>
      <c r="E105" s="103">
        <f t="shared" si="31"/>
        <v>0</v>
      </c>
      <c r="F105" s="92">
        <f t="shared" si="32"/>
        <v>0</v>
      </c>
      <c r="G105" s="92">
        <f t="shared" si="33"/>
        <v>0</v>
      </c>
      <c r="H105" s="92">
        <f t="shared" si="34"/>
        <v>0</v>
      </c>
      <c r="I105" s="92">
        <f t="shared" si="35"/>
        <v>0</v>
      </c>
      <c r="J105" s="92">
        <f t="shared" si="36"/>
        <v>0</v>
      </c>
      <c r="K105" s="92">
        <f t="shared" ca="1" si="37"/>
        <v>-3.1337684183461105E-2</v>
      </c>
      <c r="L105" s="92">
        <f t="shared" ca="1" si="38"/>
        <v>9.8205044998234841E-4</v>
      </c>
      <c r="M105" s="92">
        <f t="shared" ca="1" si="39"/>
        <v>8.7678651800552426E-2</v>
      </c>
      <c r="N105" s="92">
        <f t="shared" ca="1" si="40"/>
        <v>0.4850151893449447</v>
      </c>
      <c r="O105" s="92">
        <f t="shared" ca="1" si="41"/>
        <v>0.10242284941366221</v>
      </c>
      <c r="P105" s="25">
        <f t="shared" ca="1" si="42"/>
        <v>3.1337684183461105E-2</v>
      </c>
      <c r="Q105" s="25"/>
      <c r="R105" s="25"/>
    </row>
    <row r="106" spans="1:18" x14ac:dyDescent="0.2">
      <c r="A106" s="102"/>
      <c r="B106" s="102"/>
      <c r="C106" s="25"/>
      <c r="D106" s="103">
        <f t="shared" si="30"/>
        <v>0</v>
      </c>
      <c r="E106" s="103">
        <f t="shared" si="31"/>
        <v>0</v>
      </c>
      <c r="F106" s="92">
        <f t="shared" si="32"/>
        <v>0</v>
      </c>
      <c r="G106" s="92">
        <f t="shared" si="33"/>
        <v>0</v>
      </c>
      <c r="H106" s="92">
        <f t="shared" si="34"/>
        <v>0</v>
      </c>
      <c r="I106" s="92">
        <f t="shared" si="35"/>
        <v>0</v>
      </c>
      <c r="J106" s="92">
        <f t="shared" si="36"/>
        <v>0</v>
      </c>
      <c r="K106" s="92">
        <f t="shared" ca="1" si="37"/>
        <v>-3.1337684183461105E-2</v>
      </c>
      <c r="L106" s="92">
        <f t="shared" ca="1" si="38"/>
        <v>9.8205044998234841E-4</v>
      </c>
      <c r="M106" s="92">
        <f t="shared" ca="1" si="39"/>
        <v>8.7678651800552426E-2</v>
      </c>
      <c r="N106" s="92">
        <f t="shared" ca="1" si="40"/>
        <v>0.4850151893449447</v>
      </c>
      <c r="O106" s="92">
        <f t="shared" ca="1" si="41"/>
        <v>0.10242284941366221</v>
      </c>
      <c r="P106" s="25">
        <f t="shared" ca="1" si="42"/>
        <v>3.1337684183461105E-2</v>
      </c>
      <c r="Q106" s="25"/>
      <c r="R106" s="25"/>
    </row>
    <row r="107" spans="1:18" x14ac:dyDescent="0.2">
      <c r="A107" s="102"/>
      <c r="B107" s="102"/>
      <c r="C107" s="25"/>
      <c r="D107" s="103">
        <f t="shared" si="30"/>
        <v>0</v>
      </c>
      <c r="E107" s="103">
        <f t="shared" si="31"/>
        <v>0</v>
      </c>
      <c r="F107" s="92">
        <f t="shared" si="32"/>
        <v>0</v>
      </c>
      <c r="G107" s="92">
        <f t="shared" si="33"/>
        <v>0</v>
      </c>
      <c r="H107" s="92">
        <f t="shared" si="34"/>
        <v>0</v>
      </c>
      <c r="I107" s="92">
        <f t="shared" si="35"/>
        <v>0</v>
      </c>
      <c r="J107" s="92">
        <f t="shared" si="36"/>
        <v>0</v>
      </c>
      <c r="K107" s="92">
        <f t="shared" ca="1" si="37"/>
        <v>-3.1337684183461105E-2</v>
      </c>
      <c r="L107" s="92">
        <f t="shared" ca="1" si="38"/>
        <v>9.8205044998234841E-4</v>
      </c>
      <c r="M107" s="92">
        <f t="shared" ca="1" si="39"/>
        <v>8.7678651800552426E-2</v>
      </c>
      <c r="N107" s="92">
        <f t="shared" ca="1" si="40"/>
        <v>0.4850151893449447</v>
      </c>
      <c r="O107" s="92">
        <f t="shared" ca="1" si="41"/>
        <v>0.10242284941366221</v>
      </c>
      <c r="P107" s="25">
        <f t="shared" ca="1" si="42"/>
        <v>3.1337684183461105E-2</v>
      </c>
      <c r="Q107" s="25"/>
      <c r="R107" s="25"/>
    </row>
    <row r="108" spans="1:18" x14ac:dyDescent="0.2">
      <c r="A108" s="102"/>
      <c r="B108" s="102"/>
      <c r="C108" s="25"/>
      <c r="D108" s="103">
        <f t="shared" si="30"/>
        <v>0</v>
      </c>
      <c r="E108" s="103">
        <f t="shared" si="31"/>
        <v>0</v>
      </c>
      <c r="F108" s="92">
        <f t="shared" si="32"/>
        <v>0</v>
      </c>
      <c r="G108" s="92">
        <f t="shared" si="33"/>
        <v>0</v>
      </c>
      <c r="H108" s="92">
        <f t="shared" si="34"/>
        <v>0</v>
      </c>
      <c r="I108" s="92">
        <f t="shared" si="35"/>
        <v>0</v>
      </c>
      <c r="J108" s="92">
        <f t="shared" si="36"/>
        <v>0</v>
      </c>
      <c r="K108" s="92">
        <f t="shared" ca="1" si="37"/>
        <v>-3.1337684183461105E-2</v>
      </c>
      <c r="L108" s="92">
        <f t="shared" ca="1" si="38"/>
        <v>9.8205044998234841E-4</v>
      </c>
      <c r="M108" s="92">
        <f t="shared" ca="1" si="39"/>
        <v>8.7678651800552426E-2</v>
      </c>
      <c r="N108" s="92">
        <f t="shared" ca="1" si="40"/>
        <v>0.4850151893449447</v>
      </c>
      <c r="O108" s="92">
        <f t="shared" ca="1" si="41"/>
        <v>0.10242284941366221</v>
      </c>
      <c r="P108" s="25">
        <f t="shared" ca="1" si="42"/>
        <v>3.1337684183461105E-2</v>
      </c>
      <c r="Q108" s="25"/>
      <c r="R108" s="25"/>
    </row>
    <row r="109" spans="1:18" x14ac:dyDescent="0.2">
      <c r="A109" s="102"/>
      <c r="B109" s="102"/>
      <c r="C109" s="25"/>
      <c r="D109" s="103">
        <f t="shared" si="30"/>
        <v>0</v>
      </c>
      <c r="E109" s="103">
        <f t="shared" si="31"/>
        <v>0</v>
      </c>
      <c r="F109" s="92">
        <f t="shared" si="32"/>
        <v>0</v>
      </c>
      <c r="G109" s="92">
        <f t="shared" si="33"/>
        <v>0</v>
      </c>
      <c r="H109" s="92">
        <f t="shared" si="34"/>
        <v>0</v>
      </c>
      <c r="I109" s="92">
        <f t="shared" si="35"/>
        <v>0</v>
      </c>
      <c r="J109" s="92">
        <f t="shared" si="36"/>
        <v>0</v>
      </c>
      <c r="K109" s="92">
        <f t="shared" ca="1" si="37"/>
        <v>-3.1337684183461105E-2</v>
      </c>
      <c r="L109" s="92">
        <f t="shared" ca="1" si="38"/>
        <v>9.8205044998234841E-4</v>
      </c>
      <c r="M109" s="92">
        <f t="shared" ca="1" si="39"/>
        <v>8.7678651800552426E-2</v>
      </c>
      <c r="N109" s="92">
        <f t="shared" ca="1" si="40"/>
        <v>0.4850151893449447</v>
      </c>
      <c r="O109" s="92">
        <f t="shared" ca="1" si="41"/>
        <v>0.10242284941366221</v>
      </c>
      <c r="P109" s="25">
        <f t="shared" ca="1" si="42"/>
        <v>3.1337684183461105E-2</v>
      </c>
      <c r="Q109" s="25"/>
      <c r="R109" s="25"/>
    </row>
    <row r="110" spans="1:18" x14ac:dyDescent="0.2">
      <c r="A110" s="102"/>
      <c r="B110" s="102"/>
      <c r="C110" s="25"/>
      <c r="D110" s="103">
        <f t="shared" si="30"/>
        <v>0</v>
      </c>
      <c r="E110" s="103">
        <f t="shared" si="31"/>
        <v>0</v>
      </c>
      <c r="F110" s="92">
        <f t="shared" si="32"/>
        <v>0</v>
      </c>
      <c r="G110" s="92">
        <f t="shared" si="33"/>
        <v>0</v>
      </c>
      <c r="H110" s="92">
        <f t="shared" si="34"/>
        <v>0</v>
      </c>
      <c r="I110" s="92">
        <f t="shared" si="35"/>
        <v>0</v>
      </c>
      <c r="J110" s="92">
        <f t="shared" si="36"/>
        <v>0</v>
      </c>
      <c r="K110" s="92">
        <f t="shared" ca="1" si="37"/>
        <v>-3.1337684183461105E-2</v>
      </c>
      <c r="L110" s="92">
        <f t="shared" ca="1" si="38"/>
        <v>9.8205044998234841E-4</v>
      </c>
      <c r="M110" s="92">
        <f t="shared" ca="1" si="39"/>
        <v>8.7678651800552426E-2</v>
      </c>
      <c r="N110" s="92">
        <f t="shared" ca="1" si="40"/>
        <v>0.4850151893449447</v>
      </c>
      <c r="O110" s="92">
        <f t="shared" ca="1" si="41"/>
        <v>0.10242284941366221</v>
      </c>
      <c r="P110" s="25">
        <f t="shared" ca="1" si="42"/>
        <v>3.1337684183461105E-2</v>
      </c>
      <c r="Q110" s="25"/>
      <c r="R110" s="25"/>
    </row>
    <row r="111" spans="1:18" x14ac:dyDescent="0.2">
      <c r="A111" s="102"/>
      <c r="B111" s="102"/>
      <c r="C111" s="25"/>
      <c r="D111" s="103">
        <f t="shared" si="30"/>
        <v>0</v>
      </c>
      <c r="E111" s="103">
        <f t="shared" si="31"/>
        <v>0</v>
      </c>
      <c r="F111" s="92">
        <f t="shared" si="32"/>
        <v>0</v>
      </c>
      <c r="G111" s="92">
        <f t="shared" si="33"/>
        <v>0</v>
      </c>
      <c r="H111" s="92">
        <f t="shared" si="34"/>
        <v>0</v>
      </c>
      <c r="I111" s="92">
        <f t="shared" si="35"/>
        <v>0</v>
      </c>
      <c r="J111" s="92">
        <f t="shared" si="36"/>
        <v>0</v>
      </c>
      <c r="K111" s="92">
        <f t="shared" ca="1" si="37"/>
        <v>-3.1337684183461105E-2</v>
      </c>
      <c r="L111" s="92">
        <f t="shared" ca="1" si="38"/>
        <v>9.8205044998234841E-4</v>
      </c>
      <c r="M111" s="92">
        <f t="shared" ca="1" si="39"/>
        <v>8.7678651800552426E-2</v>
      </c>
      <c r="N111" s="92">
        <f t="shared" ca="1" si="40"/>
        <v>0.4850151893449447</v>
      </c>
      <c r="O111" s="92">
        <f t="shared" ca="1" si="41"/>
        <v>0.10242284941366221</v>
      </c>
      <c r="P111" s="25">
        <f t="shared" ca="1" si="42"/>
        <v>3.1337684183461105E-2</v>
      </c>
      <c r="Q111" s="25"/>
      <c r="R111" s="25"/>
    </row>
    <row r="112" spans="1:18" x14ac:dyDescent="0.2">
      <c r="A112" s="102"/>
      <c r="B112" s="102"/>
      <c r="C112" s="25"/>
      <c r="D112" s="103">
        <f t="shared" si="30"/>
        <v>0</v>
      </c>
      <c r="E112" s="103">
        <f t="shared" si="31"/>
        <v>0</v>
      </c>
      <c r="F112" s="92">
        <f t="shared" si="32"/>
        <v>0</v>
      </c>
      <c r="G112" s="92">
        <f t="shared" si="33"/>
        <v>0</v>
      </c>
      <c r="H112" s="92">
        <f t="shared" si="34"/>
        <v>0</v>
      </c>
      <c r="I112" s="92">
        <f t="shared" si="35"/>
        <v>0</v>
      </c>
      <c r="J112" s="92">
        <f t="shared" si="36"/>
        <v>0</v>
      </c>
      <c r="K112" s="92">
        <f t="shared" ca="1" si="37"/>
        <v>-3.1337684183461105E-2</v>
      </c>
      <c r="L112" s="92">
        <f t="shared" ca="1" si="38"/>
        <v>9.8205044998234841E-4</v>
      </c>
      <c r="M112" s="92">
        <f t="shared" ca="1" si="39"/>
        <v>8.7678651800552426E-2</v>
      </c>
      <c r="N112" s="92">
        <f t="shared" ca="1" si="40"/>
        <v>0.4850151893449447</v>
      </c>
      <c r="O112" s="92">
        <f t="shared" ca="1" si="41"/>
        <v>0.10242284941366221</v>
      </c>
      <c r="P112" s="25">
        <f t="shared" ca="1" si="42"/>
        <v>3.1337684183461105E-2</v>
      </c>
      <c r="Q112" s="25"/>
      <c r="R112" s="25"/>
    </row>
    <row r="113" spans="1:18" x14ac:dyDescent="0.2">
      <c r="A113" s="102"/>
      <c r="B113" s="102"/>
      <c r="C113" s="25"/>
      <c r="D113" s="103">
        <f t="shared" si="30"/>
        <v>0</v>
      </c>
      <c r="E113" s="103">
        <f t="shared" si="31"/>
        <v>0</v>
      </c>
      <c r="F113" s="92">
        <f t="shared" si="32"/>
        <v>0</v>
      </c>
      <c r="G113" s="92">
        <f t="shared" si="33"/>
        <v>0</v>
      </c>
      <c r="H113" s="92">
        <f t="shared" si="34"/>
        <v>0</v>
      </c>
      <c r="I113" s="92">
        <f t="shared" si="35"/>
        <v>0</v>
      </c>
      <c r="J113" s="92">
        <f t="shared" si="36"/>
        <v>0</v>
      </c>
      <c r="K113" s="92">
        <f t="shared" ca="1" si="37"/>
        <v>-3.1337684183461105E-2</v>
      </c>
      <c r="L113" s="92">
        <f t="shared" ca="1" si="38"/>
        <v>9.8205044998234841E-4</v>
      </c>
      <c r="M113" s="92">
        <f t="shared" ca="1" si="39"/>
        <v>8.7678651800552426E-2</v>
      </c>
      <c r="N113" s="92">
        <f t="shared" ca="1" si="40"/>
        <v>0.4850151893449447</v>
      </c>
      <c r="O113" s="92">
        <f t="shared" ca="1" si="41"/>
        <v>0.10242284941366221</v>
      </c>
      <c r="P113" s="25">
        <f t="shared" ca="1" si="42"/>
        <v>3.1337684183461105E-2</v>
      </c>
      <c r="Q113" s="25"/>
      <c r="R113" s="25"/>
    </row>
    <row r="114" spans="1:18" x14ac:dyDescent="0.2">
      <c r="A114" s="102"/>
      <c r="B114" s="102"/>
      <c r="C114" s="25"/>
      <c r="D114" s="103">
        <f t="shared" si="30"/>
        <v>0</v>
      </c>
      <c r="E114" s="103">
        <f t="shared" si="31"/>
        <v>0</v>
      </c>
      <c r="F114" s="92">
        <f t="shared" si="32"/>
        <v>0</v>
      </c>
      <c r="G114" s="92">
        <f t="shared" si="33"/>
        <v>0</v>
      </c>
      <c r="H114" s="92">
        <f t="shared" si="34"/>
        <v>0</v>
      </c>
      <c r="I114" s="92">
        <f t="shared" si="35"/>
        <v>0</v>
      </c>
      <c r="J114" s="92">
        <f t="shared" si="36"/>
        <v>0</v>
      </c>
      <c r="K114" s="92">
        <f t="shared" ca="1" si="37"/>
        <v>-3.1337684183461105E-2</v>
      </c>
      <c r="L114" s="92">
        <f t="shared" ca="1" si="38"/>
        <v>9.8205044998234841E-4</v>
      </c>
      <c r="M114" s="92">
        <f t="shared" ca="1" si="39"/>
        <v>8.7678651800552426E-2</v>
      </c>
      <c r="N114" s="92">
        <f t="shared" ca="1" si="40"/>
        <v>0.4850151893449447</v>
      </c>
      <c r="O114" s="92">
        <f t="shared" ca="1" si="41"/>
        <v>0.10242284941366221</v>
      </c>
      <c r="P114" s="25">
        <f t="shared" ca="1" si="42"/>
        <v>3.1337684183461105E-2</v>
      </c>
      <c r="Q114" s="25"/>
      <c r="R114" s="25"/>
    </row>
    <row r="115" spans="1:18" x14ac:dyDescent="0.2">
      <c r="A115" s="102"/>
      <c r="B115" s="102"/>
      <c r="C115" s="25"/>
      <c r="D115" s="103">
        <f t="shared" si="30"/>
        <v>0</v>
      </c>
      <c r="E115" s="103">
        <f t="shared" si="31"/>
        <v>0</v>
      </c>
      <c r="F115" s="92">
        <f t="shared" si="32"/>
        <v>0</v>
      </c>
      <c r="G115" s="92">
        <f t="shared" si="33"/>
        <v>0</v>
      </c>
      <c r="H115" s="92">
        <f t="shared" si="34"/>
        <v>0</v>
      </c>
      <c r="I115" s="92">
        <f t="shared" si="35"/>
        <v>0</v>
      </c>
      <c r="J115" s="92">
        <f t="shared" si="36"/>
        <v>0</v>
      </c>
      <c r="K115" s="92">
        <f t="shared" ca="1" si="37"/>
        <v>-3.1337684183461105E-2</v>
      </c>
      <c r="L115" s="92">
        <f t="shared" ca="1" si="38"/>
        <v>9.8205044998234841E-4</v>
      </c>
      <c r="M115" s="92">
        <f t="shared" ca="1" si="39"/>
        <v>8.7678651800552426E-2</v>
      </c>
      <c r="N115" s="92">
        <f t="shared" ca="1" si="40"/>
        <v>0.4850151893449447</v>
      </c>
      <c r="O115" s="92">
        <f t="shared" ca="1" si="41"/>
        <v>0.10242284941366221</v>
      </c>
      <c r="P115" s="25">
        <f t="shared" ca="1" si="42"/>
        <v>3.1337684183461105E-2</v>
      </c>
      <c r="Q115" s="25"/>
      <c r="R115" s="25"/>
    </row>
    <row r="116" spans="1:18" x14ac:dyDescent="0.2">
      <c r="A116" s="102"/>
      <c r="B116" s="102"/>
      <c r="C116" s="25"/>
      <c r="D116" s="103">
        <f t="shared" ref="D116:D122" si="43">A116/A$18</f>
        <v>0</v>
      </c>
      <c r="E116" s="103">
        <f t="shared" ref="E116:E122" si="44">B116/B$18</f>
        <v>0</v>
      </c>
      <c r="F116" s="92">
        <f t="shared" ref="F116:F122" si="45">D116*D116</f>
        <v>0</v>
      </c>
      <c r="G116" s="92">
        <f t="shared" ref="G116:G122" si="46">D116*F116</f>
        <v>0</v>
      </c>
      <c r="H116" s="92">
        <f t="shared" ref="H116:H122" si="47">F116*F116</f>
        <v>0</v>
      </c>
      <c r="I116" s="92">
        <f t="shared" ref="I116:I122" si="48">E116*D116</f>
        <v>0</v>
      </c>
      <c r="J116" s="92">
        <f t="shared" ref="J116:J122" si="49">I116*D116</f>
        <v>0</v>
      </c>
      <c r="K116" s="92">
        <f t="shared" ref="K116:K122" ca="1" si="50">+E$4+E$5*D116+E$6*D116^2</f>
        <v>-3.1337684183461105E-2</v>
      </c>
      <c r="L116" s="92">
        <f t="shared" ref="L116:L122" ca="1" si="51">+(K116-E116)^2</f>
        <v>9.8205044998234841E-4</v>
      </c>
      <c r="M116" s="92">
        <f t="shared" ref="M116:M122" ca="1" si="52">(M$1-M$2*D116+M$3*F116)^2</f>
        <v>8.7678651800552426E-2</v>
      </c>
      <c r="N116" s="92">
        <f t="shared" ref="N116:N122" ca="1" si="53">(-M$2+M$4*D116-M$5*F116)^2</f>
        <v>0.4850151893449447</v>
      </c>
      <c r="O116" s="92">
        <f t="shared" ref="O116:O122" ca="1" si="54">+(M$3-D116*M$5+F116*M$6)^2</f>
        <v>0.10242284941366221</v>
      </c>
      <c r="P116" s="25">
        <f t="shared" ref="P116:P122" ca="1" si="55">+E116-K116</f>
        <v>3.1337684183461105E-2</v>
      </c>
      <c r="Q116" s="25"/>
      <c r="R116" s="25"/>
    </row>
    <row r="117" spans="1:18" x14ac:dyDescent="0.2">
      <c r="A117" s="102"/>
      <c r="B117" s="102"/>
      <c r="C117" s="25"/>
      <c r="D117" s="103">
        <f t="shared" si="43"/>
        <v>0</v>
      </c>
      <c r="E117" s="103">
        <f t="shared" si="44"/>
        <v>0</v>
      </c>
      <c r="F117" s="92">
        <f t="shared" si="45"/>
        <v>0</v>
      </c>
      <c r="G117" s="92">
        <f t="shared" si="46"/>
        <v>0</v>
      </c>
      <c r="H117" s="92">
        <f t="shared" si="47"/>
        <v>0</v>
      </c>
      <c r="I117" s="92">
        <f t="shared" si="48"/>
        <v>0</v>
      </c>
      <c r="J117" s="92">
        <f t="shared" si="49"/>
        <v>0</v>
      </c>
      <c r="K117" s="92">
        <f t="shared" ca="1" si="50"/>
        <v>-3.1337684183461105E-2</v>
      </c>
      <c r="L117" s="92">
        <f t="shared" ca="1" si="51"/>
        <v>9.8205044998234841E-4</v>
      </c>
      <c r="M117" s="92">
        <f t="shared" ca="1" si="52"/>
        <v>8.7678651800552426E-2</v>
      </c>
      <c r="N117" s="92">
        <f t="shared" ca="1" si="53"/>
        <v>0.4850151893449447</v>
      </c>
      <c r="O117" s="92">
        <f t="shared" ca="1" si="54"/>
        <v>0.10242284941366221</v>
      </c>
      <c r="P117" s="25">
        <f t="shared" ca="1" si="55"/>
        <v>3.1337684183461105E-2</v>
      </c>
      <c r="Q117" s="25"/>
      <c r="R117" s="25"/>
    </row>
    <row r="118" spans="1:18" x14ac:dyDescent="0.2">
      <c r="A118" s="102"/>
      <c r="B118" s="102"/>
      <c r="C118" s="25"/>
      <c r="D118" s="103">
        <f t="shared" si="43"/>
        <v>0</v>
      </c>
      <c r="E118" s="103">
        <f t="shared" si="44"/>
        <v>0</v>
      </c>
      <c r="F118" s="92">
        <f t="shared" si="45"/>
        <v>0</v>
      </c>
      <c r="G118" s="92">
        <f t="shared" si="46"/>
        <v>0</v>
      </c>
      <c r="H118" s="92">
        <f t="shared" si="47"/>
        <v>0</v>
      </c>
      <c r="I118" s="92">
        <f t="shared" si="48"/>
        <v>0</v>
      </c>
      <c r="J118" s="92">
        <f t="shared" si="49"/>
        <v>0</v>
      </c>
      <c r="K118" s="92">
        <f t="shared" ca="1" si="50"/>
        <v>-3.1337684183461105E-2</v>
      </c>
      <c r="L118" s="92">
        <f t="shared" ca="1" si="51"/>
        <v>9.8205044998234841E-4</v>
      </c>
      <c r="M118" s="92">
        <f t="shared" ca="1" si="52"/>
        <v>8.7678651800552426E-2</v>
      </c>
      <c r="N118" s="92">
        <f t="shared" ca="1" si="53"/>
        <v>0.4850151893449447</v>
      </c>
      <c r="O118" s="92">
        <f t="shared" ca="1" si="54"/>
        <v>0.10242284941366221</v>
      </c>
      <c r="P118" s="25">
        <f t="shared" ca="1" si="55"/>
        <v>3.1337684183461105E-2</v>
      </c>
      <c r="Q118" s="25"/>
      <c r="R118" s="25"/>
    </row>
    <row r="119" spans="1:18" x14ac:dyDescent="0.2">
      <c r="A119" s="102"/>
      <c r="B119" s="102"/>
      <c r="C119" s="25"/>
      <c r="D119" s="103">
        <f t="shared" si="43"/>
        <v>0</v>
      </c>
      <c r="E119" s="103">
        <f t="shared" si="44"/>
        <v>0</v>
      </c>
      <c r="F119" s="92">
        <f t="shared" si="45"/>
        <v>0</v>
      </c>
      <c r="G119" s="92">
        <f t="shared" si="46"/>
        <v>0</v>
      </c>
      <c r="H119" s="92">
        <f t="shared" si="47"/>
        <v>0</v>
      </c>
      <c r="I119" s="92">
        <f t="shared" si="48"/>
        <v>0</v>
      </c>
      <c r="J119" s="92">
        <f t="shared" si="49"/>
        <v>0</v>
      </c>
      <c r="K119" s="92">
        <f t="shared" ca="1" si="50"/>
        <v>-3.1337684183461105E-2</v>
      </c>
      <c r="L119" s="92">
        <f t="shared" ca="1" si="51"/>
        <v>9.8205044998234841E-4</v>
      </c>
      <c r="M119" s="92">
        <f t="shared" ca="1" si="52"/>
        <v>8.7678651800552426E-2</v>
      </c>
      <c r="N119" s="92">
        <f t="shared" ca="1" si="53"/>
        <v>0.4850151893449447</v>
      </c>
      <c r="O119" s="92">
        <f t="shared" ca="1" si="54"/>
        <v>0.10242284941366221</v>
      </c>
      <c r="P119" s="25">
        <f t="shared" ca="1" si="55"/>
        <v>3.1337684183461105E-2</v>
      </c>
      <c r="Q119" s="25"/>
      <c r="R119" s="25"/>
    </row>
    <row r="120" spans="1:18" x14ac:dyDescent="0.2">
      <c r="A120" s="102"/>
      <c r="B120" s="102"/>
      <c r="C120" s="25"/>
      <c r="D120" s="103">
        <f t="shared" si="43"/>
        <v>0</v>
      </c>
      <c r="E120" s="103">
        <f t="shared" si="44"/>
        <v>0</v>
      </c>
      <c r="F120" s="92">
        <f t="shared" si="45"/>
        <v>0</v>
      </c>
      <c r="G120" s="92">
        <f t="shared" si="46"/>
        <v>0</v>
      </c>
      <c r="H120" s="92">
        <f t="shared" si="47"/>
        <v>0</v>
      </c>
      <c r="I120" s="92">
        <f t="shared" si="48"/>
        <v>0</v>
      </c>
      <c r="J120" s="92">
        <f t="shared" si="49"/>
        <v>0</v>
      </c>
      <c r="K120" s="92">
        <f t="shared" ca="1" si="50"/>
        <v>-3.1337684183461105E-2</v>
      </c>
      <c r="L120" s="92">
        <f t="shared" ca="1" si="51"/>
        <v>9.8205044998234841E-4</v>
      </c>
      <c r="M120" s="92">
        <f t="shared" ca="1" si="52"/>
        <v>8.7678651800552426E-2</v>
      </c>
      <c r="N120" s="92">
        <f t="shared" ca="1" si="53"/>
        <v>0.4850151893449447</v>
      </c>
      <c r="O120" s="92">
        <f t="shared" ca="1" si="54"/>
        <v>0.10242284941366221</v>
      </c>
      <c r="P120" s="25">
        <f t="shared" ca="1" si="55"/>
        <v>3.1337684183461105E-2</v>
      </c>
      <c r="Q120" s="25"/>
      <c r="R120" s="25"/>
    </row>
    <row r="121" spans="1:18" x14ac:dyDescent="0.2">
      <c r="A121" s="102"/>
      <c r="B121" s="102"/>
      <c r="C121" s="25"/>
      <c r="D121" s="103">
        <f t="shared" si="43"/>
        <v>0</v>
      </c>
      <c r="E121" s="103">
        <f t="shared" si="44"/>
        <v>0</v>
      </c>
      <c r="F121" s="92">
        <f t="shared" si="45"/>
        <v>0</v>
      </c>
      <c r="G121" s="92">
        <f t="shared" si="46"/>
        <v>0</v>
      </c>
      <c r="H121" s="92">
        <f t="shared" si="47"/>
        <v>0</v>
      </c>
      <c r="I121" s="92">
        <f t="shared" si="48"/>
        <v>0</v>
      </c>
      <c r="J121" s="92">
        <f t="shared" si="49"/>
        <v>0</v>
      </c>
      <c r="K121" s="92">
        <f t="shared" ca="1" si="50"/>
        <v>-3.1337684183461105E-2</v>
      </c>
      <c r="L121" s="92">
        <f t="shared" ca="1" si="51"/>
        <v>9.8205044998234841E-4</v>
      </c>
      <c r="M121" s="92">
        <f t="shared" ca="1" si="52"/>
        <v>8.7678651800552426E-2</v>
      </c>
      <c r="N121" s="92">
        <f t="shared" ca="1" si="53"/>
        <v>0.4850151893449447</v>
      </c>
      <c r="O121" s="92">
        <f t="shared" ca="1" si="54"/>
        <v>0.10242284941366221</v>
      </c>
      <c r="P121" s="25">
        <f t="shared" ca="1" si="55"/>
        <v>3.1337684183461105E-2</v>
      </c>
      <c r="Q121" s="25"/>
      <c r="R121" s="25"/>
    </row>
    <row r="122" spans="1:18" x14ac:dyDescent="0.2">
      <c r="A122" s="102"/>
      <c r="B122" s="102"/>
      <c r="C122" s="25"/>
      <c r="D122" s="103">
        <f t="shared" si="43"/>
        <v>0</v>
      </c>
      <c r="E122" s="103">
        <f t="shared" si="44"/>
        <v>0</v>
      </c>
      <c r="F122" s="92">
        <f t="shared" si="45"/>
        <v>0</v>
      </c>
      <c r="G122" s="92">
        <f t="shared" si="46"/>
        <v>0</v>
      </c>
      <c r="H122" s="92">
        <f t="shared" si="47"/>
        <v>0</v>
      </c>
      <c r="I122" s="92">
        <f t="shared" si="48"/>
        <v>0</v>
      </c>
      <c r="J122" s="92">
        <f t="shared" si="49"/>
        <v>0</v>
      </c>
      <c r="K122" s="92">
        <f t="shared" ca="1" si="50"/>
        <v>-3.1337684183461105E-2</v>
      </c>
      <c r="L122" s="92">
        <f t="shared" ca="1" si="51"/>
        <v>9.8205044998234841E-4</v>
      </c>
      <c r="M122" s="92">
        <f t="shared" ca="1" si="52"/>
        <v>8.7678651800552426E-2</v>
      </c>
      <c r="N122" s="92">
        <f t="shared" ca="1" si="53"/>
        <v>0.4850151893449447</v>
      </c>
      <c r="O122" s="92">
        <f t="shared" ca="1" si="54"/>
        <v>0.10242284941366221</v>
      </c>
      <c r="P122" s="25">
        <f t="shared" ca="1" si="55"/>
        <v>3.1337684183461105E-2</v>
      </c>
      <c r="Q122" s="25"/>
      <c r="R122" s="25"/>
    </row>
    <row r="123" spans="1:18" x14ac:dyDescent="0.2">
      <c r="A123" s="104"/>
      <c r="B123" s="104"/>
      <c r="C123" s="25"/>
      <c r="D123" s="105"/>
      <c r="E123" s="10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x14ac:dyDescent="0.2">
      <c r="A124" s="104"/>
      <c r="B124" s="104"/>
      <c r="C124" s="25"/>
      <c r="D124" s="105"/>
      <c r="E124" s="10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2">
      <c r="A125" s="104"/>
      <c r="B125" s="104"/>
      <c r="C125" s="25"/>
      <c r="D125" s="105"/>
      <c r="E125" s="10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2">
      <c r="A126" s="104"/>
      <c r="B126" s="104"/>
      <c r="C126" s="25"/>
      <c r="D126" s="105"/>
      <c r="E126" s="10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2">
      <c r="A127" s="104"/>
      <c r="B127" s="104"/>
      <c r="C127" s="25"/>
      <c r="D127" s="105"/>
      <c r="E127" s="10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2">
      <c r="A128" s="104"/>
      <c r="B128" s="104"/>
      <c r="C128" s="25"/>
      <c r="D128" s="105"/>
      <c r="E128" s="10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2">
      <c r="A129" s="104"/>
      <c r="B129" s="104"/>
      <c r="C129" s="25"/>
      <c r="D129" s="105"/>
      <c r="E129" s="10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2">
      <c r="A130" s="104"/>
      <c r="B130" s="104"/>
      <c r="C130" s="25"/>
      <c r="D130" s="105"/>
      <c r="E130" s="10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x14ac:dyDescent="0.2">
      <c r="A131" s="104"/>
      <c r="B131" s="104"/>
      <c r="C131" s="25"/>
      <c r="D131" s="105"/>
      <c r="E131" s="10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x14ac:dyDescent="0.2">
      <c r="A132" s="104"/>
      <c r="B132" s="104"/>
      <c r="C132" s="25"/>
      <c r="D132" s="105"/>
      <c r="E132" s="10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x14ac:dyDescent="0.2">
      <c r="A133" s="104"/>
      <c r="B133" s="104"/>
      <c r="C133" s="25"/>
      <c r="D133" s="105"/>
      <c r="E133" s="10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2">
      <c r="A134" s="104"/>
      <c r="B134" s="104"/>
      <c r="C134" s="25"/>
      <c r="D134" s="105"/>
      <c r="E134" s="10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x14ac:dyDescent="0.2">
      <c r="A135" s="104"/>
      <c r="B135" s="104"/>
      <c r="C135" s="25"/>
      <c r="D135" s="105"/>
      <c r="E135" s="10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x14ac:dyDescent="0.2">
      <c r="A136" s="104"/>
      <c r="B136" s="104"/>
      <c r="C136" s="25"/>
      <c r="D136" s="105"/>
      <c r="E136" s="10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x14ac:dyDescent="0.2">
      <c r="A137" s="104"/>
      <c r="B137" s="104"/>
      <c r="C137" s="25"/>
      <c r="D137" s="105"/>
      <c r="E137" s="10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x14ac:dyDescent="0.2">
      <c r="A138" s="104"/>
      <c r="B138" s="104"/>
      <c r="C138" s="25"/>
      <c r="D138" s="105"/>
      <c r="E138" s="10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x14ac:dyDescent="0.2">
      <c r="A139" s="104"/>
      <c r="B139" s="104"/>
      <c r="C139" s="25"/>
      <c r="D139" s="105"/>
      <c r="E139" s="10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2">
      <c r="A140" s="104"/>
      <c r="B140" s="104"/>
      <c r="C140" s="25"/>
      <c r="D140" s="105"/>
      <c r="E140" s="10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x14ac:dyDescent="0.2">
      <c r="A141" s="104"/>
      <c r="B141" s="104"/>
      <c r="C141" s="25"/>
      <c r="D141" s="105"/>
      <c r="E141" s="10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x14ac:dyDescent="0.2">
      <c r="A142" s="104"/>
      <c r="B142" s="104"/>
      <c r="C142" s="25"/>
      <c r="D142" s="105"/>
      <c r="E142" s="10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x14ac:dyDescent="0.2">
      <c r="A143" s="104"/>
      <c r="B143" s="104"/>
      <c r="C143" s="25"/>
      <c r="D143" s="105"/>
      <c r="E143" s="10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x14ac:dyDescent="0.2">
      <c r="A144" s="104"/>
      <c r="B144" s="104"/>
      <c r="C144" s="25"/>
      <c r="D144" s="105"/>
      <c r="E144" s="10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x14ac:dyDescent="0.2">
      <c r="A145" s="104"/>
      <c r="B145" s="104"/>
      <c r="C145" s="25"/>
      <c r="D145" s="105"/>
      <c r="E145" s="10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">
      <c r="A146" s="104"/>
      <c r="B146" s="104"/>
      <c r="C146" s="25"/>
      <c r="D146" s="105"/>
      <c r="E146" s="10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x14ac:dyDescent="0.2">
      <c r="A147" s="104"/>
      <c r="B147" s="104"/>
      <c r="C147" s="25"/>
      <c r="D147" s="105"/>
      <c r="E147" s="10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x14ac:dyDescent="0.2">
      <c r="A148" s="104"/>
      <c r="B148" s="104"/>
      <c r="C148" s="25"/>
      <c r="D148" s="105"/>
      <c r="E148" s="10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x14ac:dyDescent="0.2">
      <c r="A149" s="104"/>
      <c r="B149" s="104"/>
      <c r="C149" s="25"/>
      <c r="D149" s="105"/>
      <c r="E149" s="10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x14ac:dyDescent="0.2">
      <c r="A150" s="104"/>
      <c r="B150" s="104"/>
      <c r="C150" s="25"/>
      <c r="D150" s="105"/>
      <c r="E150" s="10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x14ac:dyDescent="0.2">
      <c r="A151" s="104"/>
      <c r="B151" s="104"/>
      <c r="C151" s="25"/>
      <c r="D151" s="105"/>
      <c r="E151" s="10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x14ac:dyDescent="0.2">
      <c r="A152" s="104"/>
      <c r="B152" s="104"/>
      <c r="C152" s="25"/>
      <c r="D152" s="105"/>
      <c r="E152" s="10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x14ac:dyDescent="0.2">
      <c r="A153" s="104"/>
      <c r="B153" s="104"/>
      <c r="C153" s="25"/>
      <c r="D153" s="105"/>
      <c r="E153" s="10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x14ac:dyDescent="0.2">
      <c r="A154" s="104"/>
      <c r="B154" s="104"/>
      <c r="C154" s="25"/>
      <c r="D154" s="105"/>
      <c r="E154" s="10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x14ac:dyDescent="0.2">
      <c r="A155" s="104"/>
      <c r="B155" s="104"/>
      <c r="C155" s="25"/>
      <c r="D155" s="105"/>
      <c r="E155" s="10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x14ac:dyDescent="0.2">
      <c r="A156" s="104"/>
      <c r="B156" s="104"/>
      <c r="C156" s="25"/>
      <c r="D156" s="105"/>
      <c r="E156" s="10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2">
      <c r="A157" s="104"/>
      <c r="B157" s="104"/>
      <c r="C157" s="25"/>
      <c r="D157" s="105"/>
      <c r="E157" s="10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x14ac:dyDescent="0.2">
      <c r="A158" s="104"/>
      <c r="B158" s="104"/>
      <c r="C158" s="25"/>
      <c r="D158" s="105"/>
      <c r="E158" s="10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2">
      <c r="A159" s="104"/>
      <c r="B159" s="104"/>
      <c r="C159" s="25"/>
      <c r="D159" s="105"/>
      <c r="E159" s="10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2">
      <c r="A160" s="104"/>
      <c r="B160" s="104"/>
      <c r="C160" s="25"/>
      <c r="D160" s="105"/>
      <c r="E160" s="10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2">
      <c r="A161" s="104"/>
      <c r="B161" s="104"/>
      <c r="C161" s="25"/>
      <c r="D161" s="105"/>
      <c r="E161" s="10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x14ac:dyDescent="0.2">
      <c r="A162" s="104"/>
      <c r="B162" s="104"/>
      <c r="C162" s="25"/>
      <c r="D162" s="105"/>
      <c r="E162" s="10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x14ac:dyDescent="0.2">
      <c r="A163" s="104"/>
      <c r="B163" s="104"/>
      <c r="C163" s="25"/>
      <c r="D163" s="105"/>
      <c r="E163" s="10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x14ac:dyDescent="0.2">
      <c r="A164" s="104"/>
      <c r="B164" s="104"/>
      <c r="C164" s="25"/>
      <c r="D164" s="105"/>
      <c r="E164" s="10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x14ac:dyDescent="0.2">
      <c r="A165" s="104"/>
      <c r="B165" s="104"/>
      <c r="C165" s="25"/>
      <c r="D165" s="105"/>
      <c r="E165" s="10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x14ac:dyDescent="0.2">
      <c r="A166" s="104"/>
      <c r="B166" s="104"/>
      <c r="C166" s="25"/>
      <c r="D166" s="105"/>
      <c r="E166" s="10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x14ac:dyDescent="0.2">
      <c r="A167" s="104"/>
      <c r="B167" s="104"/>
      <c r="C167" s="25"/>
      <c r="D167" s="105"/>
      <c r="E167" s="10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x14ac:dyDescent="0.2">
      <c r="A168" s="104"/>
      <c r="B168" s="104"/>
      <c r="C168" s="25"/>
      <c r="D168" s="105"/>
      <c r="E168" s="10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x14ac:dyDescent="0.2">
      <c r="A169" s="104"/>
      <c r="B169" s="104"/>
      <c r="C169" s="25"/>
      <c r="D169" s="105"/>
      <c r="E169" s="10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x14ac:dyDescent="0.2">
      <c r="A170" s="104"/>
      <c r="B170" s="104"/>
      <c r="C170" s="25"/>
      <c r="D170" s="105"/>
      <c r="E170" s="10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x14ac:dyDescent="0.2">
      <c r="A171" s="104"/>
      <c r="B171" s="104"/>
      <c r="C171" s="25"/>
      <c r="D171" s="105"/>
      <c r="E171" s="10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x14ac:dyDescent="0.2">
      <c r="A172" s="104"/>
      <c r="B172" s="104"/>
      <c r="C172" s="25"/>
      <c r="D172" s="105"/>
      <c r="E172" s="10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x14ac:dyDescent="0.2">
      <c r="A173" s="104"/>
      <c r="B173" s="104"/>
      <c r="C173" s="25"/>
      <c r="D173" s="105"/>
      <c r="E173" s="10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x14ac:dyDescent="0.2">
      <c r="A174" s="104"/>
      <c r="B174" s="104"/>
      <c r="C174" s="25"/>
      <c r="D174" s="105"/>
      <c r="E174" s="10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">
      <c r="A175" s="104"/>
      <c r="B175" s="104"/>
      <c r="C175" s="25"/>
      <c r="D175" s="105"/>
      <c r="E175" s="10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x14ac:dyDescent="0.2">
      <c r="A176" s="104"/>
      <c r="B176" s="104"/>
      <c r="C176" s="25"/>
      <c r="D176" s="105"/>
      <c r="E176" s="10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x14ac:dyDescent="0.2">
      <c r="A177" s="104"/>
      <c r="B177" s="104"/>
      <c r="C177" s="25"/>
      <c r="D177" s="105"/>
      <c r="E177" s="10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x14ac:dyDescent="0.2">
      <c r="A178" s="104"/>
      <c r="B178" s="104"/>
      <c r="C178" s="25"/>
      <c r="D178" s="105"/>
      <c r="E178" s="10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x14ac:dyDescent="0.2">
      <c r="A179" s="104"/>
      <c r="B179" s="104"/>
      <c r="C179" s="25"/>
      <c r="D179" s="105"/>
      <c r="E179" s="10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x14ac:dyDescent="0.2">
      <c r="A180" s="104"/>
      <c r="B180" s="104"/>
      <c r="C180" s="25"/>
      <c r="D180" s="105"/>
      <c r="E180" s="10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">
      <c r="A181" s="104"/>
      <c r="B181" s="104"/>
      <c r="C181" s="25"/>
      <c r="D181" s="105"/>
      <c r="E181" s="10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x14ac:dyDescent="0.2">
      <c r="A182" s="104"/>
      <c r="B182" s="104"/>
      <c r="C182" s="25"/>
      <c r="D182" s="105"/>
      <c r="E182" s="10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x14ac:dyDescent="0.2">
      <c r="A183" s="104"/>
      <c r="B183" s="104"/>
      <c r="C183" s="25"/>
      <c r="D183" s="105"/>
      <c r="E183" s="10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x14ac:dyDescent="0.2">
      <c r="A184" s="104"/>
      <c r="B184" s="104"/>
      <c r="C184" s="25"/>
      <c r="D184" s="105"/>
      <c r="E184" s="10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x14ac:dyDescent="0.2">
      <c r="A185" s="104"/>
      <c r="B185" s="104"/>
      <c r="C185" s="25"/>
      <c r="D185" s="105"/>
      <c r="E185" s="10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x14ac:dyDescent="0.2">
      <c r="A186" s="104"/>
      <c r="B186" s="104"/>
      <c r="C186" s="25"/>
      <c r="D186" s="105"/>
      <c r="E186" s="10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x14ac:dyDescent="0.2">
      <c r="A187" s="104"/>
      <c r="B187" s="104"/>
      <c r="C187" s="25"/>
      <c r="D187" s="105"/>
      <c r="E187" s="10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x14ac:dyDescent="0.2">
      <c r="A188" s="104"/>
      <c r="B188" s="104"/>
      <c r="C188" s="25"/>
      <c r="D188" s="105"/>
      <c r="E188" s="10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x14ac:dyDescent="0.2">
      <c r="A189" s="104"/>
      <c r="B189" s="104"/>
      <c r="C189" s="25"/>
      <c r="D189" s="105"/>
      <c r="E189" s="10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x14ac:dyDescent="0.2">
      <c r="A190" s="104"/>
      <c r="B190" s="104"/>
      <c r="C190" s="25"/>
      <c r="D190" s="105"/>
      <c r="E190" s="10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x14ac:dyDescent="0.2">
      <c r="A191" s="104"/>
      <c r="B191" s="104"/>
      <c r="C191" s="25"/>
      <c r="D191" s="105"/>
      <c r="E191" s="10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x14ac:dyDescent="0.2">
      <c r="A192" s="104"/>
      <c r="B192" s="104"/>
      <c r="C192" s="25"/>
      <c r="D192" s="105"/>
      <c r="E192" s="10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x14ac:dyDescent="0.2">
      <c r="A193" s="104"/>
      <c r="B193" s="104"/>
      <c r="C193" s="25"/>
      <c r="D193" s="105"/>
      <c r="E193" s="10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04"/>
      <c r="B194" s="104"/>
      <c r="C194" s="25"/>
      <c r="D194" s="105"/>
      <c r="E194" s="10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104"/>
      <c r="B195" s="104"/>
      <c r="C195" s="25"/>
      <c r="D195" s="105"/>
      <c r="E195" s="10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x14ac:dyDescent="0.2">
      <c r="A196" s="104"/>
      <c r="B196" s="104"/>
      <c r="C196" s="25"/>
      <c r="D196" s="105"/>
      <c r="E196" s="10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x14ac:dyDescent="0.2">
      <c r="A197" s="61"/>
      <c r="B197" s="61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x14ac:dyDescent="0.2">
      <c r="A198" s="61"/>
      <c r="B198" s="6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x14ac:dyDescent="0.2">
      <c r="A199" s="61"/>
      <c r="B199" s="6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x14ac:dyDescent="0.2">
      <c r="A200" s="61"/>
      <c r="B200" s="6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61"/>
      <c r="B201" s="6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x14ac:dyDescent="0.2">
      <c r="A202" s="61"/>
      <c r="B202" s="6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x14ac:dyDescent="0.2">
      <c r="A203" s="61"/>
      <c r="B203" s="6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x14ac:dyDescent="0.2">
      <c r="A204" s="61"/>
      <c r="B204" s="6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x14ac:dyDescent="0.2">
      <c r="A205" s="61"/>
      <c r="B205" s="6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x14ac:dyDescent="0.2">
      <c r="A206" s="61"/>
      <c r="B206" s="6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x14ac:dyDescent="0.2">
      <c r="A207" s="61"/>
      <c r="B207" s="6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61"/>
      <c r="B208" s="6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x14ac:dyDescent="0.2">
      <c r="A209" s="61"/>
      <c r="B209" s="6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x14ac:dyDescent="0.2">
      <c r="A210" s="61"/>
      <c r="B210" s="6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x14ac:dyDescent="0.2">
      <c r="A211" s="61"/>
      <c r="B211" s="6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x14ac:dyDescent="0.2">
      <c r="A212" s="61"/>
      <c r="B212" s="6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x14ac:dyDescent="0.2">
      <c r="A213" s="61"/>
      <c r="B213" s="6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x14ac:dyDescent="0.2">
      <c r="A214" s="61"/>
      <c r="B214" s="6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61"/>
      <c r="B215" s="6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x14ac:dyDescent="0.2">
      <c r="A216" s="61"/>
      <c r="B216" s="6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x14ac:dyDescent="0.2">
      <c r="A217" s="61"/>
      <c r="B217" s="6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x14ac:dyDescent="0.2">
      <c r="A218" s="61"/>
      <c r="B218" s="6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x14ac:dyDescent="0.2">
      <c r="A219" s="61"/>
      <c r="B219" s="6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x14ac:dyDescent="0.2">
      <c r="A220" s="61"/>
      <c r="B220" s="6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x14ac:dyDescent="0.2">
      <c r="A221" s="61"/>
      <c r="B221" s="6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9"/>
  </sheetPr>
  <dimension ref="A1:BK424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10.28515625" customWidth="1"/>
    <col min="5" max="5" width="10" customWidth="1"/>
    <col min="6" max="6" width="15.85546875" customWidth="1"/>
    <col min="7" max="7" width="12.28515625" customWidth="1"/>
    <col min="8" max="15" width="7.5703125" customWidth="1"/>
    <col min="16" max="16" width="9.85546875" customWidth="1"/>
  </cols>
  <sheetData>
    <row r="1" spans="1:25" ht="21" thickBot="1" x14ac:dyDescent="0.35">
      <c r="A1" s="1" t="s">
        <v>67</v>
      </c>
      <c r="B1" s="28"/>
      <c r="C1" s="27"/>
      <c r="X1" s="68" t="s">
        <v>13</v>
      </c>
      <c r="Y1" s="63" t="s">
        <v>27</v>
      </c>
    </row>
    <row r="2" spans="1:25" x14ac:dyDescent="0.2">
      <c r="A2" t="s">
        <v>25</v>
      </c>
      <c r="B2" t="s">
        <v>65</v>
      </c>
      <c r="D2" s="18" t="s">
        <v>208</v>
      </c>
      <c r="X2" s="72">
        <v>-3000</v>
      </c>
      <c r="Y2" s="73">
        <f t="shared" ref="Y2:Y26" si="0">+D$11+D$12*X2+D$13*X2^2</f>
        <v>1.1716619220145962E-3</v>
      </c>
    </row>
    <row r="3" spans="1:25" ht="13.5" thickBot="1" x14ac:dyDescent="0.25">
      <c r="C3">
        <f>COUNT(C21:C950)</f>
        <v>83</v>
      </c>
      <c r="X3" s="64">
        <v>-2000</v>
      </c>
      <c r="Y3" s="65">
        <f t="shared" si="0"/>
        <v>2.7527568390389441E-4</v>
      </c>
    </row>
    <row r="4" spans="1:25" ht="14.25" thickTop="1" thickBot="1" x14ac:dyDescent="0.25">
      <c r="A4" s="7" t="s">
        <v>3</v>
      </c>
      <c r="C4" s="2">
        <v>41571.273000000001</v>
      </c>
      <c r="D4" s="3">
        <v>0.44625870000000001</v>
      </c>
      <c r="X4" s="64">
        <v>-1000</v>
      </c>
      <c r="Y4" s="65">
        <f t="shared" si="0"/>
        <v>-1.5096589182515661E-4</v>
      </c>
    </row>
    <row r="5" spans="1:25" ht="13.5" thickTop="1" x14ac:dyDescent="0.2">
      <c r="A5" s="133" t="s">
        <v>202</v>
      </c>
      <c r="B5" s="25"/>
      <c r="C5" s="95">
        <v>8</v>
      </c>
      <c r="D5" s="25" t="s">
        <v>203</v>
      </c>
      <c r="X5" s="64">
        <v>0</v>
      </c>
      <c r="Y5" s="65">
        <f t="shared" si="0"/>
        <v>-1.0706280517255703E-4</v>
      </c>
    </row>
    <row r="6" spans="1:25" x14ac:dyDescent="0.2">
      <c r="A6" s="7" t="s">
        <v>4</v>
      </c>
      <c r="X6" s="64">
        <v>1000</v>
      </c>
      <c r="Y6" s="65">
        <f t="shared" si="0"/>
        <v>4.0698494386169306E-4</v>
      </c>
    </row>
    <row r="7" spans="1:25" x14ac:dyDescent="0.2">
      <c r="A7" t="s">
        <v>5</v>
      </c>
      <c r="C7">
        <v>46949.836000000003</v>
      </c>
      <c r="X7" s="64">
        <v>2000</v>
      </c>
      <c r="Y7" s="65">
        <f t="shared" si="0"/>
        <v>1.3911773552775938E-3</v>
      </c>
    </row>
    <row r="8" spans="1:25" x14ac:dyDescent="0.2">
      <c r="A8" t="s">
        <v>6</v>
      </c>
      <c r="C8">
        <v>0.47128629999999999</v>
      </c>
      <c r="X8" s="64">
        <v>3000</v>
      </c>
      <c r="Y8" s="65">
        <f t="shared" si="0"/>
        <v>2.8455144290751451E-3</v>
      </c>
    </row>
    <row r="9" spans="1:25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X9" s="64">
        <v>4000</v>
      </c>
      <c r="Y9" s="65">
        <f t="shared" si="0"/>
        <v>4.769996165254347E-3</v>
      </c>
    </row>
    <row r="10" spans="1:25" ht="13.5" thickBot="1" x14ac:dyDescent="0.25">
      <c r="C10" s="6" t="s">
        <v>22</v>
      </c>
      <c r="D10" s="6" t="s">
        <v>23</v>
      </c>
      <c r="X10" s="64">
        <v>5000</v>
      </c>
      <c r="Y10" s="65">
        <f t="shared" si="0"/>
        <v>7.1646225638151984E-3</v>
      </c>
    </row>
    <row r="11" spans="1:25" x14ac:dyDescent="0.2">
      <c r="A11" t="s">
        <v>18</v>
      </c>
      <c r="C11" s="37">
        <f ca="1">INTERCEPT(INDIRECT(E9):G975,INDIRECT(D9):$F975)</f>
        <v>-9.5956042339943273E-2</v>
      </c>
      <c r="D11" s="17">
        <f>+E11*F11</f>
        <v>-1.0706280517255703E-4</v>
      </c>
      <c r="E11" s="21">
        <v>-1.0706280517255703E-4</v>
      </c>
      <c r="F11" s="16">
        <v>1</v>
      </c>
      <c r="X11" s="64">
        <v>6000</v>
      </c>
      <c r="Y11" s="65">
        <f t="shared" si="0"/>
        <v>1.0029393624757701E-2</v>
      </c>
    </row>
    <row r="12" spans="1:25" x14ac:dyDescent="0.2">
      <c r="A12" t="s">
        <v>19</v>
      </c>
      <c r="C12" s="37">
        <f ca="1">SLOPE(INDIRECT(E9):G975,INDIRECT(D9):$F975)</f>
        <v>9.8260762043739764E-6</v>
      </c>
      <c r="D12" s="17">
        <f>+E12*F12</f>
        <v>2.7897541784342482E-7</v>
      </c>
      <c r="E12" s="22">
        <v>2.789754178434248E-3</v>
      </c>
      <c r="F12" s="16">
        <v>1E-4</v>
      </c>
      <c r="X12" s="64">
        <v>7000</v>
      </c>
      <c r="Y12" s="65">
        <f t="shared" si="0"/>
        <v>1.3364309348081855E-2</v>
      </c>
    </row>
    <row r="13" spans="1:25" ht="13.5" thickBot="1" x14ac:dyDescent="0.25">
      <c r="A13" t="s">
        <v>21</v>
      </c>
      <c r="C13" s="5" t="s">
        <v>17</v>
      </c>
      <c r="D13" s="118">
        <f>+E13*F13</f>
        <v>2.3507233119082527E-10</v>
      </c>
      <c r="E13" s="23">
        <v>2.3507233119082527E-2</v>
      </c>
      <c r="F13" s="16">
        <v>1E-8</v>
      </c>
      <c r="X13" s="64">
        <v>8000</v>
      </c>
      <c r="Y13" s="65">
        <f t="shared" si="0"/>
        <v>1.7169369733787659E-2</v>
      </c>
    </row>
    <row r="14" spans="1:25" x14ac:dyDescent="0.2">
      <c r="A14" t="s">
        <v>24</v>
      </c>
      <c r="E14">
        <f>SUM(T21:T969)</f>
        <v>1.4567428047200431E-4</v>
      </c>
      <c r="X14" s="64">
        <v>9000</v>
      </c>
      <c r="Y14" s="65">
        <f t="shared" si="0"/>
        <v>2.1444574781875114E-2</v>
      </c>
    </row>
    <row r="15" spans="1:25" x14ac:dyDescent="0.2">
      <c r="A15" s="4" t="s">
        <v>20</v>
      </c>
      <c r="C15" s="31">
        <f ca="1">(C7+C11)+(C8+C12)*INT(MAX(F21:F3503))</f>
        <v>55737.527610774567</v>
      </c>
      <c r="D15" s="33">
        <f>+C7+INT(MAX(F21:F1558))*C8+D11+D12*INT(MAX(F21:F3993))+D13*INT(MAX(F21:F4020)^2)</f>
        <v>55737.527177272881</v>
      </c>
      <c r="E15" s="113" t="s">
        <v>167</v>
      </c>
      <c r="F15" s="95">
        <v>1</v>
      </c>
      <c r="X15" s="64">
        <v>10000</v>
      </c>
      <c r="Y15" s="65">
        <f t="shared" si="0"/>
        <v>2.6189924492344217E-2</v>
      </c>
    </row>
    <row r="16" spans="1:25" x14ac:dyDescent="0.2">
      <c r="A16" s="7" t="s">
        <v>7</v>
      </c>
      <c r="C16" s="32">
        <f ca="1">+C8+C12</f>
        <v>0.47129612607620436</v>
      </c>
      <c r="D16" s="112">
        <f>+C8+D12+2*D13*MAX(F21:F90)</f>
        <v>0.47129465982187485</v>
      </c>
      <c r="E16" s="113" t="s">
        <v>168</v>
      </c>
      <c r="F16" s="114">
        <f ca="1">NOW()+15018.5+$C$9/24</f>
        <v>60358.99939513889</v>
      </c>
      <c r="X16" s="64">
        <v>11000</v>
      </c>
      <c r="Y16" s="65">
        <f t="shared" si="0"/>
        <v>3.1405418865194976E-2</v>
      </c>
    </row>
    <row r="17" spans="1:63" ht="13.5" thickBot="1" x14ac:dyDescent="0.25">
      <c r="A17" s="37" t="s">
        <v>72</v>
      </c>
      <c r="C17">
        <f>COUNT(C21:C2161)</f>
        <v>83</v>
      </c>
      <c r="E17" s="113" t="s">
        <v>169</v>
      </c>
      <c r="F17" s="114">
        <f ca="1">ROUND(2*(F16-$C$7)/$C$8,0)/2+F15</f>
        <v>28453.5</v>
      </c>
      <c r="X17" s="64">
        <v>12000</v>
      </c>
      <c r="Y17" s="65">
        <f t="shared" si="0"/>
        <v>3.7091057900427382E-2</v>
      </c>
    </row>
    <row r="18" spans="1:63" ht="14.25" thickTop="1" thickBot="1" x14ac:dyDescent="0.25">
      <c r="A18" s="7" t="s">
        <v>172</v>
      </c>
      <c r="C18" s="34">
        <f ca="1">+C15</f>
        <v>55737.527610774567</v>
      </c>
      <c r="D18" s="35">
        <f ca="1">C16</f>
        <v>0.47129612607620436</v>
      </c>
      <c r="E18" s="113" t="s">
        <v>170</v>
      </c>
      <c r="F18" s="33">
        <f ca="1">ROUND(2*(F16-$C$15)/$C$16,0)/2+F15</f>
        <v>9807</v>
      </c>
      <c r="X18" s="64">
        <v>13000</v>
      </c>
      <c r="Y18" s="65">
        <f t="shared" si="0"/>
        <v>4.3246841598041437E-2</v>
      </c>
    </row>
    <row r="19" spans="1:63" ht="13.5" thickBot="1" x14ac:dyDescent="0.25">
      <c r="A19" s="7" t="s">
        <v>173</v>
      </c>
      <c r="C19" s="69">
        <f>+D15</f>
        <v>55737.527177272881</v>
      </c>
      <c r="D19" s="70">
        <f>+D16</f>
        <v>0.47129465982187485</v>
      </c>
      <c r="E19" s="113" t="s">
        <v>171</v>
      </c>
      <c r="F19" s="115">
        <f ca="1">+$C$15+$C$16*F18-15018.5-$C$9/24</f>
        <v>45337.112052537239</v>
      </c>
      <c r="X19" s="64">
        <v>14000</v>
      </c>
      <c r="Y19" s="65">
        <f t="shared" si="0"/>
        <v>4.987276995803714E-2</v>
      </c>
    </row>
    <row r="20" spans="1:63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138" t="s">
        <v>207</v>
      </c>
      <c r="V20" s="137"/>
      <c r="W20" s="62"/>
      <c r="X20" s="64">
        <v>15000</v>
      </c>
      <c r="Y20" s="65">
        <f t="shared" si="0"/>
        <v>5.6968842980414505E-2</v>
      </c>
    </row>
    <row r="21" spans="1:63" x14ac:dyDescent="0.2">
      <c r="A21" s="46" t="s">
        <v>15</v>
      </c>
      <c r="B21" s="47"/>
      <c r="C21" s="46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9">
        <v>-1.0841725001228042E-2</v>
      </c>
      <c r="H21" s="136">
        <f>+G21</f>
        <v>-1.0841725001228042E-2</v>
      </c>
      <c r="I21" s="9"/>
      <c r="J21" s="9"/>
      <c r="K21" s="9"/>
      <c r="L21" s="9"/>
      <c r="M21" s="25"/>
      <c r="N21" s="25"/>
      <c r="P21" s="11"/>
      <c r="Q21" s="26"/>
      <c r="R21" s="9"/>
      <c r="S21" s="13"/>
      <c r="T21" s="9"/>
      <c r="U21" s="25"/>
      <c r="V21" s="25"/>
      <c r="W21" s="33"/>
      <c r="X21" s="64">
        <v>16000</v>
      </c>
      <c r="Y21" s="65">
        <f t="shared" si="0"/>
        <v>6.4535060665173505E-2</v>
      </c>
    </row>
    <row r="22" spans="1:63" x14ac:dyDescent="0.2">
      <c r="A22" s="44" t="s">
        <v>31</v>
      </c>
      <c r="B22" s="30"/>
      <c r="C22" s="56">
        <v>45882.375</v>
      </c>
      <c r="D22" s="48"/>
      <c r="E22">
        <f t="shared" si="1"/>
        <v>-2264.9947600853302</v>
      </c>
      <c r="F22" s="11">
        <f t="shared" si="2"/>
        <v>-2265</v>
      </c>
      <c r="G22" s="9">
        <v>1.1011500027962029E-3</v>
      </c>
      <c r="H22" s="9"/>
      <c r="I22" s="9">
        <f>G22</f>
        <v>1.1011500027962029E-3</v>
      </c>
      <c r="J22" s="9"/>
      <c r="K22" s="9"/>
      <c r="L22" s="9"/>
      <c r="M22" s="9"/>
      <c r="N22" s="25"/>
      <c r="P22" s="38">
        <f t="shared" ref="P22:P53" si="3">+D$11+D$12*F22+D$13*F22^2</f>
        <v>4.6703182369553725E-4</v>
      </c>
      <c r="Q22" s="10">
        <f t="shared" ref="Q22:Q53" si="4">C22-15018.5</f>
        <v>30863.875</v>
      </c>
      <c r="R22" s="9">
        <f t="shared" ref="R22:R53" si="5">(G22-P22)^2</f>
        <v>4.0210586506594387E-7</v>
      </c>
      <c r="S22" s="13">
        <v>0.5</v>
      </c>
      <c r="T22" s="9">
        <f t="shared" ref="T22:T53" si="6">R22*S22</f>
        <v>2.0105293253297194E-7</v>
      </c>
      <c r="U22" s="71">
        <f>+G22-P22</f>
        <v>6.3411817910066564E-4</v>
      </c>
      <c r="V22" s="25"/>
      <c r="W22" s="33"/>
      <c r="X22" s="64">
        <v>17000</v>
      </c>
      <c r="Y22" s="65">
        <f t="shared" si="0"/>
        <v>7.2571423012314173E-2</v>
      </c>
      <c r="BC22">
        <v>-2265</v>
      </c>
      <c r="BD22">
        <v>1.1011500027962029E-3</v>
      </c>
      <c r="BE22">
        <v>0.5</v>
      </c>
      <c r="BI22">
        <v>-2265</v>
      </c>
      <c r="BJ22">
        <v>1.1011500027962029E-3</v>
      </c>
      <c r="BK22">
        <v>0.5</v>
      </c>
    </row>
    <row r="23" spans="1:63" x14ac:dyDescent="0.2">
      <c r="A23" s="44" t="s">
        <v>32</v>
      </c>
      <c r="B23" s="30"/>
      <c r="C23" s="56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si="3"/>
        <v>-9.8065458731783723E-6</v>
      </c>
      <c r="Q23" s="10">
        <f t="shared" si="4"/>
        <v>31239.251799999998</v>
      </c>
      <c r="R23" s="9">
        <f t="shared" si="5"/>
        <v>2.2726118878458921E-6</v>
      </c>
      <c r="S23" s="13">
        <v>0.5</v>
      </c>
      <c r="T23" s="9">
        <f t="shared" si="6"/>
        <v>1.136305943922946E-6</v>
      </c>
      <c r="U23" s="71">
        <f t="shared" ref="U23:U86" si="7">+G23-P23</f>
        <v>-1.5075184535672829E-3</v>
      </c>
      <c r="V23" s="25"/>
      <c r="W23" s="33"/>
      <c r="X23" s="64">
        <v>18000</v>
      </c>
      <c r="Y23" s="65">
        <f t="shared" si="0"/>
        <v>8.1077930021836483E-2</v>
      </c>
      <c r="BC23">
        <v>-1468.5</v>
      </c>
      <c r="BD23">
        <v>-1.5173249994404614E-3</v>
      </c>
      <c r="BE23">
        <v>0.5</v>
      </c>
      <c r="BI23">
        <v>-1468.5</v>
      </c>
      <c r="BJ23">
        <v>-1.5173249994404614E-3</v>
      </c>
      <c r="BK23">
        <v>0.5</v>
      </c>
    </row>
    <row r="24" spans="1:63" x14ac:dyDescent="0.2">
      <c r="A24" s="122" t="s">
        <v>194</v>
      </c>
      <c r="B24" s="123" t="s">
        <v>17</v>
      </c>
      <c r="C24" s="122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N24">
        <f>G24</f>
        <v>1.7044999985955656E-3</v>
      </c>
      <c r="O24">
        <f ca="1">+C$11+C$12*F24</f>
        <v>-0.10298168682607067</v>
      </c>
      <c r="P24" s="38">
        <f t="shared" si="3"/>
        <v>-1.8635537641757612E-4</v>
      </c>
      <c r="Q24" s="10">
        <f t="shared" si="4"/>
        <v>31594.368000000002</v>
      </c>
      <c r="R24" s="9">
        <f t="shared" si="5"/>
        <v>3.5753340492160887E-6</v>
      </c>
      <c r="S24" s="11">
        <v>0.5</v>
      </c>
      <c r="T24" s="9">
        <f t="shared" si="6"/>
        <v>1.7876670246080444E-6</v>
      </c>
      <c r="U24" s="71">
        <f t="shared" si="7"/>
        <v>1.8908553750131417E-3</v>
      </c>
      <c r="V24" s="25"/>
      <c r="W24" s="33"/>
      <c r="X24" s="64">
        <v>19000</v>
      </c>
      <c r="Y24" s="65">
        <f t="shared" si="0"/>
        <v>9.0054581693740435E-2</v>
      </c>
      <c r="BC24">
        <v>-715</v>
      </c>
      <c r="BD24">
        <v>1.7044999985955656E-3</v>
      </c>
      <c r="BE24">
        <v>0.5</v>
      </c>
      <c r="BI24">
        <v>-715</v>
      </c>
      <c r="BJ24">
        <v>1.7044999985955656E-3</v>
      </c>
      <c r="BK24">
        <v>0.5</v>
      </c>
    </row>
    <row r="25" spans="1:63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N25">
        <f>G25</f>
        <v>1.3190000026952475E-4</v>
      </c>
      <c r="O25">
        <f ca="1">+C$11+C$12*F25</f>
        <v>-0.10296203467366191</v>
      </c>
      <c r="P25" s="38">
        <f t="shared" si="3"/>
        <v>-1.8646879215977031E-4</v>
      </c>
      <c r="Q25" s="10">
        <f t="shared" si="4"/>
        <v>31595.309000000001</v>
      </c>
      <c r="R25" s="9">
        <f t="shared" si="5"/>
        <v>1.0135868799288756E-7</v>
      </c>
      <c r="S25" s="11">
        <v>0.5</v>
      </c>
      <c r="T25" s="9">
        <f t="shared" si="6"/>
        <v>5.0679343996443782E-8</v>
      </c>
      <c r="U25" s="71">
        <f t="shared" si="7"/>
        <v>3.1836879242929506E-4</v>
      </c>
      <c r="V25" s="25"/>
      <c r="W25" s="33"/>
      <c r="X25" s="64">
        <v>20000</v>
      </c>
      <c r="Y25" s="65">
        <f t="shared" si="0"/>
        <v>9.9501378028026055E-2</v>
      </c>
      <c r="BC25">
        <v>-713</v>
      </c>
      <c r="BD25">
        <v>1.3190000026952475E-4</v>
      </c>
      <c r="BE25">
        <v>0.5</v>
      </c>
      <c r="BI25">
        <v>-713</v>
      </c>
      <c r="BJ25">
        <v>1.3190000026952475E-4</v>
      </c>
      <c r="BK25">
        <v>0.5</v>
      </c>
    </row>
    <row r="26" spans="1:63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N26">
        <f>G26</f>
        <v>-1.0000000038417056E-3</v>
      </c>
      <c r="O26">
        <f ca="1">+C$11+C$12*F26</f>
        <v>-9.5956042339943273E-2</v>
      </c>
      <c r="P26" s="38">
        <f t="shared" si="3"/>
        <v>-1.0706280517255703E-4</v>
      </c>
      <c r="Q26" s="10">
        <f t="shared" si="4"/>
        <v>31931.334999999999</v>
      </c>
      <c r="R26" s="9">
        <f t="shared" si="5"/>
        <v>7.9733684076710659E-7</v>
      </c>
      <c r="S26" s="11">
        <v>1</v>
      </c>
      <c r="T26" s="9">
        <f t="shared" si="6"/>
        <v>7.9733684076710659E-7</v>
      </c>
      <c r="U26" s="71">
        <f t="shared" si="7"/>
        <v>-8.9293719866914863E-4</v>
      </c>
      <c r="V26" s="25"/>
      <c r="W26" s="33"/>
      <c r="X26" s="64">
        <v>21000</v>
      </c>
      <c r="Y26" s="65">
        <f t="shared" si="0"/>
        <v>0.1094183190246933</v>
      </c>
      <c r="BC26">
        <v>0</v>
      </c>
      <c r="BD26">
        <v>-1.0000000038417056E-3</v>
      </c>
      <c r="BE26">
        <v>1</v>
      </c>
      <c r="BI26">
        <v>0</v>
      </c>
      <c r="BJ26">
        <v>-1.0000000038417056E-3</v>
      </c>
      <c r="BK26">
        <v>1</v>
      </c>
    </row>
    <row r="27" spans="1:63" x14ac:dyDescent="0.2">
      <c r="A27" s="44" t="s">
        <v>33</v>
      </c>
      <c r="B27" s="30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ref="I27:I41" si="8">G27</f>
        <v>-1.2365000293357298E-4</v>
      </c>
      <c r="J27" s="9"/>
      <c r="K27" s="9"/>
      <c r="L27" s="9"/>
      <c r="M27" s="9"/>
      <c r="N27" s="25"/>
      <c r="P27" s="38">
        <f t="shared" si="3"/>
        <v>-8.1012681345395715E-5</v>
      </c>
      <c r="Q27" s="10">
        <f t="shared" si="4"/>
        <v>31972.338799999998</v>
      </c>
      <c r="R27" s="9">
        <f t="shared" si="5"/>
        <v>1.8179411922136469E-9</v>
      </c>
      <c r="S27" s="11">
        <v>0.5</v>
      </c>
      <c r="T27" s="9">
        <f t="shared" si="6"/>
        <v>9.0897059610682347E-10</v>
      </c>
      <c r="U27" s="71">
        <f t="shared" si="7"/>
        <v>-4.2637321588177263E-5</v>
      </c>
      <c r="V27" s="25"/>
      <c r="BC27">
        <v>11493.5</v>
      </c>
      <c r="BD27">
        <v>3.4110949993191753E-2</v>
      </c>
      <c r="BE27">
        <v>1</v>
      </c>
      <c r="BI27">
        <v>10929</v>
      </c>
      <c r="BJ27">
        <v>3.3827300001576077E-2</v>
      </c>
      <c r="BK27">
        <v>0.5</v>
      </c>
    </row>
    <row r="28" spans="1:63" x14ac:dyDescent="0.2">
      <c r="A28" s="44" t="s">
        <v>33</v>
      </c>
      <c r="B28" s="30"/>
      <c r="C28" s="56">
        <v>47004.7431</v>
      </c>
      <c r="D28" s="48"/>
      <c r="E28" s="26">
        <f t="shared" si="1"/>
        <v>116.50476578673455</v>
      </c>
      <c r="F28" s="9">
        <f t="shared" si="2"/>
        <v>116.5</v>
      </c>
      <c r="G28" s="9">
        <v>1.2349250027909875E-3</v>
      </c>
      <c r="H28" s="9"/>
      <c r="I28" s="9">
        <f t="shared" si="8"/>
        <v>1.2349250027909875E-3</v>
      </c>
      <c r="J28" s="9"/>
      <c r="K28" s="9"/>
      <c r="L28" s="9"/>
      <c r="M28" s="9"/>
      <c r="N28" s="25"/>
      <c r="P28" s="38">
        <f t="shared" si="3"/>
        <v>-7.1371708546793359E-5</v>
      </c>
      <c r="Q28" s="10">
        <f t="shared" si="4"/>
        <v>31986.2431</v>
      </c>
      <c r="R28" s="9">
        <f t="shared" si="5"/>
        <v>1.7064110980519012E-6</v>
      </c>
      <c r="S28" s="11">
        <v>0.5</v>
      </c>
      <c r="T28" s="9">
        <f t="shared" si="6"/>
        <v>8.532055490259506E-7</v>
      </c>
      <c r="U28" s="71">
        <f t="shared" si="7"/>
        <v>1.3062967113377808E-3</v>
      </c>
      <c r="V28" s="25"/>
      <c r="BC28">
        <v>12205</v>
      </c>
      <c r="BD28">
        <v>3.7376154534285888E-2</v>
      </c>
      <c r="BE28">
        <v>1</v>
      </c>
      <c r="BI28">
        <v>11493.5</v>
      </c>
      <c r="BJ28">
        <v>3.4110949993191753E-2</v>
      </c>
      <c r="BK28">
        <v>1</v>
      </c>
    </row>
    <row r="29" spans="1:63" x14ac:dyDescent="0.2">
      <c r="A29" s="44" t="s">
        <v>33</v>
      </c>
      <c r="B29" s="30"/>
      <c r="C29" s="56">
        <v>47309.898999999998</v>
      </c>
      <c r="D29" s="48"/>
      <c r="E29" s="26">
        <f t="shared" si="1"/>
        <v>764.00056611022785</v>
      </c>
      <c r="F29" s="9">
        <f t="shared" si="2"/>
        <v>764</v>
      </c>
      <c r="G29" s="9">
        <v>-6.472000022768043E-4</v>
      </c>
      <c r="H29" s="9"/>
      <c r="I29" s="9">
        <f t="shared" si="8"/>
        <v>-6.472000022768043E-4</v>
      </c>
      <c r="J29" s="9"/>
      <c r="K29" s="9"/>
      <c r="L29" s="9"/>
      <c r="M29" s="9"/>
      <c r="N29" s="25"/>
      <c r="P29" s="38">
        <f t="shared" si="3"/>
        <v>2.432851934865795E-4</v>
      </c>
      <c r="Q29" s="10">
        <f t="shared" si="4"/>
        <v>32291.398999999998</v>
      </c>
      <c r="R29" s="9">
        <f t="shared" si="5"/>
        <v>7.92963883873752E-7</v>
      </c>
      <c r="S29" s="11">
        <v>0.5</v>
      </c>
      <c r="T29" s="9">
        <f t="shared" si="6"/>
        <v>3.96481941936876E-7</v>
      </c>
      <c r="U29" s="71">
        <f t="shared" si="7"/>
        <v>-8.904851957633838E-4</v>
      </c>
      <c r="V29" s="25"/>
      <c r="BC29">
        <v>12289</v>
      </c>
      <c r="BD29">
        <v>3.7659299996448681E-2</v>
      </c>
      <c r="BE29">
        <v>0.5</v>
      </c>
      <c r="BI29">
        <v>12205</v>
      </c>
      <c r="BJ29">
        <v>3.7376154534285888E-2</v>
      </c>
      <c r="BK29">
        <v>1</v>
      </c>
    </row>
    <row r="30" spans="1:63" x14ac:dyDescent="0.2">
      <c r="A30" s="44" t="s">
        <v>44</v>
      </c>
      <c r="B30" s="30"/>
      <c r="C30" s="56">
        <v>47323.803</v>
      </c>
      <c r="D30" s="48"/>
      <c r="E30" s="26">
        <f t="shared" si="1"/>
        <v>793.50280286101452</v>
      </c>
      <c r="F30" s="9">
        <f t="shared" si="2"/>
        <v>793.5</v>
      </c>
      <c r="G30" s="9">
        <v>4.1137500375043601E-4</v>
      </c>
      <c r="H30" s="9"/>
      <c r="I30" s="9">
        <f t="shared" si="8"/>
        <v>4.1137500375043601E-4</v>
      </c>
      <c r="J30" s="9"/>
      <c r="K30" s="9"/>
      <c r="L30" s="9"/>
      <c r="M30" s="25"/>
      <c r="N30" s="25"/>
      <c r="P30" s="38">
        <f t="shared" si="3"/>
        <v>2.6231566040993697E-4</v>
      </c>
      <c r="Q30" s="10">
        <f t="shared" si="4"/>
        <v>32305.303</v>
      </c>
      <c r="R30" s="9">
        <f t="shared" si="5"/>
        <v>2.2218687837100776E-8</v>
      </c>
      <c r="S30" s="11">
        <v>0.5</v>
      </c>
      <c r="T30" s="9">
        <f t="shared" si="6"/>
        <v>1.1109343918550388E-8</v>
      </c>
      <c r="U30" s="71">
        <f t="shared" si="7"/>
        <v>1.4905934334049904E-4</v>
      </c>
      <c r="V30" s="25"/>
      <c r="BC30">
        <v>12330</v>
      </c>
      <c r="BD30">
        <v>3.8620999999693595E-2</v>
      </c>
      <c r="BE30">
        <v>1</v>
      </c>
      <c r="BI30">
        <v>12289</v>
      </c>
      <c r="BJ30">
        <v>3.7659299996448681E-2</v>
      </c>
      <c r="BK30">
        <v>0.5</v>
      </c>
    </row>
    <row r="31" spans="1:63" x14ac:dyDescent="0.2">
      <c r="A31" s="44" t="s">
        <v>33</v>
      </c>
      <c r="B31" s="30"/>
      <c r="C31" s="56">
        <v>47323.803099999997</v>
      </c>
      <c r="D31" s="48"/>
      <c r="E31" s="26">
        <f t="shared" si="1"/>
        <v>793.50301504625611</v>
      </c>
      <c r="F31" s="9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25"/>
      <c r="N31" s="25"/>
      <c r="P31" s="38">
        <f t="shared" si="3"/>
        <v>2.6231566040993697E-4</v>
      </c>
      <c r="Q31" s="10">
        <f t="shared" si="4"/>
        <v>32305.303099999997</v>
      </c>
      <c r="R31" s="9">
        <f t="shared" si="5"/>
        <v>6.2030555246846942E-8</v>
      </c>
      <c r="S31" s="11">
        <v>0.5</v>
      </c>
      <c r="T31" s="9">
        <f t="shared" si="6"/>
        <v>3.1015277623423471E-8</v>
      </c>
      <c r="U31" s="71">
        <f t="shared" si="7"/>
        <v>2.4905934081428656E-4</v>
      </c>
      <c r="V31" s="25"/>
      <c r="BC31">
        <v>12330</v>
      </c>
      <c r="BD31">
        <v>3.8720999997167382E-2</v>
      </c>
      <c r="BE31">
        <v>1</v>
      </c>
      <c r="BI31">
        <v>12313</v>
      </c>
      <c r="BJ31">
        <v>4.018809999251971E-2</v>
      </c>
      <c r="BK31">
        <v>1</v>
      </c>
    </row>
    <row r="32" spans="1:63" x14ac:dyDescent="0.2">
      <c r="A32" s="44" t="s">
        <v>44</v>
      </c>
      <c r="B32" s="30"/>
      <c r="C32" s="56">
        <v>47326.865599999997</v>
      </c>
      <c r="D32" s="48"/>
      <c r="E32" s="26">
        <f t="shared" si="1"/>
        <v>800.00118823737159</v>
      </c>
      <c r="F32" s="9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25"/>
      <c r="N32" s="25"/>
      <c r="P32" s="38">
        <f t="shared" si="3"/>
        <v>2.6656382106431098E-4</v>
      </c>
      <c r="Q32" s="10">
        <f t="shared" si="4"/>
        <v>32308.365599999997</v>
      </c>
      <c r="R32" s="9">
        <f t="shared" si="5"/>
        <v>3.7842652513208105E-7</v>
      </c>
      <c r="S32" s="11">
        <v>0.5</v>
      </c>
      <c r="T32" s="9">
        <f t="shared" si="6"/>
        <v>1.8921326256604053E-7</v>
      </c>
      <c r="U32" s="71">
        <f t="shared" si="7"/>
        <v>-6.1516381975217061E-4</v>
      </c>
      <c r="V32" s="25"/>
      <c r="BC32">
        <v>13086.5</v>
      </c>
      <c r="BD32">
        <v>4.1135049992590211E-2</v>
      </c>
      <c r="BE32">
        <v>0.5</v>
      </c>
      <c r="BI32">
        <v>12330</v>
      </c>
      <c r="BJ32">
        <v>3.8620999999693595E-2</v>
      </c>
      <c r="BK32">
        <v>1</v>
      </c>
    </row>
    <row r="33" spans="1:63" x14ac:dyDescent="0.2">
      <c r="A33" s="44" t="s">
        <v>33</v>
      </c>
      <c r="B33" s="30"/>
      <c r="C33" s="56">
        <v>47327.808700000001</v>
      </c>
      <c r="D33" s="48"/>
      <c r="E33">
        <f t="shared" si="1"/>
        <v>802.0023073023732</v>
      </c>
      <c r="F33" s="9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25"/>
      <c r="N33" s="25"/>
      <c r="P33" s="38">
        <f t="shared" si="3"/>
        <v>2.6787494364913326E-4</v>
      </c>
      <c r="Q33" s="10">
        <f t="shared" si="4"/>
        <v>32309.308700000001</v>
      </c>
      <c r="R33" s="9">
        <f t="shared" si="5"/>
        <v>7.8809900603248176E-9</v>
      </c>
      <c r="S33" s="11">
        <v>0.5</v>
      </c>
      <c r="T33" s="9">
        <f t="shared" si="6"/>
        <v>3.9404950301624088E-9</v>
      </c>
      <c r="U33" s="71">
        <f t="shared" si="7"/>
        <v>-8.8774940497444532E-5</v>
      </c>
      <c r="V33" s="25"/>
      <c r="BC33">
        <v>13146</v>
      </c>
      <c r="BD33">
        <v>4.5000199999776669E-2</v>
      </c>
      <c r="BE33">
        <v>1</v>
      </c>
      <c r="BI33">
        <v>12330</v>
      </c>
      <c r="BJ33">
        <v>3.8720999997167382E-2</v>
      </c>
      <c r="BK33">
        <v>1</v>
      </c>
    </row>
    <row r="34" spans="1:63" x14ac:dyDescent="0.2">
      <c r="A34" s="44" t="s">
        <v>44</v>
      </c>
      <c r="B34" s="30"/>
      <c r="C34" s="56">
        <v>47328.750699999997</v>
      </c>
      <c r="D34" s="48"/>
      <c r="E34">
        <f t="shared" si="1"/>
        <v>804.00109232963894</v>
      </c>
      <c r="F34" s="9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3"/>
        <v>2.6918794681260504E-4</v>
      </c>
      <c r="Q34" s="10">
        <f t="shared" si="4"/>
        <v>32310.250699999997</v>
      </c>
      <c r="R34" s="9">
        <f t="shared" si="5"/>
        <v>4.3875779685209481E-7</v>
      </c>
      <c r="S34" s="11">
        <v>0.5</v>
      </c>
      <c r="T34" s="9">
        <f t="shared" si="6"/>
        <v>2.193788984260474E-7</v>
      </c>
      <c r="U34" s="71">
        <f t="shared" si="7"/>
        <v>-6.6238795041281872E-4</v>
      </c>
      <c r="V34" s="25"/>
      <c r="BC34">
        <v>13159</v>
      </c>
      <c r="BD34">
        <v>4.3778300001577009E-2</v>
      </c>
      <c r="BE34">
        <v>0.5</v>
      </c>
      <c r="BI34">
        <v>13086.5</v>
      </c>
      <c r="BJ34">
        <v>4.1135049992590211E-2</v>
      </c>
      <c r="BK34">
        <v>0.5</v>
      </c>
    </row>
    <row r="35" spans="1:63" x14ac:dyDescent="0.2">
      <c r="A35" s="126" t="s">
        <v>45</v>
      </c>
      <c r="B35" s="30"/>
      <c r="C35" s="56">
        <v>47353.493699999999</v>
      </c>
      <c r="D35" s="48"/>
      <c r="E35" s="26">
        <f t="shared" si="1"/>
        <v>856.50208800891539</v>
      </c>
      <c r="F35" s="9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25"/>
      <c r="L35" s="9"/>
      <c r="M35" s="9"/>
      <c r="N35" s="25"/>
      <c r="P35" s="38">
        <f t="shared" si="3"/>
        <v>3.0432688056135902E-4</v>
      </c>
      <c r="Q35" s="10">
        <f t="shared" si="4"/>
        <v>32334.993699999999</v>
      </c>
      <c r="R35" s="9">
        <f t="shared" si="5"/>
        <v>4.8576989500660699E-8</v>
      </c>
      <c r="S35" s="11">
        <v>0.5</v>
      </c>
      <c r="T35" s="9">
        <f t="shared" si="6"/>
        <v>2.428849475033035E-8</v>
      </c>
      <c r="U35" s="71">
        <f t="shared" si="7"/>
        <v>-2.2040188179927298E-4</v>
      </c>
      <c r="V35" s="25"/>
      <c r="W35" s="33"/>
      <c r="BC35">
        <v>13771</v>
      </c>
      <c r="BD35">
        <v>4.8062699999718461E-2</v>
      </c>
      <c r="BE35">
        <v>1</v>
      </c>
      <c r="BI35">
        <v>13146</v>
      </c>
      <c r="BJ35">
        <v>4.5000199999776669E-2</v>
      </c>
      <c r="BK35">
        <v>1</v>
      </c>
    </row>
    <row r="36" spans="1:63" x14ac:dyDescent="0.2">
      <c r="A36" s="126" t="s">
        <v>45</v>
      </c>
      <c r="B36" s="30"/>
      <c r="C36" s="56">
        <v>47365.5124</v>
      </c>
      <c r="D36" s="48"/>
      <c r="E36" s="26">
        <f t="shared" si="1"/>
        <v>882.00399629693595</v>
      </c>
      <c r="F36" s="9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3"/>
        <v>3.2186192153463517E-4</v>
      </c>
      <c r="Q36" s="10">
        <f t="shared" si="4"/>
        <v>32347.0124</v>
      </c>
      <c r="R36" s="9">
        <f t="shared" si="5"/>
        <v>4.4254170130930003E-7</v>
      </c>
      <c r="S36" s="11">
        <v>0.5</v>
      </c>
      <c r="T36" s="9">
        <f t="shared" si="6"/>
        <v>2.2127085065465002E-7</v>
      </c>
      <c r="U36" s="71">
        <f t="shared" si="7"/>
        <v>6.6523807866755496E-4</v>
      </c>
      <c r="V36" s="25"/>
      <c r="W36" s="33"/>
      <c r="BC36">
        <v>13997</v>
      </c>
      <c r="BD36">
        <v>5.1138900002115406E-2</v>
      </c>
      <c r="BE36">
        <v>1</v>
      </c>
      <c r="BI36">
        <v>13159</v>
      </c>
      <c r="BJ36">
        <v>4.3778300001577009E-2</v>
      </c>
      <c r="BK36">
        <v>0.5</v>
      </c>
    </row>
    <row r="37" spans="1:63" x14ac:dyDescent="0.2">
      <c r="A37" s="126" t="s">
        <v>45</v>
      </c>
      <c r="B37" s="30"/>
      <c r="C37" s="56">
        <v>47366.455099999999</v>
      </c>
      <c r="D37" s="48"/>
      <c r="E37" s="26">
        <f t="shared" si="1"/>
        <v>884.00426662093992</v>
      </c>
      <c r="F37" s="9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3"/>
        <v>3.2325014784408807E-4</v>
      </c>
      <c r="Q37" s="10">
        <f t="shared" si="4"/>
        <v>32347.955099999999</v>
      </c>
      <c r="R37" s="9">
        <f t="shared" si="5"/>
        <v>6.2655116464017389E-7</v>
      </c>
      <c r="S37" s="11">
        <v>0.5</v>
      </c>
      <c r="T37" s="9">
        <f t="shared" si="6"/>
        <v>3.1327558232008695E-7</v>
      </c>
      <c r="U37" s="71">
        <f t="shared" si="7"/>
        <v>7.9154984975058512E-4</v>
      </c>
      <c r="V37" s="25"/>
      <c r="W37" s="33"/>
      <c r="BC37">
        <v>14501</v>
      </c>
      <c r="BD37">
        <v>5.2903699994203635E-2</v>
      </c>
      <c r="BE37">
        <v>1</v>
      </c>
      <c r="BI37">
        <v>13771</v>
      </c>
      <c r="BJ37">
        <v>4.8062699999718461E-2</v>
      </c>
      <c r="BK37">
        <v>1</v>
      </c>
    </row>
    <row r="38" spans="1:63" x14ac:dyDescent="0.2">
      <c r="A38" s="135" t="s">
        <v>45</v>
      </c>
      <c r="B38" s="30"/>
      <c r="C38" s="56">
        <v>47378.472999999998</v>
      </c>
      <c r="D38" s="48"/>
      <c r="E38">
        <f t="shared" si="1"/>
        <v>909.50447742698054</v>
      </c>
      <c r="F38" s="9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25"/>
      <c r="N38" s="25"/>
      <c r="P38" s="38">
        <f t="shared" si="3"/>
        <v>3.411148777618594E-4</v>
      </c>
      <c r="Q38" s="10">
        <f t="shared" si="4"/>
        <v>32359.972999999998</v>
      </c>
      <c r="R38" s="9">
        <f t="shared" si="5"/>
        <v>7.688836694409336E-7</v>
      </c>
      <c r="S38" s="11">
        <v>0.5</v>
      </c>
      <c r="T38" s="9">
        <f t="shared" si="6"/>
        <v>3.844418347204668E-7</v>
      </c>
      <c r="U38" s="71">
        <f t="shared" si="7"/>
        <v>8.7686011965474491E-4</v>
      </c>
      <c r="V38" s="25"/>
      <c r="W38" s="33"/>
      <c r="BC38">
        <v>14572</v>
      </c>
      <c r="BD38">
        <v>5.3336399992986117E-2</v>
      </c>
      <c r="BE38">
        <v>1</v>
      </c>
      <c r="BI38">
        <v>13997</v>
      </c>
      <c r="BJ38">
        <v>5.1138900002115406E-2</v>
      </c>
      <c r="BK38">
        <v>1</v>
      </c>
    </row>
    <row r="39" spans="1:63" x14ac:dyDescent="0.2">
      <c r="A39" s="44" t="s">
        <v>33</v>
      </c>
      <c r="B39" s="30"/>
      <c r="C39" s="56">
        <v>47655.823299999996</v>
      </c>
      <c r="D39" s="48"/>
      <c r="E39" s="26">
        <f t="shared" si="1"/>
        <v>1498.0008966948401</v>
      </c>
      <c r="F39" s="9">
        <f t="shared" si="2"/>
        <v>1498</v>
      </c>
      <c r="G39" s="9">
        <v>-3.8130000029923394E-4</v>
      </c>
      <c r="H39" s="9"/>
      <c r="I39" s="9">
        <f t="shared" si="8"/>
        <v>-3.8130000029923394E-4</v>
      </c>
      <c r="J39" s="9"/>
      <c r="K39" s="9"/>
      <c r="L39" s="9"/>
      <c r="M39" s="25"/>
      <c r="N39" s="25"/>
      <c r="P39" s="38">
        <f t="shared" si="3"/>
        <v>8.3834562223842994E-4</v>
      </c>
      <c r="Q39" s="10">
        <f t="shared" si="4"/>
        <v>32637.323299999996</v>
      </c>
      <c r="R39" s="9">
        <f t="shared" si="5"/>
        <v>1.4875354445752857E-6</v>
      </c>
      <c r="S39" s="9">
        <v>0.5</v>
      </c>
      <c r="T39" s="9">
        <f t="shared" si="6"/>
        <v>7.4376772228764285E-7</v>
      </c>
      <c r="U39" s="71">
        <f t="shared" si="7"/>
        <v>-1.2196456225376639E-3</v>
      </c>
      <c r="V39" s="25"/>
      <c r="W39" s="33"/>
      <c r="BC39">
        <v>14640</v>
      </c>
      <c r="BD39">
        <v>5.2367999996931758E-2</v>
      </c>
      <c r="BE39">
        <v>0.5</v>
      </c>
      <c r="BI39">
        <v>14501</v>
      </c>
      <c r="BJ39">
        <v>5.2903699994203635E-2</v>
      </c>
      <c r="BK39">
        <v>1</v>
      </c>
    </row>
    <row r="40" spans="1:63" x14ac:dyDescent="0.2">
      <c r="A40" s="44" t="s">
        <v>33</v>
      </c>
      <c r="B40" s="30"/>
      <c r="C40" s="56">
        <v>47659.828399999999</v>
      </c>
      <c r="D40" s="48"/>
      <c r="E40" s="26">
        <f t="shared" si="1"/>
        <v>1506.4991280247177</v>
      </c>
      <c r="F40" s="9">
        <f t="shared" si="2"/>
        <v>1506.5</v>
      </c>
      <c r="G40" s="9">
        <v>-1.2135750002926216E-3</v>
      </c>
      <c r="H40" s="9"/>
      <c r="I40" s="9">
        <f t="shared" si="8"/>
        <v>-1.2135750002926216E-3</v>
      </c>
      <c r="J40" s="9"/>
      <c r="K40" s="9"/>
      <c r="L40" s="9"/>
      <c r="M40" s="9"/>
      <c r="N40" s="25"/>
      <c r="P40" s="38">
        <f t="shared" si="3"/>
        <v>8.4672024925213328E-4</v>
      </c>
      <c r="Q40" s="10">
        <f t="shared" si="4"/>
        <v>32641.328399999999</v>
      </c>
      <c r="R40" s="9">
        <f t="shared" si="5"/>
        <v>4.2448165152966838E-6</v>
      </c>
      <c r="S40" s="9">
        <v>0.5</v>
      </c>
      <c r="T40" s="9">
        <f t="shared" si="6"/>
        <v>2.1224082576483419E-6</v>
      </c>
      <c r="U40" s="71">
        <f t="shared" si="7"/>
        <v>-2.0602952495447548E-3</v>
      </c>
      <c r="V40" s="25"/>
      <c r="W40" s="33"/>
      <c r="BC40">
        <v>14659</v>
      </c>
      <c r="BD40">
        <v>5.4728299997805152E-2</v>
      </c>
      <c r="BE40">
        <v>1</v>
      </c>
      <c r="BI40">
        <v>14572</v>
      </c>
      <c r="BJ40">
        <v>5.3336399992986117E-2</v>
      </c>
      <c r="BK40">
        <v>1</v>
      </c>
    </row>
    <row r="41" spans="1:63" x14ac:dyDescent="0.2">
      <c r="A41" s="127" t="s">
        <v>33</v>
      </c>
      <c r="B41" s="30"/>
      <c r="C41" s="120">
        <v>47695.88336</v>
      </c>
      <c r="D41" s="48"/>
      <c r="E41" s="26">
        <f t="shared" si="1"/>
        <v>1583.0024339769623</v>
      </c>
      <c r="F41" s="9">
        <f t="shared" si="2"/>
        <v>1583</v>
      </c>
      <c r="G41" s="9">
        <v>3.559500037226826E-4</v>
      </c>
      <c r="H41" s="9"/>
      <c r="I41" s="9">
        <f t="shared" si="8"/>
        <v>3.559500037226826E-4</v>
      </c>
      <c r="J41" s="9"/>
      <c r="K41" s="9"/>
      <c r="L41" s="9"/>
      <c r="M41" s="9"/>
      <c r="N41" s="25"/>
      <c r="P41" s="38">
        <f t="shared" si="3"/>
        <v>9.2362045020903043E-4</v>
      </c>
      <c r="Q41" s="10">
        <f t="shared" si="4"/>
        <v>32677.38336</v>
      </c>
      <c r="R41" s="9">
        <f t="shared" si="5"/>
        <v>3.2224973581400947E-7</v>
      </c>
      <c r="S41" s="9">
        <v>0.5</v>
      </c>
      <c r="T41" s="9">
        <f t="shared" si="6"/>
        <v>1.6112486790700474E-7</v>
      </c>
      <c r="U41" s="71">
        <f t="shared" si="7"/>
        <v>-5.6767044648634783E-4</v>
      </c>
      <c r="V41" s="9"/>
      <c r="W41" s="29"/>
      <c r="BC41">
        <v>14746</v>
      </c>
      <c r="BD41">
        <v>5.1520199995138682E-2</v>
      </c>
      <c r="BE41">
        <v>1</v>
      </c>
      <c r="BI41">
        <v>14640</v>
      </c>
      <c r="BJ41">
        <v>5.2367999996931758E-2</v>
      </c>
      <c r="BK41">
        <v>0.5</v>
      </c>
    </row>
    <row r="42" spans="1:63" x14ac:dyDescent="0.2">
      <c r="A42" s="127" t="s">
        <v>43</v>
      </c>
      <c r="B42" s="30"/>
      <c r="C42" s="120">
        <v>49600.358</v>
      </c>
      <c r="D42" s="48"/>
      <c r="E42" s="26">
        <f t="shared" si="1"/>
        <v>5624.0166539956654</v>
      </c>
      <c r="F42" s="9">
        <f t="shared" si="2"/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 t="shared" si="3"/>
        <v>8.897086095210005E-3</v>
      </c>
      <c r="Q42" s="10">
        <f t="shared" si="4"/>
        <v>34581.858</v>
      </c>
      <c r="R42" s="9">
        <f t="shared" si="5"/>
        <v>1.5209945857955186E-6</v>
      </c>
      <c r="S42" s="9">
        <v>1</v>
      </c>
      <c r="T42" s="9">
        <f t="shared" si="6"/>
        <v>1.5209945857955186E-6</v>
      </c>
      <c r="U42" s="71">
        <f t="shared" si="7"/>
        <v>-1.2332860924357814E-3</v>
      </c>
      <c r="V42" s="25"/>
      <c r="W42" s="33"/>
      <c r="BC42">
        <v>15455.5</v>
      </c>
      <c r="BD42">
        <v>5.9890349992201664E-2</v>
      </c>
      <c r="BE42">
        <v>1</v>
      </c>
      <c r="BI42">
        <v>14659</v>
      </c>
      <c r="BJ42">
        <v>5.4728299997805152E-2</v>
      </c>
      <c r="BK42">
        <v>1</v>
      </c>
    </row>
    <row r="43" spans="1:63" x14ac:dyDescent="0.2">
      <c r="A43" s="127" t="s">
        <v>43</v>
      </c>
      <c r="B43" s="30"/>
      <c r="C43" s="120">
        <v>49600.362000000001</v>
      </c>
      <c r="D43" s="48"/>
      <c r="E43" s="26">
        <f t="shared" si="1"/>
        <v>5624.0251414055492</v>
      </c>
      <c r="F43" s="9">
        <f t="shared" si="2"/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9"/>
      <c r="N43" s="25"/>
      <c r="P43" s="38">
        <f t="shared" si="3"/>
        <v>8.897086095210005E-3</v>
      </c>
      <c r="Q43" s="10">
        <f t="shared" si="4"/>
        <v>34581.862000000001</v>
      </c>
      <c r="R43" s="9">
        <f t="shared" si="5"/>
        <v>7.6547058508184985E-6</v>
      </c>
      <c r="S43" s="9">
        <v>1</v>
      </c>
      <c r="T43" s="9">
        <f t="shared" si="6"/>
        <v>7.6547058508184985E-6</v>
      </c>
      <c r="U43" s="71">
        <f t="shared" si="7"/>
        <v>2.7667139083791259E-3</v>
      </c>
      <c r="V43" s="25"/>
      <c r="W43" s="33"/>
      <c r="BC43">
        <v>15469.5</v>
      </c>
      <c r="BD43">
        <v>6.0982150003837887E-2</v>
      </c>
      <c r="BE43">
        <v>0.5</v>
      </c>
      <c r="BI43">
        <v>14746</v>
      </c>
      <c r="BJ43">
        <v>5.1520199995138682E-2</v>
      </c>
      <c r="BK43">
        <v>1</v>
      </c>
    </row>
    <row r="44" spans="1:63" x14ac:dyDescent="0.2">
      <c r="A44" s="128" t="s">
        <v>58</v>
      </c>
      <c r="B44" s="30"/>
      <c r="C44" s="120">
        <v>50349.70938</v>
      </c>
      <c r="D44" s="48">
        <v>1.5E-3</v>
      </c>
      <c r="E44" s="26">
        <f t="shared" si="1"/>
        <v>7214.029730972441</v>
      </c>
      <c r="F44" s="9">
        <f t="shared" si="2"/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 t="shared" si="3"/>
        <v>1.4139052164227275E-2</v>
      </c>
      <c r="Q44" s="10">
        <f t="shared" si="4"/>
        <v>35331.20938</v>
      </c>
      <c r="R44" s="9">
        <f t="shared" si="5"/>
        <v>5.4393820176816805E-9</v>
      </c>
      <c r="S44" s="9">
        <v>0.5</v>
      </c>
      <c r="T44" s="9">
        <f t="shared" si="6"/>
        <v>2.7196910088408403E-9</v>
      </c>
      <c r="U44" s="71">
        <f t="shared" si="7"/>
        <v>-7.3752166189757981E-5</v>
      </c>
      <c r="V44" s="25"/>
      <c r="W44" s="33"/>
      <c r="BC44">
        <v>16103</v>
      </c>
      <c r="BD44">
        <v>6.6711099992971867E-2</v>
      </c>
      <c r="BE44">
        <v>0.5</v>
      </c>
      <c r="BI44">
        <v>15455.5</v>
      </c>
      <c r="BJ44">
        <v>5.9890349992201664E-2</v>
      </c>
      <c r="BK44">
        <v>1</v>
      </c>
    </row>
    <row r="45" spans="1:63" x14ac:dyDescent="0.2">
      <c r="A45" s="44" t="s">
        <v>36</v>
      </c>
      <c r="B45" s="30"/>
      <c r="C45" s="56">
        <v>50948.484100000001</v>
      </c>
      <c r="D45" s="48"/>
      <c r="E45" s="26">
        <f t="shared" si="1"/>
        <v>8484.541349918296</v>
      </c>
      <c r="F45" s="9">
        <f t="shared" si="2"/>
        <v>8484.5</v>
      </c>
      <c r="G45" s="9">
        <v>1.9731724998564459E-2</v>
      </c>
      <c r="H45" s="9"/>
      <c r="I45" s="9"/>
      <c r="J45" s="9">
        <f>G45</f>
        <v>1.9731724998564459E-2</v>
      </c>
      <c r="K45" s="9"/>
      <c r="L45" s="26"/>
      <c r="M45" s="25"/>
      <c r="N45" s="25"/>
      <c r="P45" s="38">
        <f t="shared" si="3"/>
        <v>1.9181994972915895E-2</v>
      </c>
      <c r="Q45" s="10">
        <f t="shared" si="4"/>
        <v>35929.984100000001</v>
      </c>
      <c r="R45" s="9">
        <f t="shared" si="5"/>
        <v>3.0220310109957181E-7</v>
      </c>
      <c r="S45" s="9">
        <v>1</v>
      </c>
      <c r="T45" s="9">
        <f t="shared" si="6"/>
        <v>3.0220310109957181E-7</v>
      </c>
      <c r="U45" s="71">
        <f t="shared" si="7"/>
        <v>5.4973002564856488E-4</v>
      </c>
      <c r="V45" s="25"/>
      <c r="W45" s="33"/>
      <c r="BC45">
        <v>16483.5</v>
      </c>
      <c r="BD45">
        <v>6.8673950001539197E-2</v>
      </c>
      <c r="BE45">
        <v>1</v>
      </c>
      <c r="BI45">
        <v>15469.5</v>
      </c>
      <c r="BJ45">
        <v>6.0982150003837887E-2</v>
      </c>
      <c r="BK45">
        <v>0.5</v>
      </c>
    </row>
    <row r="46" spans="1:63" x14ac:dyDescent="0.2">
      <c r="A46" s="128" t="s">
        <v>58</v>
      </c>
      <c r="B46" s="30"/>
      <c r="C46" s="120">
        <v>51020.82574</v>
      </c>
      <c r="D46" s="48">
        <v>1E-3</v>
      </c>
      <c r="E46" s="26">
        <f t="shared" si="1"/>
        <v>8638.0396374772554</v>
      </c>
      <c r="F46" s="9">
        <f t="shared" si="2"/>
        <v>8638</v>
      </c>
      <c r="G46" s="9">
        <v>1.8947700002172496E-2</v>
      </c>
      <c r="H46" s="9"/>
      <c r="I46" s="9"/>
      <c r="J46" s="9"/>
      <c r="K46" s="26"/>
      <c r="L46" s="9">
        <f>G46</f>
        <v>1.8947700002172496E-2</v>
      </c>
      <c r="M46" s="26"/>
      <c r="N46" s="25"/>
      <c r="P46" s="38">
        <f t="shared" si="3"/>
        <v>1.9842659189144945E-2</v>
      </c>
      <c r="Q46" s="10">
        <f t="shared" si="4"/>
        <v>36002.32574</v>
      </c>
      <c r="R46" s="9">
        <f t="shared" si="5"/>
        <v>8.0095194634638629E-7</v>
      </c>
      <c r="S46" s="9">
        <v>0.5</v>
      </c>
      <c r="T46" s="9">
        <f t="shared" si="6"/>
        <v>4.0047597317319314E-7</v>
      </c>
      <c r="U46" s="71">
        <f t="shared" si="7"/>
        <v>-8.9495918697244867E-4</v>
      </c>
      <c r="V46" s="25"/>
      <c r="W46" s="33"/>
      <c r="BC46">
        <v>16864.5</v>
      </c>
      <c r="BD46">
        <v>6.9993650002288632E-2</v>
      </c>
      <c r="BE46">
        <v>1</v>
      </c>
      <c r="BI46">
        <v>16103</v>
      </c>
      <c r="BJ46">
        <v>6.6711099992971867E-2</v>
      </c>
      <c r="BK46">
        <v>0.5</v>
      </c>
    </row>
    <row r="47" spans="1:63" x14ac:dyDescent="0.2">
      <c r="A47" s="127" t="s">
        <v>37</v>
      </c>
      <c r="B47" s="30"/>
      <c r="C47" s="120">
        <v>51273.910499999998</v>
      </c>
      <c r="D47" s="48"/>
      <c r="E47" s="26">
        <f t="shared" si="1"/>
        <v>9175.0481607464408</v>
      </c>
      <c r="F47" s="9">
        <f t="shared" si="2"/>
        <v>9175</v>
      </c>
      <c r="G47" s="9">
        <v>2.3045149995596148E-2</v>
      </c>
      <c r="H47" s="9"/>
      <c r="I47" s="9"/>
      <c r="J47" s="9"/>
      <c r="K47" s="25"/>
      <c r="L47" s="9">
        <f>G47</f>
        <v>2.3045149995596148E-2</v>
      </c>
      <c r="M47" s="26"/>
      <c r="N47" s="9"/>
      <c r="P47" s="38">
        <f t="shared" si="3"/>
        <v>2.224107241339153E-2</v>
      </c>
      <c r="Q47" s="10">
        <f t="shared" si="4"/>
        <v>36255.410499999998</v>
      </c>
      <c r="R47" s="9">
        <f t="shared" si="5"/>
        <v>6.4654075820402442E-7</v>
      </c>
      <c r="S47" s="9">
        <v>1</v>
      </c>
      <c r="T47" s="9">
        <f t="shared" si="6"/>
        <v>6.4654075820402442E-7</v>
      </c>
      <c r="U47" s="71">
        <f t="shared" si="7"/>
        <v>8.0407758220461811E-4</v>
      </c>
      <c r="V47" s="25"/>
      <c r="W47" s="33"/>
      <c r="BC47">
        <v>16887</v>
      </c>
      <c r="BD47">
        <v>7.0951899993815459E-2</v>
      </c>
      <c r="BE47">
        <v>1</v>
      </c>
      <c r="BI47">
        <v>16483.5</v>
      </c>
      <c r="BJ47">
        <v>6.8673950001539197E-2</v>
      </c>
      <c r="BK47">
        <v>1</v>
      </c>
    </row>
    <row r="48" spans="1:63" x14ac:dyDescent="0.2">
      <c r="A48" s="127" t="s">
        <v>37</v>
      </c>
      <c r="B48" s="30"/>
      <c r="C48" s="120">
        <v>51282.864200000004</v>
      </c>
      <c r="D48" s="48"/>
      <c r="E48" s="26">
        <f t="shared" si="1"/>
        <v>9194.0465912121799</v>
      </c>
      <c r="F48" s="9">
        <f t="shared" si="2"/>
        <v>9194</v>
      </c>
      <c r="G48" s="9">
        <v>2.2308300001895986E-2</v>
      </c>
      <c r="H48" s="9"/>
      <c r="I48" s="9"/>
      <c r="J48" s="9"/>
      <c r="K48" s="25"/>
      <c r="L48" s="9">
        <f>G48</f>
        <v>2.2308300001895986E-2</v>
      </c>
      <c r="M48" s="26"/>
      <c r="N48" s="9"/>
      <c r="P48" s="38">
        <f t="shared" si="3"/>
        <v>2.2328415775711798E-2</v>
      </c>
      <c r="Q48" s="10">
        <f t="shared" si="4"/>
        <v>36264.364200000004</v>
      </c>
      <c r="R48" s="9">
        <f t="shared" si="5"/>
        <v>4.0464435620887326E-10</v>
      </c>
      <c r="S48" s="9">
        <v>1</v>
      </c>
      <c r="T48" s="9">
        <f t="shared" si="6"/>
        <v>4.0464435620887326E-10</v>
      </c>
      <c r="U48" s="71">
        <f t="shared" si="7"/>
        <v>-2.0115773815811144E-5</v>
      </c>
      <c r="V48" s="25"/>
      <c r="W48" s="33"/>
      <c r="BC48">
        <v>16902.5</v>
      </c>
      <c r="BD48">
        <v>7.3814249997667503E-2</v>
      </c>
      <c r="BE48">
        <v>1</v>
      </c>
      <c r="BI48">
        <v>16864.5</v>
      </c>
      <c r="BJ48">
        <v>6.9993650002288632E-2</v>
      </c>
      <c r="BK48">
        <v>1</v>
      </c>
    </row>
    <row r="49" spans="1:63" x14ac:dyDescent="0.2">
      <c r="A49" s="40" t="s">
        <v>42</v>
      </c>
      <c r="B49" s="30" t="s">
        <v>64</v>
      </c>
      <c r="C49" s="46">
        <v>51285.692000000003</v>
      </c>
      <c r="D49" s="48">
        <v>4.0000000000000002E-4</v>
      </c>
      <c r="E49" s="40">
        <f t="shared" si="1"/>
        <v>9200.0467656284509</v>
      </c>
      <c r="F49" s="44">
        <f t="shared" si="2"/>
        <v>9200</v>
      </c>
      <c r="G49" s="44">
        <v>2.2391400001652073E-2</v>
      </c>
      <c r="H49" s="40"/>
      <c r="I49" s="26"/>
      <c r="J49" s="26"/>
      <c r="K49" s="26"/>
      <c r="L49" s="26"/>
      <c r="M49" s="26"/>
      <c r="N49">
        <f>G49</f>
        <v>2.2391400001652073E-2</v>
      </c>
      <c r="P49" s="38">
        <f t="shared" si="3"/>
        <v>2.2356033150978401E-2</v>
      </c>
      <c r="Q49" s="10">
        <f t="shared" si="4"/>
        <v>36267.192000000003</v>
      </c>
      <c r="R49" s="9">
        <f t="shared" si="5"/>
        <v>1.2508141265738381E-9</v>
      </c>
      <c r="S49" s="9">
        <v>1</v>
      </c>
      <c r="T49" s="9">
        <f t="shared" si="6"/>
        <v>1.2508141265738381E-9</v>
      </c>
      <c r="U49" s="71">
        <f t="shared" si="7"/>
        <v>3.5366850673672345E-5</v>
      </c>
      <c r="V49" s="25"/>
      <c r="W49" s="33"/>
      <c r="BC49">
        <v>16946.5</v>
      </c>
      <c r="BD49">
        <v>7.0517050000489689E-2</v>
      </c>
      <c r="BE49">
        <v>1</v>
      </c>
      <c r="BI49">
        <v>16887</v>
      </c>
      <c r="BJ49">
        <v>7.0951899993815459E-2</v>
      </c>
      <c r="BK49">
        <v>1</v>
      </c>
    </row>
    <row r="50" spans="1:63" x14ac:dyDescent="0.2">
      <c r="A50" s="40" t="s">
        <v>42</v>
      </c>
      <c r="B50" s="30" t="s">
        <v>60</v>
      </c>
      <c r="C50" s="46">
        <v>51305.722000000002</v>
      </c>
      <c r="D50" s="48">
        <v>8.0000000000000004E-4</v>
      </c>
      <c r="E50" s="40">
        <f t="shared" si="1"/>
        <v>9242.5474706139321</v>
      </c>
      <c r="F50" s="44">
        <f t="shared" si="2"/>
        <v>9242.5</v>
      </c>
      <c r="G50" s="44">
        <v>2.2730025004420895E-2</v>
      </c>
      <c r="H50" s="40"/>
      <c r="I50" s="26"/>
      <c r="J50" s="26"/>
      <c r="K50" s="26"/>
      <c r="L50" s="26"/>
      <c r="M50" s="26"/>
      <c r="N50">
        <f>G50</f>
        <v>2.2730025004420895E-2</v>
      </c>
      <c r="P50" s="38">
        <f t="shared" si="3"/>
        <v>2.2552140768626185E-2</v>
      </c>
      <c r="Q50" s="10">
        <f t="shared" si="4"/>
        <v>36287.222000000002</v>
      </c>
      <c r="R50" s="9">
        <f t="shared" si="5"/>
        <v>3.1642801344267926E-8</v>
      </c>
      <c r="S50" s="9">
        <v>1</v>
      </c>
      <c r="T50" s="9">
        <f t="shared" si="6"/>
        <v>3.1642801344267926E-8</v>
      </c>
      <c r="U50" s="71">
        <f t="shared" si="7"/>
        <v>1.7788423579470983E-4</v>
      </c>
      <c r="V50" s="25"/>
      <c r="W50" s="33"/>
      <c r="BC50">
        <v>16950.5</v>
      </c>
      <c r="BD50">
        <v>7.0871849995455705E-2</v>
      </c>
      <c r="BE50">
        <v>1</v>
      </c>
      <c r="BI50">
        <v>16902.5</v>
      </c>
      <c r="BJ50">
        <v>7.3814249997667503E-2</v>
      </c>
      <c r="BK50">
        <v>1</v>
      </c>
    </row>
    <row r="51" spans="1:63" x14ac:dyDescent="0.2">
      <c r="A51" s="44" t="s">
        <v>37</v>
      </c>
      <c r="B51" s="30"/>
      <c r="C51" s="56">
        <v>51308.784699999997</v>
      </c>
      <c r="D51" s="48"/>
      <c r="E51" s="40">
        <f t="shared" si="1"/>
        <v>9249.0460681755303</v>
      </c>
      <c r="F51" s="44">
        <f t="shared" si="2"/>
        <v>9249</v>
      </c>
      <c r="G51" s="44">
        <v>2.2070049999456387E-2</v>
      </c>
      <c r="H51" s="44"/>
      <c r="I51" s="9"/>
      <c r="J51" s="9"/>
      <c r="K51" s="9"/>
      <c r="L51" s="9">
        <f>G51</f>
        <v>2.2070049999456387E-2</v>
      </c>
      <c r="M51" s="26"/>
      <c r="N51" s="25"/>
      <c r="P51" s="38">
        <f t="shared" si="3"/>
        <v>2.2582208568921569E-2</v>
      </c>
      <c r="Q51" s="10">
        <f t="shared" si="4"/>
        <v>36290.284699999997</v>
      </c>
      <c r="R51" s="9">
        <f t="shared" si="5"/>
        <v>2.6230640027662168E-7</v>
      </c>
      <c r="S51" s="9">
        <v>1</v>
      </c>
      <c r="T51" s="9">
        <f t="shared" si="6"/>
        <v>2.6230640027662168E-7</v>
      </c>
      <c r="U51" s="71">
        <f t="shared" si="7"/>
        <v>-5.1215856946518201E-4</v>
      </c>
      <c r="V51" s="25"/>
      <c r="W51" s="33"/>
      <c r="BC51">
        <v>16959</v>
      </c>
      <c r="BD51">
        <v>7.1538299998792354E-2</v>
      </c>
      <c r="BE51">
        <v>1</v>
      </c>
      <c r="BI51">
        <v>16946.5</v>
      </c>
      <c r="BJ51">
        <v>7.0517050000489689E-2</v>
      </c>
      <c r="BK51">
        <v>1</v>
      </c>
    </row>
    <row r="52" spans="1:63" x14ac:dyDescent="0.2">
      <c r="A52" s="46" t="s">
        <v>80</v>
      </c>
      <c r="B52" s="47" t="s">
        <v>60</v>
      </c>
      <c r="C52" s="46">
        <v>51663.4257</v>
      </c>
      <c r="D52" s="48" t="s">
        <v>81</v>
      </c>
      <c r="E52" s="40">
        <f t="shared" si="1"/>
        <v>10001.541950190356</v>
      </c>
      <c r="F52" s="44">
        <f t="shared" si="2"/>
        <v>10001.5</v>
      </c>
      <c r="G52" s="40">
        <f>C52-(C$7+F52*C$8)</f>
        <v>1.9770549995882902E-2</v>
      </c>
      <c r="H52" s="40"/>
      <c r="I52" s="26"/>
      <c r="J52" s="26"/>
      <c r="K52" s="26"/>
      <c r="L52" s="26"/>
      <c r="M52" s="26"/>
      <c r="N52">
        <f>G52</f>
        <v>1.9770549995882902E-2</v>
      </c>
      <c r="O52">
        <f ca="1">+C$11+C$12*F52</f>
        <v>2.319458818103054E-3</v>
      </c>
      <c r="P52" s="38">
        <f t="shared" si="3"/>
        <v>2.6197395654319455E-2</v>
      </c>
      <c r="Q52" s="10">
        <f t="shared" si="4"/>
        <v>36644.9257</v>
      </c>
      <c r="R52" s="9">
        <f t="shared" si="5"/>
        <v>4.1304345117364763E-5</v>
      </c>
      <c r="S52" s="9">
        <v>0.5</v>
      </c>
      <c r="T52" s="9">
        <f t="shared" si="6"/>
        <v>2.0652172558682382E-5</v>
      </c>
      <c r="U52" s="71">
        <f t="shared" si="7"/>
        <v>-6.4268456584365523E-3</v>
      </c>
      <c r="V52" s="25"/>
      <c r="W52" s="33"/>
      <c r="BC52">
        <v>16995</v>
      </c>
      <c r="BD52">
        <v>7.1431500000471715E-2</v>
      </c>
      <c r="BE52">
        <v>1</v>
      </c>
      <c r="BI52">
        <v>16950.5</v>
      </c>
      <c r="BJ52">
        <v>7.0871849995455705E-2</v>
      </c>
      <c r="BK52">
        <v>1</v>
      </c>
    </row>
    <row r="53" spans="1:63" x14ac:dyDescent="0.2">
      <c r="A53" s="44" t="s">
        <v>38</v>
      </c>
      <c r="B53" s="30"/>
      <c r="C53" s="56">
        <v>51676.862849061843</v>
      </c>
      <c r="D53" s="48"/>
      <c r="E53" s="40">
        <f t="shared" ref="E53:E84" si="9">(C53-C$7)/C$8</f>
        <v>10030.053598124623</v>
      </c>
      <c r="F53" s="44">
        <f t="shared" ref="F53:F84" si="10">ROUND(2*E53,0)/2</f>
        <v>10030</v>
      </c>
      <c r="G53" s="44">
        <v>2.5735961840837263E-2</v>
      </c>
      <c r="H53" s="44"/>
      <c r="I53" s="9"/>
      <c r="J53" s="9"/>
      <c r="K53" s="9"/>
      <c r="L53" s="9">
        <f>G53</f>
        <v>2.5735961840837263E-2</v>
      </c>
      <c r="M53" s="26"/>
      <c r="N53" s="25"/>
      <c r="P53" s="38">
        <f t="shared" si="3"/>
        <v>2.6339548718692089E-2</v>
      </c>
      <c r="Q53" s="10">
        <f t="shared" si="4"/>
        <v>36658.362849061843</v>
      </c>
      <c r="R53" s="9">
        <f t="shared" si="5"/>
        <v>3.6431711911853755E-7</v>
      </c>
      <c r="S53" s="9">
        <v>1</v>
      </c>
      <c r="T53" s="9">
        <f t="shared" si="6"/>
        <v>3.6431711911853755E-7</v>
      </c>
      <c r="U53" s="71">
        <f t="shared" si="7"/>
        <v>-6.0358687785482673E-4</v>
      </c>
      <c r="V53" s="25"/>
      <c r="W53" s="33"/>
      <c r="BC53">
        <v>17042.5</v>
      </c>
      <c r="BD53">
        <v>7.3532249996787868E-2</v>
      </c>
      <c r="BE53">
        <v>1</v>
      </c>
      <c r="BI53">
        <v>16959</v>
      </c>
      <c r="BJ53">
        <v>7.1538299998792354E-2</v>
      </c>
      <c r="BK53">
        <v>1</v>
      </c>
    </row>
    <row r="54" spans="1:63" x14ac:dyDescent="0.2">
      <c r="A54" s="131" t="s">
        <v>201</v>
      </c>
      <c r="B54" s="60" t="s">
        <v>64</v>
      </c>
      <c r="C54" s="132">
        <v>51704.671699999999</v>
      </c>
      <c r="D54" s="59">
        <v>4.0000000000000002E-4</v>
      </c>
      <c r="E54" s="40">
        <f t="shared" si="9"/>
        <v>10089.059877191414</v>
      </c>
      <c r="F54" s="44">
        <f t="shared" si="10"/>
        <v>10089</v>
      </c>
      <c r="G54" s="40">
        <f>C54-(C$7+F54*C$8)</f>
        <v>2.8219299994816538E-2</v>
      </c>
      <c r="H54" s="40"/>
      <c r="I54" s="26"/>
      <c r="J54" s="26"/>
      <c r="K54" s="26"/>
      <c r="L54" s="26"/>
      <c r="M54" s="26"/>
      <c r="N54">
        <f>G54</f>
        <v>2.8219299994816538E-2</v>
      </c>
      <c r="O54">
        <f ca="1">+C$11+C$12*F54</f>
        <v>3.1792404859857792E-3</v>
      </c>
      <c r="P54" s="38">
        <f t="shared" ref="P54:P85" si="11">+D$11+D$12*F54+D$13*F54^2</f>
        <v>2.6635044061987315E-2</v>
      </c>
      <c r="Q54" s="10">
        <f t="shared" ref="Q54:Q85" si="12">C54-15018.5</f>
        <v>36686.171699999999</v>
      </c>
      <c r="R54" s="9">
        <f t="shared" ref="R54:R85" si="13">(G54-P54)^2</f>
        <v>2.5098668607045925E-6</v>
      </c>
      <c r="S54" s="9">
        <v>1</v>
      </c>
      <c r="T54" s="9">
        <f t="shared" ref="T54:T85" si="14">R54*S54</f>
        <v>2.5098668607045925E-6</v>
      </c>
      <c r="U54" s="71">
        <f t="shared" si="7"/>
        <v>1.5842559328292233E-3</v>
      </c>
      <c r="V54" s="25"/>
      <c r="W54" s="33"/>
      <c r="BC54">
        <v>17044.5</v>
      </c>
      <c r="BD54">
        <v>7.3459649996948428E-2</v>
      </c>
      <c r="BE54">
        <v>1</v>
      </c>
      <c r="BI54">
        <v>16995</v>
      </c>
      <c r="BJ54">
        <v>7.1431500000471715E-2</v>
      </c>
      <c r="BK54">
        <v>1</v>
      </c>
    </row>
    <row r="55" spans="1:63" x14ac:dyDescent="0.2">
      <c r="A55" s="45" t="s">
        <v>41</v>
      </c>
      <c r="B55" s="30"/>
      <c r="C55" s="56">
        <v>51983.912900000003</v>
      </c>
      <c r="D55" s="48">
        <v>2.0000000000000001E-4</v>
      </c>
      <c r="E55" s="40">
        <f t="shared" si="9"/>
        <v>10681.568507295884</v>
      </c>
      <c r="F55" s="44">
        <f t="shared" si="10"/>
        <v>10681.5</v>
      </c>
      <c r="G55" s="44">
        <v>3.2860175000678282E-2</v>
      </c>
      <c r="H55" s="44"/>
      <c r="I55" s="9"/>
      <c r="J55" s="9"/>
      <c r="K55" s="9"/>
      <c r="L55" s="9">
        <f>G55</f>
        <v>3.2860175000678282E-2</v>
      </c>
      <c r="M55" s="26"/>
      <c r="N55" s="25"/>
      <c r="P55" s="38">
        <f t="shared" si="11"/>
        <v>2.9693259636146475E-2</v>
      </c>
      <c r="Q55" s="10">
        <f t="shared" si="12"/>
        <v>36965.412900000003</v>
      </c>
      <c r="R55" s="9">
        <f t="shared" si="13"/>
        <v>1.0029352926107626E-5</v>
      </c>
      <c r="S55" s="9">
        <v>1</v>
      </c>
      <c r="T55" s="9">
        <f t="shared" si="14"/>
        <v>1.0029352926107626E-5</v>
      </c>
      <c r="U55" s="71">
        <f t="shared" si="7"/>
        <v>3.1669153645318068E-3</v>
      </c>
      <c r="V55" s="9"/>
      <c r="W55" s="29"/>
      <c r="BC55">
        <v>17078.5</v>
      </c>
      <c r="BD55">
        <v>7.7425449999282137E-2</v>
      </c>
      <c r="BE55">
        <v>1</v>
      </c>
      <c r="BI55">
        <v>17042.5</v>
      </c>
      <c r="BJ55">
        <v>7.3532249996787868E-2</v>
      </c>
      <c r="BK55">
        <v>1</v>
      </c>
    </row>
    <row r="56" spans="1:63" x14ac:dyDescent="0.2">
      <c r="A56" s="46" t="s">
        <v>61</v>
      </c>
      <c r="B56" s="47" t="s">
        <v>60</v>
      </c>
      <c r="C56" s="46">
        <v>52032.453999999998</v>
      </c>
      <c r="D56" s="48">
        <v>6.9999999999999999E-4</v>
      </c>
      <c r="E56" s="40">
        <f t="shared" si="9"/>
        <v>10784.565560254976</v>
      </c>
      <c r="F56" s="44">
        <f t="shared" si="10"/>
        <v>10784.5</v>
      </c>
      <c r="G56" s="40">
        <f t="shared" ref="G56:G103" si="15">C56-(C$7+F56*C$8)</f>
        <v>3.0897649994585663E-2</v>
      </c>
      <c r="H56" s="40"/>
      <c r="I56" s="26"/>
      <c r="J56" s="26"/>
      <c r="K56" s="26">
        <f>G56</f>
        <v>3.0897649994585663E-2</v>
      </c>
      <c r="L56" s="26"/>
      <c r="M56" s="26"/>
      <c r="P56" s="38">
        <f t="shared" si="11"/>
        <v>3.0241738558302599E-2</v>
      </c>
      <c r="Q56" s="10">
        <f t="shared" si="12"/>
        <v>37013.953999999998</v>
      </c>
      <c r="R56" s="9">
        <f t="shared" si="13"/>
        <v>4.302198122469117E-7</v>
      </c>
      <c r="S56" s="9">
        <v>1</v>
      </c>
      <c r="T56" s="9">
        <f t="shared" si="14"/>
        <v>4.302198122469117E-7</v>
      </c>
      <c r="U56" s="71">
        <f t="shared" si="7"/>
        <v>6.5591143628306384E-4</v>
      </c>
      <c r="V56" s="9"/>
      <c r="W56" s="29"/>
      <c r="BC56">
        <v>17188</v>
      </c>
      <c r="BD56">
        <v>7.3755600002186839E-2</v>
      </c>
      <c r="BE56">
        <v>1</v>
      </c>
      <c r="BI56">
        <v>17044.5</v>
      </c>
      <c r="BJ56">
        <v>7.3459649996948428E-2</v>
      </c>
      <c r="BK56">
        <v>1</v>
      </c>
    </row>
    <row r="57" spans="1:63" x14ac:dyDescent="0.2">
      <c r="A57" s="40" t="s">
        <v>59</v>
      </c>
      <c r="B57" s="48"/>
      <c r="C57" s="46">
        <v>52100.557800000002</v>
      </c>
      <c r="D57" s="48">
        <v>1E-3</v>
      </c>
      <c r="E57" s="40">
        <f t="shared" si="9"/>
        <v>10929.071776540077</v>
      </c>
      <c r="F57" s="44">
        <f t="shared" si="10"/>
        <v>10929</v>
      </c>
      <c r="G57" s="40">
        <f t="shared" si="15"/>
        <v>3.3827300001576077E-2</v>
      </c>
      <c r="H57" s="40"/>
      <c r="I57" s="26"/>
      <c r="J57" s="26"/>
      <c r="K57" s="26"/>
      <c r="L57" s="26"/>
      <c r="M57" s="26"/>
      <c r="N57">
        <f>G57</f>
        <v>3.3827300001576077E-2</v>
      </c>
      <c r="P57" s="38">
        <f t="shared" si="11"/>
        <v>3.1019613628829552E-2</v>
      </c>
      <c r="Q57" s="10">
        <f t="shared" si="12"/>
        <v>37082.057800000002</v>
      </c>
      <c r="R57" s="9">
        <f t="shared" si="13"/>
        <v>7.8831027677065376E-6</v>
      </c>
      <c r="S57" s="9">
        <v>0.5</v>
      </c>
      <c r="T57" s="9">
        <f t="shared" si="14"/>
        <v>3.9415513838532688E-6</v>
      </c>
      <c r="U57" s="71">
        <f t="shared" si="7"/>
        <v>2.8076863727465248E-3</v>
      </c>
      <c r="V57" s="9"/>
      <c r="W57" s="29"/>
      <c r="BC57">
        <v>17188</v>
      </c>
      <c r="BD57">
        <v>7.3855599999660626E-2</v>
      </c>
      <c r="BE57">
        <v>1</v>
      </c>
      <c r="BI57">
        <v>17078.5</v>
      </c>
      <c r="BJ57">
        <v>7.7425449999282137E-2</v>
      </c>
      <c r="BK57">
        <v>1</v>
      </c>
    </row>
    <row r="58" spans="1:63" x14ac:dyDescent="0.2">
      <c r="A58" s="40" t="s">
        <v>59</v>
      </c>
      <c r="B58" s="49" t="s">
        <v>60</v>
      </c>
      <c r="C58" s="46">
        <v>52366.599199999997</v>
      </c>
      <c r="D58" s="48">
        <v>2.9999999999999997E-4</v>
      </c>
      <c r="E58" s="40">
        <f t="shared" si="9"/>
        <v>11493.572378403518</v>
      </c>
      <c r="F58" s="44">
        <f t="shared" si="10"/>
        <v>11493.5</v>
      </c>
      <c r="G58" s="40">
        <f t="shared" si="15"/>
        <v>3.4110949993191753E-2</v>
      </c>
      <c r="H58" s="40"/>
      <c r="I58" s="26"/>
      <c r="J58" s="26"/>
      <c r="K58" s="26"/>
      <c r="L58" s="26"/>
      <c r="M58" s="26"/>
      <c r="N58">
        <f>G58</f>
        <v>3.4110949993191753E-2</v>
      </c>
      <c r="P58" s="38">
        <f t="shared" si="11"/>
        <v>3.4152523578090455E-2</v>
      </c>
      <c r="Q58" s="10">
        <f t="shared" si="12"/>
        <v>37348.099199999997</v>
      </c>
      <c r="R58" s="9">
        <f t="shared" si="13"/>
        <v>1.7283629613295828E-9</v>
      </c>
      <c r="S58" s="9">
        <v>1</v>
      </c>
      <c r="T58" s="9">
        <f t="shared" si="14"/>
        <v>1.7283629613295828E-9</v>
      </c>
      <c r="U58" s="71">
        <f t="shared" si="7"/>
        <v>-4.1573584898701998E-5</v>
      </c>
      <c r="V58" s="9"/>
      <c r="W58" s="29"/>
      <c r="BC58">
        <v>17188</v>
      </c>
      <c r="BD58">
        <v>7.4255600004107691E-2</v>
      </c>
      <c r="BE58">
        <v>1</v>
      </c>
      <c r="BI58">
        <v>17188</v>
      </c>
      <c r="BJ58">
        <v>7.3755600002186839E-2</v>
      </c>
      <c r="BK58">
        <v>1</v>
      </c>
    </row>
    <row r="59" spans="1:63" x14ac:dyDescent="0.2">
      <c r="A59" s="50" t="s">
        <v>57</v>
      </c>
      <c r="B59" s="30"/>
      <c r="C59" s="46">
        <v>52701.922667654537</v>
      </c>
      <c r="D59" s="48">
        <v>1E-4</v>
      </c>
      <c r="E59" s="40">
        <f t="shared" si="9"/>
        <v>12205.079306685839</v>
      </c>
      <c r="F59" s="44">
        <f t="shared" si="10"/>
        <v>12205</v>
      </c>
      <c r="G59" s="40">
        <f t="shared" si="15"/>
        <v>3.7376154534285888E-2</v>
      </c>
      <c r="H59" s="40"/>
      <c r="I59" s="26"/>
      <c r="J59" s="26"/>
      <c r="K59" s="26"/>
      <c r="L59" s="26">
        <f>G59</f>
        <v>3.7376154534285888E-2</v>
      </c>
      <c r="M59" s="26"/>
      <c r="P59" s="38">
        <f t="shared" si="11"/>
        <v>3.8314682645262436E-2</v>
      </c>
      <c r="Q59" s="10">
        <f t="shared" si="12"/>
        <v>37683.422667654537</v>
      </c>
      <c r="R59" s="9">
        <f t="shared" si="13"/>
        <v>8.8083501509320831E-7</v>
      </c>
      <c r="S59" s="9">
        <v>1</v>
      </c>
      <c r="T59" s="9">
        <f t="shared" si="14"/>
        <v>8.8083501509320831E-7</v>
      </c>
      <c r="U59" s="71">
        <f t="shared" si="7"/>
        <v>-9.3852811097654837E-4</v>
      </c>
      <c r="V59" s="9"/>
      <c r="W59" s="29"/>
      <c r="Y59" s="71"/>
      <c r="BI59">
        <v>17188</v>
      </c>
      <c r="BJ59">
        <v>7.3855599999660626E-2</v>
      </c>
      <c r="BK59">
        <v>1</v>
      </c>
    </row>
    <row r="60" spans="1:63" x14ac:dyDescent="0.2">
      <c r="A60" s="40" t="s">
        <v>59</v>
      </c>
      <c r="B60" s="49"/>
      <c r="C60" s="46">
        <v>52741.510999999999</v>
      </c>
      <c r="D60" s="48">
        <v>1E-3</v>
      </c>
      <c r="E60" s="40">
        <f t="shared" si="9"/>
        <v>12289.079907478736</v>
      </c>
      <c r="F60" s="44">
        <f t="shared" si="10"/>
        <v>12289</v>
      </c>
      <c r="G60" s="40">
        <f t="shared" si="15"/>
        <v>3.7659299996448681E-2</v>
      </c>
      <c r="H60" s="40"/>
      <c r="I60" s="26"/>
      <c r="J60" s="26"/>
      <c r="K60" s="26"/>
      <c r="L60" s="26"/>
      <c r="M60" s="26"/>
      <c r="N60">
        <f>G60</f>
        <v>3.7659299996448681E-2</v>
      </c>
      <c r="O60">
        <f t="shared" ref="O60:O103" ca="1" si="16">+C$11+C$12*F60</f>
        <v>2.4796608135608522E-2</v>
      </c>
      <c r="P60" s="38">
        <f t="shared" si="11"/>
        <v>3.8821776961497079E-2</v>
      </c>
      <c r="Q60" s="10">
        <f t="shared" si="12"/>
        <v>37723.010999999999</v>
      </c>
      <c r="R60" s="9">
        <f t="shared" si="13"/>
        <v>1.3513526942681342E-6</v>
      </c>
      <c r="S60" s="9">
        <v>0.5</v>
      </c>
      <c r="T60" s="9">
        <f t="shared" si="14"/>
        <v>6.7567634713406711E-7</v>
      </c>
      <c r="U60" s="71">
        <f t="shared" si="7"/>
        <v>-1.1624769650483979E-3</v>
      </c>
      <c r="V60" s="9"/>
      <c r="W60" s="26"/>
      <c r="BC60">
        <v>17243</v>
      </c>
      <c r="BD60">
        <v>7.5029099993116688E-2</v>
      </c>
      <c r="BE60">
        <v>1</v>
      </c>
      <c r="BI60">
        <v>17188</v>
      </c>
      <c r="BJ60">
        <v>7.4255600004107691E-2</v>
      </c>
      <c r="BK60">
        <v>1</v>
      </c>
    </row>
    <row r="61" spans="1:63" x14ac:dyDescent="0.2">
      <c r="A61" s="131" t="s">
        <v>201</v>
      </c>
      <c r="B61" s="60" t="s">
        <v>64</v>
      </c>
      <c r="C61" s="132">
        <v>52752.824399999998</v>
      </c>
      <c r="D61" s="59">
        <v>4.0000000000000002E-4</v>
      </c>
      <c r="E61" s="40">
        <f t="shared" si="9"/>
        <v>12313.085273219262</v>
      </c>
      <c r="F61" s="44">
        <f t="shared" si="10"/>
        <v>12313</v>
      </c>
      <c r="G61" s="40">
        <f t="shared" si="15"/>
        <v>4.018809999251971E-2</v>
      </c>
      <c r="H61" s="40"/>
      <c r="I61" s="26"/>
      <c r="J61" s="26"/>
      <c r="K61" s="26"/>
      <c r="L61" s="26"/>
      <c r="M61" s="26"/>
      <c r="N61">
        <f>G61</f>
        <v>4.018809999251971E-2</v>
      </c>
      <c r="O61">
        <f t="shared" ca="1" si="16"/>
        <v>2.5032433964513504E-2</v>
      </c>
      <c r="P61" s="38">
        <f t="shared" si="11"/>
        <v>3.8967270359332284E-2</v>
      </c>
      <c r="Q61" s="10">
        <f t="shared" si="12"/>
        <v>37734.324399999998</v>
      </c>
      <c r="R61" s="9">
        <f t="shared" si="13"/>
        <v>1.4904249932685445E-6</v>
      </c>
      <c r="S61" s="9">
        <v>1</v>
      </c>
      <c r="T61" s="9">
        <f t="shared" si="14"/>
        <v>1.4904249932685445E-6</v>
      </c>
      <c r="U61" s="71">
        <f t="shared" si="7"/>
        <v>1.2208296331874258E-3</v>
      </c>
      <c r="V61" s="9"/>
      <c r="W61" s="29"/>
      <c r="BC61">
        <v>17258</v>
      </c>
      <c r="BD61">
        <v>7.4734599998919293E-2</v>
      </c>
      <c r="BE61">
        <v>1</v>
      </c>
      <c r="BI61">
        <v>17243</v>
      </c>
      <c r="BJ61">
        <v>7.5029099993116688E-2</v>
      </c>
      <c r="BK61">
        <v>1</v>
      </c>
    </row>
    <row r="62" spans="1:63" x14ac:dyDescent="0.2">
      <c r="A62" s="50" t="s">
        <v>57</v>
      </c>
      <c r="B62" s="30"/>
      <c r="C62" s="46">
        <v>52760.834699999999</v>
      </c>
      <c r="D62" s="57">
        <v>1E-4</v>
      </c>
      <c r="E62" s="40">
        <f t="shared" si="9"/>
        <v>12330.081948064259</v>
      </c>
      <c r="F62" s="44">
        <f t="shared" si="10"/>
        <v>12330</v>
      </c>
      <c r="G62" s="40">
        <f t="shared" si="15"/>
        <v>3.8620999999693595E-2</v>
      </c>
      <c r="H62" s="40"/>
      <c r="I62" s="26"/>
      <c r="J62" s="26"/>
      <c r="K62" s="26"/>
      <c r="L62" s="26">
        <f>G62</f>
        <v>3.8620999999693595E-2</v>
      </c>
      <c r="M62" s="26"/>
      <c r="O62">
        <f t="shared" ca="1" si="16"/>
        <v>2.5199477259987849E-2</v>
      </c>
      <c r="P62" s="38">
        <f t="shared" si="11"/>
        <v>3.9070492028213728E-2</v>
      </c>
      <c r="Q62" s="10">
        <f t="shared" si="12"/>
        <v>37742.334699999999</v>
      </c>
      <c r="R62" s="9">
        <f t="shared" si="13"/>
        <v>2.0204308370314443E-7</v>
      </c>
      <c r="S62" s="9">
        <v>1</v>
      </c>
      <c r="T62" s="9">
        <f t="shared" si="14"/>
        <v>2.0204308370314443E-7</v>
      </c>
      <c r="U62" s="71">
        <f t="shared" si="7"/>
        <v>-4.4949202852013342E-4</v>
      </c>
      <c r="V62" s="9"/>
      <c r="W62" s="29"/>
      <c r="BC62">
        <v>17287.5</v>
      </c>
      <c r="BD62">
        <v>7.4888749993988313E-2</v>
      </c>
      <c r="BE62">
        <v>1</v>
      </c>
      <c r="BI62">
        <v>17258</v>
      </c>
      <c r="BJ62">
        <v>7.4734599998919293E-2</v>
      </c>
      <c r="BK62">
        <v>1</v>
      </c>
    </row>
    <row r="63" spans="1:63" x14ac:dyDescent="0.2">
      <c r="A63" s="50" t="s">
        <v>57</v>
      </c>
      <c r="B63" s="30"/>
      <c r="C63" s="46">
        <v>52760.834799999997</v>
      </c>
      <c r="D63" s="57">
        <v>1E-4</v>
      </c>
      <c r="E63" s="40">
        <f t="shared" si="9"/>
        <v>12330.0821602495</v>
      </c>
      <c r="F63" s="44">
        <f t="shared" si="10"/>
        <v>12330</v>
      </c>
      <c r="G63" s="40">
        <f t="shared" si="15"/>
        <v>3.8720999997167382E-2</v>
      </c>
      <c r="H63" s="40"/>
      <c r="I63" s="26"/>
      <c r="J63" s="26"/>
      <c r="K63" s="26"/>
      <c r="L63" s="26">
        <f>G63</f>
        <v>3.8720999997167382E-2</v>
      </c>
      <c r="M63" s="26"/>
      <c r="O63">
        <f t="shared" ca="1" si="16"/>
        <v>2.5199477259987849E-2</v>
      </c>
      <c r="P63" s="38">
        <f t="shared" si="11"/>
        <v>3.9070492028213728E-2</v>
      </c>
      <c r="Q63" s="10">
        <f t="shared" si="12"/>
        <v>37742.334799999997</v>
      </c>
      <c r="R63" s="9">
        <f t="shared" si="13"/>
        <v>1.2214467976490001E-7</v>
      </c>
      <c r="S63" s="9">
        <v>1</v>
      </c>
      <c r="T63" s="9">
        <f t="shared" si="14"/>
        <v>1.2214467976490001E-7</v>
      </c>
      <c r="U63" s="71">
        <f t="shared" si="7"/>
        <v>-3.4949203104634591E-4</v>
      </c>
      <c r="V63" s="9"/>
      <c r="W63" s="29"/>
      <c r="BC63">
        <v>17829</v>
      </c>
      <c r="BD63">
        <v>7.6237300003413111E-2</v>
      </c>
      <c r="BE63">
        <v>0.5</v>
      </c>
      <c r="BI63">
        <v>17287.5</v>
      </c>
      <c r="BJ63">
        <v>7.4888749993988313E-2</v>
      </c>
      <c r="BK63">
        <v>1</v>
      </c>
    </row>
    <row r="64" spans="1:63" x14ac:dyDescent="0.2">
      <c r="A64" s="51" t="s">
        <v>68</v>
      </c>
      <c r="B64" s="47" t="s">
        <v>60</v>
      </c>
      <c r="C64" s="46">
        <v>53117.365299999998</v>
      </c>
      <c r="D64" s="48">
        <v>1.6000000000000001E-3</v>
      </c>
      <c r="E64" s="40">
        <f t="shared" si="9"/>
        <v>13086.587282507458</v>
      </c>
      <c r="F64" s="44">
        <f t="shared" si="10"/>
        <v>13086.5</v>
      </c>
      <c r="G64" s="40">
        <f t="shared" si="15"/>
        <v>4.1135049992590211E-2</v>
      </c>
      <c r="H64" s="40"/>
      <c r="I64" s="26"/>
      <c r="J64" s="26"/>
      <c r="K64" s="26">
        <f>G64</f>
        <v>4.1135049992590211E-2</v>
      </c>
      <c r="L64" s="26"/>
      <c r="M64" s="26"/>
      <c r="O64">
        <f t="shared" ca="1" si="16"/>
        <v>3.2632903908596758E-2</v>
      </c>
      <c r="P64" s="38">
        <f t="shared" si="11"/>
        <v>4.3801409514483108E-2</v>
      </c>
      <c r="Q64" s="10">
        <f t="shared" si="12"/>
        <v>38098.865299999998</v>
      </c>
      <c r="R64" s="9">
        <f t="shared" si="13"/>
        <v>7.1094730999889188E-6</v>
      </c>
      <c r="S64" s="9">
        <v>0.5</v>
      </c>
      <c r="T64" s="9">
        <f t="shared" si="14"/>
        <v>3.5547365499944594E-6</v>
      </c>
      <c r="U64" s="71">
        <f t="shared" si="7"/>
        <v>-2.666359521892897E-3</v>
      </c>
      <c r="V64" s="9"/>
      <c r="W64" s="29"/>
      <c r="BC64">
        <v>17829</v>
      </c>
      <c r="BD64">
        <v>7.7537299999676179E-2</v>
      </c>
      <c r="BE64">
        <v>0.5</v>
      </c>
      <c r="BI64">
        <v>17829</v>
      </c>
      <c r="BJ64">
        <v>7.6237300003413111E-2</v>
      </c>
      <c r="BK64">
        <v>0.5</v>
      </c>
    </row>
    <row r="65" spans="1:63" x14ac:dyDescent="0.2">
      <c r="A65" s="51" t="s">
        <v>68</v>
      </c>
      <c r="B65" s="52"/>
      <c r="C65" s="46">
        <v>53145.4107</v>
      </c>
      <c r="D65" s="48">
        <v>5.0000000000000001E-4</v>
      </c>
      <c r="E65" s="40">
        <f t="shared" si="9"/>
        <v>13146.095483785541</v>
      </c>
      <c r="F65" s="44">
        <f t="shared" si="10"/>
        <v>13146</v>
      </c>
      <c r="G65" s="40">
        <f t="shared" si="15"/>
        <v>4.5000199999776669E-2</v>
      </c>
      <c r="H65" s="40"/>
      <c r="I65" s="26"/>
      <c r="J65" s="26"/>
      <c r="K65" s="26">
        <f>G65</f>
        <v>4.5000199999776669E-2</v>
      </c>
      <c r="L65" s="26"/>
      <c r="M65" s="26"/>
      <c r="O65">
        <f t="shared" ca="1" si="16"/>
        <v>3.3217555442757021E-2</v>
      </c>
      <c r="P65" s="38">
        <f t="shared" si="11"/>
        <v>4.4184917380058614E-2</v>
      </c>
      <c r="Q65" s="10">
        <f t="shared" si="12"/>
        <v>38126.9107</v>
      </c>
      <c r="R65" s="9">
        <f t="shared" si="13"/>
        <v>6.6468575001433491E-7</v>
      </c>
      <c r="S65" s="9">
        <v>1</v>
      </c>
      <c r="T65" s="9">
        <f t="shared" si="14"/>
        <v>6.6468575001433491E-7</v>
      </c>
      <c r="U65" s="71">
        <f t="shared" si="7"/>
        <v>8.1528261971805516E-4</v>
      </c>
      <c r="V65" s="9"/>
      <c r="W65" s="29"/>
      <c r="BC65">
        <v>17829</v>
      </c>
      <c r="BD65">
        <v>7.8137299999070819E-2</v>
      </c>
      <c r="BE65">
        <v>1</v>
      </c>
      <c r="BI65">
        <v>17829</v>
      </c>
      <c r="BJ65">
        <v>7.7537299999676179E-2</v>
      </c>
      <c r="BK65">
        <v>0.5</v>
      </c>
    </row>
    <row r="66" spans="1:63" x14ac:dyDescent="0.2">
      <c r="A66" s="51" t="s">
        <v>68</v>
      </c>
      <c r="B66" s="52"/>
      <c r="C66" s="46">
        <v>53151.536200000002</v>
      </c>
      <c r="D66" s="48">
        <v>2E-3</v>
      </c>
      <c r="E66" s="40">
        <f t="shared" si="9"/>
        <v>13159.092891094011</v>
      </c>
      <c r="F66" s="44">
        <f t="shared" si="10"/>
        <v>13159</v>
      </c>
      <c r="G66" s="40">
        <f t="shared" si="15"/>
        <v>4.3778300001577009E-2</v>
      </c>
      <c r="H66" s="40"/>
      <c r="I66" s="26"/>
      <c r="J66" s="26"/>
      <c r="K66" s="26">
        <f>G66</f>
        <v>4.3778300001577009E-2</v>
      </c>
      <c r="L66" s="26"/>
      <c r="M66" s="26"/>
      <c r="O66">
        <f t="shared" ca="1" si="16"/>
        <v>3.3345294433413872E-2</v>
      </c>
      <c r="P66" s="38">
        <f t="shared" si="11"/>
        <v>4.4268930570226246E-2</v>
      </c>
      <c r="Q66" s="10">
        <f t="shared" si="12"/>
        <v>38133.036200000002</v>
      </c>
      <c r="R66" s="9">
        <f t="shared" si="13"/>
        <v>2.4071835489307428E-7</v>
      </c>
      <c r="S66" s="9">
        <v>0.5</v>
      </c>
      <c r="T66" s="9">
        <f t="shared" si="14"/>
        <v>1.2035917744653714E-7</v>
      </c>
      <c r="U66" s="71">
        <f t="shared" si="7"/>
        <v>-4.9063056864923765E-4</v>
      </c>
      <c r="V66" s="9"/>
      <c r="W66" s="29"/>
      <c r="Y66" s="71"/>
      <c r="BI66">
        <v>17829</v>
      </c>
      <c r="BJ66">
        <v>7.8137299999070819E-2</v>
      </c>
      <c r="BK66">
        <v>1</v>
      </c>
    </row>
    <row r="67" spans="1:63" x14ac:dyDescent="0.2">
      <c r="A67" s="50" t="s">
        <v>66</v>
      </c>
      <c r="B67" s="30"/>
      <c r="C67" s="46">
        <v>53439.967700000001</v>
      </c>
      <c r="D67" s="57">
        <v>1E-4</v>
      </c>
      <c r="E67" s="40">
        <f t="shared" si="9"/>
        <v>13771.101981958733</v>
      </c>
      <c r="F67" s="44">
        <f t="shared" si="10"/>
        <v>13771</v>
      </c>
      <c r="G67" s="40">
        <f t="shared" si="15"/>
        <v>4.8062699999718461E-2</v>
      </c>
      <c r="H67" s="40"/>
      <c r="I67" s="26"/>
      <c r="J67" s="26"/>
      <c r="K67" s="26"/>
      <c r="L67" s="26">
        <f>G67</f>
        <v>4.8062699999718461E-2</v>
      </c>
      <c r="M67" s="26"/>
      <c r="O67">
        <f t="shared" ca="1" si="16"/>
        <v>3.9358853070490765E-2</v>
      </c>
      <c r="P67" s="38">
        <f t="shared" si="11"/>
        <v>4.8313928227875405E-2</v>
      </c>
      <c r="Q67" s="10">
        <f t="shared" si="12"/>
        <v>38421.467700000001</v>
      </c>
      <c r="R67" s="9">
        <f t="shared" si="13"/>
        <v>6.3115622622877456E-8</v>
      </c>
      <c r="S67" s="9">
        <v>1</v>
      </c>
      <c r="T67" s="9">
        <f t="shared" si="14"/>
        <v>6.3115622622877456E-8</v>
      </c>
      <c r="U67" s="71">
        <f t="shared" si="7"/>
        <v>-2.512282281569439E-4</v>
      </c>
      <c r="V67" s="9"/>
      <c r="W67" s="26"/>
      <c r="BC67">
        <v>17880</v>
      </c>
      <c r="BD67">
        <v>8.1055999995442107E-2</v>
      </c>
      <c r="BE67">
        <v>0.5</v>
      </c>
      <c r="BI67">
        <v>17880</v>
      </c>
      <c r="BJ67">
        <v>8.1055999995442107E-2</v>
      </c>
      <c r="BK67">
        <v>0.5</v>
      </c>
    </row>
    <row r="68" spans="1:63" x14ac:dyDescent="0.2">
      <c r="A68" s="46" t="s">
        <v>80</v>
      </c>
      <c r="B68" s="47" t="s">
        <v>64</v>
      </c>
      <c r="C68" s="46">
        <v>53546.481480000002</v>
      </c>
      <c r="D68" s="48">
        <v>2.9999999999999997E-4</v>
      </c>
      <c r="E68" s="40">
        <f t="shared" si="9"/>
        <v>13997.108509201305</v>
      </c>
      <c r="F68" s="44">
        <f t="shared" si="10"/>
        <v>13997</v>
      </c>
      <c r="G68" s="40">
        <f t="shared" si="15"/>
        <v>5.1138900002115406E-2</v>
      </c>
      <c r="H68" s="40"/>
      <c r="I68" s="26"/>
      <c r="J68" s="26"/>
      <c r="K68" s="26"/>
      <c r="L68" s="26"/>
      <c r="M68" s="26"/>
      <c r="N68">
        <f>G68</f>
        <v>5.1138900002115406E-2</v>
      </c>
      <c r="O68">
        <f t="shared" ca="1" si="16"/>
        <v>4.1579546292679279E-2</v>
      </c>
      <c r="P68" s="38">
        <f t="shared" si="11"/>
        <v>4.9852189071614567E-2</v>
      </c>
      <c r="Q68" s="10">
        <f t="shared" si="12"/>
        <v>38527.981480000002</v>
      </c>
      <c r="R68" s="9">
        <f t="shared" si="13"/>
        <v>1.6556250186703361E-6</v>
      </c>
      <c r="S68" s="13">
        <v>1</v>
      </c>
      <c r="T68" s="9">
        <f t="shared" si="14"/>
        <v>1.6556250186703361E-6</v>
      </c>
      <c r="U68" s="71">
        <f t="shared" si="7"/>
        <v>1.2867109305008395E-3</v>
      </c>
      <c r="V68" s="9"/>
      <c r="W68" s="29"/>
      <c r="BC68">
        <v>17916</v>
      </c>
      <c r="BD68">
        <v>8.0549199992674403E-2</v>
      </c>
      <c r="BE68">
        <v>1</v>
      </c>
      <c r="BI68">
        <v>17916</v>
      </c>
      <c r="BJ68">
        <v>8.0549199992674403E-2</v>
      </c>
      <c r="BK68">
        <v>1</v>
      </c>
    </row>
    <row r="69" spans="1:63" x14ac:dyDescent="0.2">
      <c r="A69" s="50" t="s">
        <v>74</v>
      </c>
      <c r="B69" s="30"/>
      <c r="C69" s="46">
        <v>53784.01154</v>
      </c>
      <c r="D69" s="57">
        <v>6.0000000000000002E-5</v>
      </c>
      <c r="E69" s="40">
        <f t="shared" si="9"/>
        <v>14501.112253846541</v>
      </c>
      <c r="F69" s="44">
        <f t="shared" si="10"/>
        <v>14501</v>
      </c>
      <c r="G69" s="40">
        <f t="shared" si="15"/>
        <v>5.2903699994203635E-2</v>
      </c>
      <c r="H69" s="40"/>
      <c r="I69" s="26"/>
      <c r="J69" s="26"/>
      <c r="K69" s="26"/>
      <c r="L69" s="26">
        <f>G69</f>
        <v>5.2903699994203635E-2</v>
      </c>
      <c r="M69" s="26"/>
      <c r="O69">
        <f t="shared" ca="1" si="16"/>
        <v>4.6531888699683763E-2</v>
      </c>
      <c r="P69" s="38">
        <f t="shared" si="11"/>
        <v>5.3369134694522827E-2</v>
      </c>
      <c r="Q69" s="10">
        <f t="shared" si="12"/>
        <v>38765.51154</v>
      </c>
      <c r="R69" s="9">
        <f t="shared" si="13"/>
        <v>2.1662946026121625E-7</v>
      </c>
      <c r="S69" s="13">
        <v>1</v>
      </c>
      <c r="T69" s="9">
        <f t="shared" si="14"/>
        <v>2.1662946026121625E-7</v>
      </c>
      <c r="U69" s="71">
        <f t="shared" si="7"/>
        <v>-4.6543470031919221E-4</v>
      </c>
      <c r="V69" s="9"/>
      <c r="W69" s="29"/>
      <c r="BC69">
        <v>18024</v>
      </c>
      <c r="BD69">
        <v>8.1428799996501766E-2</v>
      </c>
      <c r="BE69">
        <v>1</v>
      </c>
      <c r="BI69">
        <v>18024</v>
      </c>
      <c r="BJ69">
        <v>8.1428799996501766E-2</v>
      </c>
      <c r="BK69">
        <v>1</v>
      </c>
    </row>
    <row r="70" spans="1:63" x14ac:dyDescent="0.2">
      <c r="A70" s="44" t="s">
        <v>71</v>
      </c>
      <c r="B70" s="49"/>
      <c r="C70" s="46">
        <v>53817.473299999998</v>
      </c>
      <c r="D70" s="48">
        <v>2.9999999999999997E-4</v>
      </c>
      <c r="E70" s="40">
        <f t="shared" si="9"/>
        <v>14572.1131719721</v>
      </c>
      <c r="F70" s="44">
        <f t="shared" si="10"/>
        <v>14572</v>
      </c>
      <c r="G70" s="40">
        <f t="shared" si="15"/>
        <v>5.3336399992986117E-2</v>
      </c>
      <c r="H70" s="40"/>
      <c r="I70" s="26"/>
      <c r="J70" s="26"/>
      <c r="K70" s="26">
        <f>G70</f>
        <v>5.3336399992986117E-2</v>
      </c>
      <c r="L70" s="26"/>
      <c r="M70" s="26"/>
      <c r="O70">
        <f t="shared" ca="1" si="16"/>
        <v>4.7229540110194299E-2</v>
      </c>
      <c r="P70" s="38">
        <f t="shared" si="11"/>
        <v>5.3874174259004176E-2</v>
      </c>
      <c r="Q70" s="10">
        <f t="shared" si="12"/>
        <v>38798.973299999998</v>
      </c>
      <c r="R70" s="9">
        <f t="shared" si="13"/>
        <v>2.8920116119126268E-7</v>
      </c>
      <c r="S70" s="9">
        <v>1</v>
      </c>
      <c r="T70" s="9">
        <f t="shared" si="14"/>
        <v>2.8920116119126268E-7</v>
      </c>
      <c r="U70" s="71">
        <f t="shared" si="7"/>
        <v>-5.3777426601805955E-4</v>
      </c>
      <c r="V70" s="9"/>
      <c r="W70" s="26"/>
      <c r="BC70">
        <v>18557.5</v>
      </c>
      <c r="BD70">
        <v>8.5387749997607898E-2</v>
      </c>
      <c r="BE70">
        <v>1</v>
      </c>
      <c r="BI70">
        <v>18557.5</v>
      </c>
      <c r="BJ70">
        <v>8.5387749997607898E-2</v>
      </c>
      <c r="BK70">
        <v>1</v>
      </c>
    </row>
    <row r="71" spans="1:63" x14ac:dyDescent="0.2">
      <c r="A71" s="44" t="s">
        <v>71</v>
      </c>
      <c r="B71" s="49"/>
      <c r="C71" s="46">
        <v>53849.519800000002</v>
      </c>
      <c r="D71" s="48">
        <v>2.0999999999999999E-3</v>
      </c>
      <c r="E71" s="40">
        <f t="shared" si="9"/>
        <v>14640.111117170176</v>
      </c>
      <c r="F71" s="44">
        <f t="shared" si="10"/>
        <v>14640</v>
      </c>
      <c r="G71" s="40">
        <f t="shared" si="15"/>
        <v>5.2367999996931758E-2</v>
      </c>
      <c r="H71" s="40"/>
      <c r="I71" s="26"/>
      <c r="J71" s="26"/>
      <c r="K71" s="26">
        <f>G71</f>
        <v>5.2367999996931758E-2</v>
      </c>
      <c r="L71" s="26"/>
      <c r="M71" s="26"/>
      <c r="O71">
        <f t="shared" ca="1" si="16"/>
        <v>4.7897713292091734E-2</v>
      </c>
      <c r="P71" s="38">
        <f t="shared" si="11"/>
        <v>5.436009602725228E-2</v>
      </c>
      <c r="Q71" s="10">
        <f t="shared" si="12"/>
        <v>38831.019800000002</v>
      </c>
      <c r="R71" s="9">
        <f t="shared" si="13"/>
        <v>3.9684465940187849E-6</v>
      </c>
      <c r="S71" s="13">
        <v>0.5</v>
      </c>
      <c r="T71" s="9">
        <f t="shared" si="14"/>
        <v>1.9842232970093924E-6</v>
      </c>
      <c r="U71" s="71">
        <f t="shared" si="7"/>
        <v>-1.9920960303205226E-3</v>
      </c>
      <c r="V71" s="9"/>
      <c r="W71" s="26"/>
      <c r="BC71">
        <v>18588.5</v>
      </c>
      <c r="BD71">
        <v>8.6412449993076734E-2</v>
      </c>
      <c r="BE71">
        <v>0.5</v>
      </c>
      <c r="BI71">
        <v>18588.5</v>
      </c>
      <c r="BJ71">
        <v>8.6412449993076734E-2</v>
      </c>
      <c r="BK71">
        <v>0.5</v>
      </c>
    </row>
    <row r="72" spans="1:63" x14ac:dyDescent="0.2">
      <c r="A72" s="46" t="s">
        <v>75</v>
      </c>
      <c r="B72" s="52"/>
      <c r="C72" s="46">
        <v>53858.476600000002</v>
      </c>
      <c r="D72" s="48">
        <v>2.9999999999999997E-4</v>
      </c>
      <c r="E72" s="40">
        <f t="shared" si="9"/>
        <v>14659.116125378563</v>
      </c>
      <c r="F72" s="44">
        <f t="shared" si="10"/>
        <v>14659</v>
      </c>
      <c r="G72" s="40">
        <f t="shared" si="15"/>
        <v>5.4728299997805152E-2</v>
      </c>
      <c r="H72" s="40"/>
      <c r="I72" s="26"/>
      <c r="J72" s="26"/>
      <c r="K72" s="26">
        <f>G72</f>
        <v>5.4728299997805152E-2</v>
      </c>
      <c r="L72" s="26"/>
      <c r="M72" s="26"/>
      <c r="O72">
        <f t="shared" ca="1" si="16"/>
        <v>4.808440873997484E-2</v>
      </c>
      <c r="P72" s="38">
        <f t="shared" si="11"/>
        <v>5.4496256860590946E-2</v>
      </c>
      <c r="Q72" s="10">
        <f t="shared" si="12"/>
        <v>38839.976600000002</v>
      </c>
      <c r="R72" s="9">
        <f t="shared" si="13"/>
        <v>5.3844017528211061E-8</v>
      </c>
      <c r="S72" s="13">
        <v>1</v>
      </c>
      <c r="T72" s="9">
        <f t="shared" si="14"/>
        <v>5.3844017528211061E-8</v>
      </c>
      <c r="U72" s="71">
        <f t="shared" si="7"/>
        <v>2.320431372142065E-4</v>
      </c>
      <c r="V72" s="9"/>
      <c r="W72" s="26"/>
      <c r="BC72">
        <v>18646.5</v>
      </c>
      <c r="BD72">
        <v>8.7807049996627029E-2</v>
      </c>
      <c r="BE72">
        <v>1</v>
      </c>
      <c r="BI72">
        <v>18646.5</v>
      </c>
      <c r="BJ72">
        <v>8.7807049996627029E-2</v>
      </c>
      <c r="BK72">
        <v>1</v>
      </c>
    </row>
    <row r="73" spans="1:63" x14ac:dyDescent="0.2">
      <c r="A73" s="44" t="s">
        <v>73</v>
      </c>
      <c r="B73" s="47" t="s">
        <v>64</v>
      </c>
      <c r="C73" s="46">
        <v>53899.475299999998</v>
      </c>
      <c r="D73" s="48">
        <v>5.9999999999999995E-4</v>
      </c>
      <c r="E73" s="40">
        <f t="shared" si="9"/>
        <v>14746.109318263645</v>
      </c>
      <c r="F73" s="44">
        <f t="shared" si="10"/>
        <v>14746</v>
      </c>
      <c r="G73" s="40">
        <f t="shared" si="15"/>
        <v>5.1520199995138682E-2</v>
      </c>
      <c r="H73" s="40"/>
      <c r="I73" s="26"/>
      <c r="J73" s="26"/>
      <c r="K73" s="26">
        <f>G73</f>
        <v>5.1520199995138682E-2</v>
      </c>
      <c r="L73" s="26"/>
      <c r="M73" s="26"/>
      <c r="O73">
        <f t="shared" ca="1" si="16"/>
        <v>4.8939277369755382E-2</v>
      </c>
      <c r="P73" s="38">
        <f t="shared" si="11"/>
        <v>5.5121897987127286E-2</v>
      </c>
      <c r="Q73" s="10">
        <f t="shared" si="12"/>
        <v>38880.975299999998</v>
      </c>
      <c r="R73" s="9">
        <f t="shared" si="13"/>
        <v>1.2972228425494737E-5</v>
      </c>
      <c r="S73" s="13">
        <v>1</v>
      </c>
      <c r="T73" s="9">
        <f t="shared" si="14"/>
        <v>1.2972228425494737E-5</v>
      </c>
      <c r="U73" s="71">
        <f t="shared" si="7"/>
        <v>-3.6016979919886033E-3</v>
      </c>
      <c r="V73" s="9"/>
      <c r="W73" s="26"/>
    </row>
    <row r="74" spans="1:63" x14ac:dyDescent="0.2">
      <c r="A74" s="122" t="s">
        <v>195</v>
      </c>
      <c r="B74" s="123" t="s">
        <v>60</v>
      </c>
      <c r="C74" s="122">
        <v>54233.861299999997</v>
      </c>
      <c r="D74" s="125">
        <v>1E-4</v>
      </c>
      <c r="E74" s="40">
        <f t="shared" si="9"/>
        <v>15455.627078487098</v>
      </c>
      <c r="F74" s="44">
        <f t="shared" si="10"/>
        <v>15455.5</v>
      </c>
      <c r="G74" s="40">
        <f t="shared" si="15"/>
        <v>5.9890349992201664E-2</v>
      </c>
      <c r="H74" s="40"/>
      <c r="I74" s="26"/>
      <c r="J74" s="26"/>
      <c r="K74" s="26"/>
      <c r="L74" s="26"/>
      <c r="M74" s="26"/>
      <c r="N74">
        <f>G74</f>
        <v>5.9890349992201664E-2</v>
      </c>
      <c r="O74">
        <f t="shared" ca="1" si="16"/>
        <v>5.5910878436758724E-2</v>
      </c>
      <c r="P74" s="38">
        <f t="shared" si="11"/>
        <v>6.0356952555008364E-2</v>
      </c>
      <c r="Q74" s="10">
        <f t="shared" si="12"/>
        <v>39215.361299999997</v>
      </c>
      <c r="R74" s="9">
        <f t="shared" si="13"/>
        <v>2.1771795161778091E-7</v>
      </c>
      <c r="S74" s="13">
        <v>1</v>
      </c>
      <c r="T74" s="25">
        <f t="shared" si="14"/>
        <v>2.1771795161778091E-7</v>
      </c>
      <c r="U74" s="71">
        <f t="shared" si="7"/>
        <v>-4.6660256280670054E-4</v>
      </c>
      <c r="V74" s="25"/>
      <c r="W74" s="26"/>
    </row>
    <row r="75" spans="1:63" x14ac:dyDescent="0.2">
      <c r="A75" s="48" t="s">
        <v>75</v>
      </c>
      <c r="B75" s="47" t="s">
        <v>60</v>
      </c>
      <c r="C75" s="48">
        <v>54240.460400000004</v>
      </c>
      <c r="D75" s="48">
        <v>1.1000000000000001E-3</v>
      </c>
      <c r="E75" s="40">
        <f t="shared" si="9"/>
        <v>15469.629395125639</v>
      </c>
      <c r="F75" s="44">
        <f t="shared" si="10"/>
        <v>15469.5</v>
      </c>
      <c r="G75" s="40">
        <f t="shared" si="15"/>
        <v>6.0982150003837887E-2</v>
      </c>
      <c r="H75" s="40"/>
      <c r="I75" s="26"/>
      <c r="J75" s="26"/>
      <c r="K75" s="26">
        <f>G75</f>
        <v>6.0982150003837887E-2</v>
      </c>
      <c r="L75" s="26"/>
      <c r="M75" s="26"/>
      <c r="O75">
        <f t="shared" ca="1" si="16"/>
        <v>5.6048443503619941E-2</v>
      </c>
      <c r="P75" s="38">
        <f t="shared" si="11"/>
        <v>6.0462632776647242E-2</v>
      </c>
      <c r="Q75" s="10">
        <f t="shared" si="12"/>
        <v>39221.960400000004</v>
      </c>
      <c r="R75" s="9">
        <f t="shared" si="13"/>
        <v>2.6989814934785664E-7</v>
      </c>
      <c r="S75" s="13">
        <v>0.5</v>
      </c>
      <c r="T75" s="25">
        <f t="shared" si="14"/>
        <v>1.3494907467392832E-7</v>
      </c>
      <c r="U75" s="71">
        <f t="shared" si="7"/>
        <v>5.1951722719064536E-4</v>
      </c>
      <c r="V75" s="25"/>
      <c r="W75" s="26"/>
    </row>
    <row r="76" spans="1:63" x14ac:dyDescent="0.2">
      <c r="A76" s="128" t="s">
        <v>76</v>
      </c>
      <c r="B76" s="30"/>
      <c r="C76" s="120">
        <v>54539.025999999998</v>
      </c>
      <c r="D76" s="48">
        <v>1E-3</v>
      </c>
      <c r="E76" s="40">
        <f t="shared" si="9"/>
        <v>16103.14155111234</v>
      </c>
      <c r="F76" s="44">
        <f t="shared" si="10"/>
        <v>16103</v>
      </c>
      <c r="G76" s="40">
        <f t="shared" si="15"/>
        <v>6.6711099992971867E-2</v>
      </c>
      <c r="H76" s="40"/>
      <c r="I76" s="26"/>
      <c r="J76" s="26"/>
      <c r="K76" s="26"/>
      <c r="L76" s="26">
        <f>G76</f>
        <v>6.6711099992971867E-2</v>
      </c>
      <c r="M76" s="26"/>
      <c r="O76">
        <f t="shared" ca="1" si="16"/>
        <v>6.2273262779090857E-2</v>
      </c>
      <c r="P76" s="38">
        <f t="shared" si="11"/>
        <v>6.5341087419177948E-2</v>
      </c>
      <c r="Q76" s="10">
        <f t="shared" si="12"/>
        <v>39520.525999999998</v>
      </c>
      <c r="R76" s="9">
        <f t="shared" si="13"/>
        <v>1.8769344523534383E-6</v>
      </c>
      <c r="S76" s="13">
        <v>0.5</v>
      </c>
      <c r="T76" s="25">
        <f t="shared" si="14"/>
        <v>9.3846722617671914E-7</v>
      </c>
      <c r="U76" s="71">
        <f t="shared" si="7"/>
        <v>1.3700125737939189E-3</v>
      </c>
      <c r="V76" s="25"/>
      <c r="W76" s="26"/>
    </row>
    <row r="77" spans="1:63" x14ac:dyDescent="0.2">
      <c r="A77" s="125" t="s">
        <v>197</v>
      </c>
      <c r="B77" s="123" t="s">
        <v>60</v>
      </c>
      <c r="C77" s="125">
        <v>54718.352400000003</v>
      </c>
      <c r="D77" s="125">
        <v>2.0000000000000001E-4</v>
      </c>
      <c r="E77" s="40">
        <f t="shared" si="9"/>
        <v>16483.645715990471</v>
      </c>
      <c r="F77" s="44">
        <f t="shared" si="10"/>
        <v>16483.5</v>
      </c>
      <c r="G77" s="40">
        <f t="shared" si="15"/>
        <v>6.8673950001539197E-2</v>
      </c>
      <c r="H77" s="40"/>
      <c r="I77" s="26"/>
      <c r="J77" s="26"/>
      <c r="K77" s="26"/>
      <c r="L77" s="26"/>
      <c r="M77" s="26"/>
      <c r="N77">
        <f>G77</f>
        <v>6.8673950001539197E-2</v>
      </c>
      <c r="O77">
        <f t="shared" ca="1" si="16"/>
        <v>6.6012084774855165E-2</v>
      </c>
      <c r="P77" s="38">
        <f t="shared" si="11"/>
        <v>6.8361937775660478E-2</v>
      </c>
      <c r="Q77" s="10">
        <f t="shared" si="12"/>
        <v>39699.852400000003</v>
      </c>
      <c r="R77" s="9">
        <f t="shared" si="13"/>
        <v>9.7351629097792708E-8</v>
      </c>
      <c r="S77" s="13">
        <v>1</v>
      </c>
      <c r="T77" s="25">
        <f t="shared" si="14"/>
        <v>9.7351629097792708E-8</v>
      </c>
      <c r="U77" s="71">
        <f t="shared" si="7"/>
        <v>3.1201222587871891E-4</v>
      </c>
      <c r="V77" s="25"/>
      <c r="W77" s="26"/>
    </row>
    <row r="78" spans="1:63" x14ac:dyDescent="0.2">
      <c r="A78" s="125" t="s">
        <v>164</v>
      </c>
      <c r="B78" s="123" t="s">
        <v>60</v>
      </c>
      <c r="C78" s="125">
        <v>54897.913800000002</v>
      </c>
      <c r="D78" s="125">
        <v>1E-4</v>
      </c>
      <c r="E78" s="40">
        <f t="shared" si="9"/>
        <v>16864.648516199177</v>
      </c>
      <c r="F78" s="44">
        <f t="shared" si="10"/>
        <v>16864.5</v>
      </c>
      <c r="G78" s="40">
        <f t="shared" si="15"/>
        <v>6.9993650002288632E-2</v>
      </c>
      <c r="H78" s="40"/>
      <c r="I78" s="26"/>
      <c r="J78" s="26"/>
      <c r="K78" s="26">
        <f>G78</f>
        <v>6.9993650002288632E-2</v>
      </c>
      <c r="L78" s="26"/>
      <c r="M78" s="26"/>
      <c r="O78">
        <f t="shared" ca="1" si="16"/>
        <v>6.9755819808721656E-2</v>
      </c>
      <c r="P78" s="38">
        <f t="shared" si="11"/>
        <v>7.1454959600168996E-2</v>
      </c>
      <c r="Q78" s="10">
        <f t="shared" si="12"/>
        <v>39879.413800000002</v>
      </c>
      <c r="R78" s="9">
        <f t="shared" si="13"/>
        <v>2.1354257408572716E-6</v>
      </c>
      <c r="S78" s="13">
        <v>1</v>
      </c>
      <c r="T78" s="25">
        <f t="shared" si="14"/>
        <v>2.1354257408572716E-6</v>
      </c>
      <c r="U78" s="71">
        <f t="shared" si="7"/>
        <v>-1.4613095978803642E-3</v>
      </c>
      <c r="V78" s="25"/>
      <c r="W78" s="26"/>
    </row>
    <row r="79" spans="1:63" x14ac:dyDescent="0.2">
      <c r="A79" s="125" t="s">
        <v>197</v>
      </c>
      <c r="B79" s="123" t="s">
        <v>64</v>
      </c>
      <c r="C79" s="125">
        <v>54908.518700000001</v>
      </c>
      <c r="D79" s="125">
        <v>8.0000000000000004E-4</v>
      </c>
      <c r="E79" s="40">
        <f t="shared" si="9"/>
        <v>16887.150549464302</v>
      </c>
      <c r="F79" s="44">
        <f t="shared" si="10"/>
        <v>16887</v>
      </c>
      <c r="G79" s="40">
        <f t="shared" si="15"/>
        <v>7.0951899993815459E-2</v>
      </c>
      <c r="H79" s="40"/>
      <c r="I79" s="26"/>
      <c r="J79" s="26"/>
      <c r="L79" s="26"/>
      <c r="M79" s="26"/>
      <c r="N79">
        <f>G79</f>
        <v>7.0951899993815459E-2</v>
      </c>
      <c r="O79">
        <f t="shared" ca="1" si="16"/>
        <v>6.9976906523320073E-2</v>
      </c>
      <c r="P79" s="38">
        <f t="shared" si="11"/>
        <v>7.1639752532259682E-2</v>
      </c>
      <c r="Q79" s="10">
        <f t="shared" si="12"/>
        <v>39890.018700000001</v>
      </c>
      <c r="R79" s="9">
        <f t="shared" si="13"/>
        <v>4.7314111464416054E-7</v>
      </c>
      <c r="S79" s="13">
        <v>1</v>
      </c>
      <c r="T79" s="25">
        <f t="shared" si="14"/>
        <v>4.7314111464416054E-7</v>
      </c>
      <c r="U79" s="71">
        <f t="shared" si="7"/>
        <v>-6.8785253844422245E-4</v>
      </c>
      <c r="V79" s="25"/>
      <c r="W79" s="26"/>
    </row>
    <row r="80" spans="1:63" x14ac:dyDescent="0.2">
      <c r="A80" s="125" t="s">
        <v>164</v>
      </c>
      <c r="B80" s="123" t="s">
        <v>60</v>
      </c>
      <c r="C80" s="125">
        <v>54915.826500000003</v>
      </c>
      <c r="D80" s="125">
        <v>1E-4</v>
      </c>
      <c r="E80" s="40">
        <f t="shared" si="9"/>
        <v>16902.656622948725</v>
      </c>
      <c r="F80" s="44">
        <f t="shared" si="10"/>
        <v>16902.5</v>
      </c>
      <c r="G80" s="40">
        <f t="shared" si="15"/>
        <v>7.3814249997667503E-2</v>
      </c>
      <c r="H80" s="40"/>
      <c r="I80" s="26"/>
      <c r="J80" s="26"/>
      <c r="K80" s="26">
        <f>G80</f>
        <v>7.3814249997667503E-2</v>
      </c>
      <c r="L80" s="26"/>
      <c r="M80" s="26"/>
      <c r="O80">
        <f t="shared" ca="1" si="16"/>
        <v>7.0129210704487868E-2</v>
      </c>
      <c r="P80" s="38">
        <f t="shared" si="11"/>
        <v>7.1767192787525233E-2</v>
      </c>
      <c r="Q80" s="10">
        <f t="shared" si="12"/>
        <v>39897.326500000003</v>
      </c>
      <c r="R80" s="9">
        <f t="shared" si="13"/>
        <v>4.190443221595452E-6</v>
      </c>
      <c r="S80" s="13">
        <v>1</v>
      </c>
      <c r="T80" s="25">
        <f t="shared" si="14"/>
        <v>4.190443221595452E-6</v>
      </c>
      <c r="U80" s="71">
        <f t="shared" si="7"/>
        <v>2.0470572101422696E-3</v>
      </c>
      <c r="V80" s="25"/>
      <c r="W80" s="26"/>
    </row>
    <row r="81" spans="1:22" x14ac:dyDescent="0.2">
      <c r="A81" s="125" t="s">
        <v>196</v>
      </c>
      <c r="B81" s="123" t="s">
        <v>60</v>
      </c>
      <c r="C81" s="125">
        <v>54936.559800000003</v>
      </c>
      <c r="D81" s="125">
        <v>2.0000000000000001E-4</v>
      </c>
      <c r="E81" s="40">
        <f t="shared" si="9"/>
        <v>16946.649626776758</v>
      </c>
      <c r="F81" s="44">
        <f t="shared" si="10"/>
        <v>16946.5</v>
      </c>
      <c r="G81" s="40">
        <f t="shared" si="15"/>
        <v>7.0517050000489689E-2</v>
      </c>
      <c r="H81" s="40"/>
      <c r="I81" s="26"/>
      <c r="J81" s="26"/>
      <c r="K81" s="26"/>
      <c r="L81" s="26"/>
      <c r="M81" s="26"/>
      <c r="N81">
        <f>G81</f>
        <v>7.0517050000489689E-2</v>
      </c>
      <c r="O81">
        <f t="shared" ca="1" si="16"/>
        <v>7.0561558057480309E-2</v>
      </c>
      <c r="P81" s="38">
        <f t="shared" si="11"/>
        <v>7.2129574092803392E-2</v>
      </c>
      <c r="Q81" s="10">
        <f t="shared" si="12"/>
        <v>39918.059800000003</v>
      </c>
      <c r="R81" s="9">
        <f t="shared" si="13"/>
        <v>2.6002339482921298E-6</v>
      </c>
      <c r="S81" s="13">
        <v>1</v>
      </c>
      <c r="T81" s="25">
        <f t="shared" si="14"/>
        <v>2.6002339482921298E-6</v>
      </c>
      <c r="U81" s="71">
        <f t="shared" si="7"/>
        <v>-1.6125240923137024E-3</v>
      </c>
      <c r="V81" s="25"/>
    </row>
    <row r="82" spans="1:22" x14ac:dyDescent="0.2">
      <c r="A82" s="125" t="s">
        <v>196</v>
      </c>
      <c r="B82" s="123" t="s">
        <v>60</v>
      </c>
      <c r="C82" s="125">
        <v>54938.445299999999</v>
      </c>
      <c r="D82" s="125">
        <v>2.0000000000000001E-4</v>
      </c>
      <c r="E82" s="40">
        <f t="shared" si="9"/>
        <v>16950.650379610008</v>
      </c>
      <c r="F82" s="44">
        <f t="shared" si="10"/>
        <v>16950.5</v>
      </c>
      <c r="G82" s="40">
        <f t="shared" si="15"/>
        <v>7.0871849995455705E-2</v>
      </c>
      <c r="H82" s="40"/>
      <c r="I82" s="26"/>
      <c r="J82" s="26"/>
      <c r="K82" s="26"/>
      <c r="L82" s="26"/>
      <c r="M82" s="26"/>
      <c r="N82">
        <f>G82</f>
        <v>7.0871849995455705E-2</v>
      </c>
      <c r="O82">
        <f t="shared" ca="1" si="16"/>
        <v>7.0600862362297803E-2</v>
      </c>
      <c r="P82" s="38">
        <f t="shared" si="11"/>
        <v>7.2162562981716263E-2</v>
      </c>
      <c r="Q82" s="10">
        <f t="shared" si="12"/>
        <v>39919.945299999999</v>
      </c>
      <c r="R82" s="9">
        <f t="shared" si="13"/>
        <v>1.6659400129016493E-6</v>
      </c>
      <c r="S82" s="13">
        <v>1</v>
      </c>
      <c r="T82" s="25">
        <f t="shared" si="14"/>
        <v>1.6659400129016493E-6</v>
      </c>
      <c r="U82" s="71">
        <f t="shared" si="7"/>
        <v>-1.2907129862605587E-3</v>
      </c>
      <c r="V82" s="25"/>
    </row>
    <row r="83" spans="1:22" x14ac:dyDescent="0.2">
      <c r="A83" s="125" t="s">
        <v>197</v>
      </c>
      <c r="B83" s="123" t="s">
        <v>64</v>
      </c>
      <c r="C83" s="125">
        <v>54942.4519</v>
      </c>
      <c r="D83" s="125">
        <v>4.0000000000000002E-4</v>
      </c>
      <c r="E83" s="40">
        <f t="shared" si="9"/>
        <v>16959.151793718589</v>
      </c>
      <c r="F83" s="44">
        <f t="shared" si="10"/>
        <v>16959</v>
      </c>
      <c r="G83" s="40">
        <f t="shared" si="15"/>
        <v>7.1538299998792354E-2</v>
      </c>
      <c r="H83" s="40"/>
      <c r="I83" s="26"/>
      <c r="J83" s="26"/>
      <c r="K83" s="26"/>
      <c r="L83" s="26"/>
      <c r="M83" s="26"/>
      <c r="N83">
        <f>G83</f>
        <v>7.1538299998792354E-2</v>
      </c>
      <c r="O83">
        <f t="shared" ca="1" si="16"/>
        <v>7.0684384010035003E-2</v>
      </c>
      <c r="P83" s="38">
        <f t="shared" si="11"/>
        <v>7.2232689347091317E-2</v>
      </c>
      <c r="Q83" s="10">
        <f t="shared" si="12"/>
        <v>39923.9519</v>
      </c>
      <c r="R83" s="9">
        <f t="shared" si="13"/>
        <v>4.8217656703105819E-7</v>
      </c>
      <c r="S83" s="13">
        <v>1</v>
      </c>
      <c r="T83" s="25">
        <f t="shared" si="14"/>
        <v>4.8217656703105819E-7</v>
      </c>
      <c r="U83" s="71">
        <f t="shared" si="7"/>
        <v>-6.9438934829896271E-4</v>
      </c>
      <c r="V83" s="25"/>
    </row>
    <row r="84" spans="1:22" x14ac:dyDescent="0.2">
      <c r="A84" s="125" t="s">
        <v>196</v>
      </c>
      <c r="B84" s="123" t="s">
        <v>64</v>
      </c>
      <c r="C84" s="125">
        <v>54959.418100000003</v>
      </c>
      <c r="D84" s="125">
        <v>1E-4</v>
      </c>
      <c r="E84" s="40">
        <f t="shared" si="9"/>
        <v>16995.151567104749</v>
      </c>
      <c r="F84" s="44">
        <f t="shared" si="10"/>
        <v>16995</v>
      </c>
      <c r="G84" s="40">
        <f t="shared" si="15"/>
        <v>7.1431500000471715E-2</v>
      </c>
      <c r="H84" s="40"/>
      <c r="I84" s="26"/>
      <c r="J84" s="26"/>
      <c r="K84" s="26"/>
      <c r="L84" s="26"/>
      <c r="M84" s="26"/>
      <c r="N84">
        <f>G84</f>
        <v>7.1431500000471715E-2</v>
      </c>
      <c r="O84">
        <f t="shared" ca="1" si="16"/>
        <v>7.1038122753392455E-2</v>
      </c>
      <c r="P84" s="38">
        <f t="shared" si="11"/>
        <v>7.2530071715730782E-2</v>
      </c>
      <c r="Q84" s="10">
        <f t="shared" si="12"/>
        <v>39940.918100000003</v>
      </c>
      <c r="R84" s="9">
        <f t="shared" si="13"/>
        <v>1.2068598135672483E-6</v>
      </c>
      <c r="S84" s="13">
        <v>1</v>
      </c>
      <c r="T84" s="25">
        <f t="shared" si="14"/>
        <v>1.2068598135672483E-6</v>
      </c>
      <c r="U84" s="71">
        <f t="shared" si="7"/>
        <v>-1.0985717152590668E-3</v>
      </c>
      <c r="V84" s="25"/>
    </row>
    <row r="85" spans="1:22" x14ac:dyDescent="0.2">
      <c r="A85" s="125" t="s">
        <v>164</v>
      </c>
      <c r="B85" s="123" t="s">
        <v>60</v>
      </c>
      <c r="C85" s="125">
        <v>54981.806299999997</v>
      </c>
      <c r="D85" s="125">
        <v>2.0000000000000001E-4</v>
      </c>
      <c r="E85" s="40">
        <f t="shared" ref="E85:E103" si="17">(C85-C$7)/C$8</f>
        <v>17042.656024586315</v>
      </c>
      <c r="F85" s="44">
        <f t="shared" ref="F85:F103" si="18">ROUND(2*E85,0)/2</f>
        <v>17042.5</v>
      </c>
      <c r="G85" s="40">
        <f t="shared" si="15"/>
        <v>7.3532249996787868E-2</v>
      </c>
      <c r="H85" s="40"/>
      <c r="I85" s="26"/>
      <c r="J85" s="26"/>
      <c r="K85" s="26">
        <f>G85</f>
        <v>7.3532249996787868E-2</v>
      </c>
      <c r="L85" s="26"/>
      <c r="M85" s="26"/>
      <c r="O85">
        <f t="shared" ca="1" si="16"/>
        <v>7.1504861373100206E-2</v>
      </c>
      <c r="P85" s="38">
        <f t="shared" si="11"/>
        <v>7.2923383585541471E-2</v>
      </c>
      <c r="Q85" s="10">
        <f t="shared" si="12"/>
        <v>39963.306299999997</v>
      </c>
      <c r="R85" s="9">
        <f t="shared" si="13"/>
        <v>3.7071830674406738E-7</v>
      </c>
      <c r="S85" s="13">
        <v>1</v>
      </c>
      <c r="T85" s="25">
        <f t="shared" si="14"/>
        <v>3.7071830674406738E-7</v>
      </c>
      <c r="U85" s="71">
        <f t="shared" si="7"/>
        <v>6.0886641124639762E-4</v>
      </c>
      <c r="V85" s="25"/>
    </row>
    <row r="86" spans="1:22" x14ac:dyDescent="0.2">
      <c r="A86" s="125" t="s">
        <v>164</v>
      </c>
      <c r="B86" s="123" t="s">
        <v>60</v>
      </c>
      <c r="C86" s="125">
        <v>54982.748800000001</v>
      </c>
      <c r="D86" s="125">
        <v>1E-4</v>
      </c>
      <c r="E86" s="40">
        <f t="shared" si="17"/>
        <v>17044.655870539835</v>
      </c>
      <c r="F86" s="44">
        <f t="shared" si="18"/>
        <v>17044.5</v>
      </c>
      <c r="G86" s="40">
        <f t="shared" si="15"/>
        <v>7.3459649996948428E-2</v>
      </c>
      <c r="H86" s="40"/>
      <c r="I86" s="26"/>
      <c r="J86" s="26"/>
      <c r="K86" s="26">
        <f>G86</f>
        <v>7.3459649996948428E-2</v>
      </c>
      <c r="L86" s="26"/>
      <c r="M86" s="26"/>
      <c r="O86">
        <f t="shared" ca="1" si="16"/>
        <v>7.1524513525508968E-2</v>
      </c>
      <c r="P86" s="38">
        <f t="shared" ref="P86:P103" si="19">+D$11+D$12*F86+D$13*F86^2</f>
        <v>7.2939967357483759E-2</v>
      </c>
      <c r="Q86" s="10">
        <f t="shared" ref="Q86:Q103" si="20">C86-15018.5</f>
        <v>39964.248800000001</v>
      </c>
      <c r="R86" s="9">
        <f t="shared" ref="R86:R103" si="21">(G86-P86)^2</f>
        <v>2.7007004576096533E-7</v>
      </c>
      <c r="S86" s="13">
        <v>1</v>
      </c>
      <c r="T86" s="25">
        <f t="shared" ref="T86:T103" si="22">R86*S86</f>
        <v>2.7007004576096533E-7</v>
      </c>
      <c r="U86" s="71">
        <f t="shared" si="7"/>
        <v>5.1968263946466919E-4</v>
      </c>
      <c r="V86" s="25"/>
    </row>
    <row r="87" spans="1:22" x14ac:dyDescent="0.2">
      <c r="A87" s="48" t="s">
        <v>79</v>
      </c>
      <c r="B87" s="47" t="s">
        <v>60</v>
      </c>
      <c r="C87" s="48">
        <v>54998.7765</v>
      </c>
      <c r="D87" s="48">
        <v>2.9999999999999997E-4</v>
      </c>
      <c r="E87" s="40">
        <f t="shared" si="17"/>
        <v>17078.664285382361</v>
      </c>
      <c r="F87" s="44">
        <f t="shared" si="18"/>
        <v>17078.5</v>
      </c>
      <c r="G87" s="40">
        <f t="shared" si="15"/>
        <v>7.7425449999282137E-2</v>
      </c>
      <c r="H87" s="40"/>
      <c r="I87" s="26"/>
      <c r="J87" s="26"/>
      <c r="K87" s="26">
        <f>G87</f>
        <v>7.7425449999282137E-2</v>
      </c>
      <c r="L87" s="26"/>
      <c r="M87" s="26"/>
      <c r="O87">
        <f t="shared" ca="1" si="16"/>
        <v>7.1858600116457685E-2</v>
      </c>
      <c r="P87" s="38">
        <f t="shared" si="19"/>
        <v>7.3222179209036078E-2</v>
      </c>
      <c r="Q87" s="10">
        <f t="shared" si="20"/>
        <v>39980.2765</v>
      </c>
      <c r="R87" s="9">
        <f t="shared" si="21"/>
        <v>1.766748533613572E-5</v>
      </c>
      <c r="S87" s="9">
        <v>1</v>
      </c>
      <c r="T87" s="25">
        <f t="shared" si="22"/>
        <v>1.766748533613572E-5</v>
      </c>
      <c r="U87" s="71">
        <f t="shared" ref="U87:U103" si="23">+G87-P87</f>
        <v>4.2032707902460581E-3</v>
      </c>
      <c r="V87" s="25"/>
    </row>
    <row r="88" spans="1:22" x14ac:dyDescent="0.2">
      <c r="A88" s="127" t="s">
        <v>192</v>
      </c>
      <c r="B88" s="47" t="s">
        <v>64</v>
      </c>
      <c r="C88" s="48">
        <v>55050.378680000002</v>
      </c>
      <c r="D88" s="48">
        <v>5.0000000000000001E-4</v>
      </c>
      <c r="E88" s="40">
        <f t="shared" si="17"/>
        <v>17188.156498502074</v>
      </c>
      <c r="F88" s="44">
        <f t="shared" si="18"/>
        <v>17188</v>
      </c>
      <c r="G88" s="40">
        <f t="shared" si="15"/>
        <v>7.3755600002186839E-2</v>
      </c>
      <c r="H88" s="40"/>
      <c r="I88" s="26"/>
      <c r="J88" s="26"/>
      <c r="K88" s="26"/>
      <c r="L88" s="26"/>
      <c r="M88" s="26"/>
      <c r="N88">
        <f t="shared" ref="N88:N100" si="24">G88</f>
        <v>7.3755600002186839E-2</v>
      </c>
      <c r="O88">
        <f t="shared" ca="1" si="16"/>
        <v>7.2934555460836645E-2</v>
      </c>
      <c r="P88" s="38">
        <f t="shared" si="19"/>
        <v>7.4134761128314089E-2</v>
      </c>
      <c r="Q88" s="10">
        <f t="shared" si="20"/>
        <v>40031.878680000002</v>
      </c>
      <c r="R88" s="9">
        <f t="shared" si="21"/>
        <v>1.4376315956608467E-7</v>
      </c>
      <c r="S88" s="25">
        <v>1</v>
      </c>
      <c r="T88" s="25">
        <f t="shared" si="22"/>
        <v>1.4376315956608467E-7</v>
      </c>
      <c r="U88" s="71">
        <f t="shared" si="23"/>
        <v>-3.7916112612725039E-4</v>
      </c>
      <c r="V88" s="25"/>
    </row>
    <row r="89" spans="1:22" x14ac:dyDescent="0.2">
      <c r="A89" s="127" t="s">
        <v>192</v>
      </c>
      <c r="B89" s="47" t="s">
        <v>64</v>
      </c>
      <c r="C89" s="48">
        <v>55050.378779999999</v>
      </c>
      <c r="D89" s="48">
        <v>5.0000000000000001E-4</v>
      </c>
      <c r="E89" s="40">
        <f t="shared" si="17"/>
        <v>17188.156710687319</v>
      </c>
      <c r="F89" s="44">
        <f t="shared" si="18"/>
        <v>17188</v>
      </c>
      <c r="G89" s="40">
        <f t="shared" si="15"/>
        <v>7.3855599999660626E-2</v>
      </c>
      <c r="H89" s="40"/>
      <c r="I89" s="26"/>
      <c r="J89" s="26"/>
      <c r="K89" s="26"/>
      <c r="L89" s="26"/>
      <c r="M89" s="26"/>
      <c r="N89">
        <f t="shared" si="24"/>
        <v>7.3855599999660626E-2</v>
      </c>
      <c r="O89">
        <f t="shared" ca="1" si="16"/>
        <v>7.2934555460836645E-2</v>
      </c>
      <c r="P89" s="38">
        <f t="shared" si="19"/>
        <v>7.4134761128314089E-2</v>
      </c>
      <c r="Q89" s="10">
        <f t="shared" si="20"/>
        <v>40031.878779999999</v>
      </c>
      <c r="R89" s="9">
        <f t="shared" si="21"/>
        <v>7.7930935751075245E-8</v>
      </c>
      <c r="S89" s="25">
        <v>1</v>
      </c>
      <c r="T89" s="25">
        <f t="shared" si="22"/>
        <v>7.7930935751075245E-8</v>
      </c>
      <c r="U89" s="71">
        <f t="shared" si="23"/>
        <v>-2.7916112865346288E-4</v>
      </c>
      <c r="V89" s="25"/>
    </row>
    <row r="90" spans="1:22" x14ac:dyDescent="0.2">
      <c r="A90" s="127" t="s">
        <v>192</v>
      </c>
      <c r="B90" s="47" t="s">
        <v>64</v>
      </c>
      <c r="C90" s="48">
        <v>55050.379180000004</v>
      </c>
      <c r="D90" s="48">
        <v>8.9999999999999998E-4</v>
      </c>
      <c r="E90" s="40">
        <f t="shared" si="17"/>
        <v>17188.157559428317</v>
      </c>
      <c r="F90" s="44">
        <f t="shared" si="18"/>
        <v>17188</v>
      </c>
      <c r="G90" s="40">
        <f t="shared" si="15"/>
        <v>7.4255600004107691E-2</v>
      </c>
      <c r="H90" s="40"/>
      <c r="I90" s="26"/>
      <c r="J90" s="26"/>
      <c r="K90" s="26"/>
      <c r="L90" s="26"/>
      <c r="M90" s="26"/>
      <c r="N90">
        <f t="shared" si="24"/>
        <v>7.4255600004107691E-2</v>
      </c>
      <c r="O90">
        <f t="shared" ca="1" si="16"/>
        <v>7.2934555460836645E-2</v>
      </c>
      <c r="P90" s="38">
        <f t="shared" si="19"/>
        <v>7.4134761128314089E-2</v>
      </c>
      <c r="Q90" s="10">
        <f t="shared" si="20"/>
        <v>40031.879180000004</v>
      </c>
      <c r="R90" s="9">
        <f t="shared" si="21"/>
        <v>1.4602033903061673E-8</v>
      </c>
      <c r="S90" s="25">
        <v>1</v>
      </c>
      <c r="T90" s="25">
        <f t="shared" si="22"/>
        <v>1.4602033903061673E-8</v>
      </c>
      <c r="U90" s="71">
        <f t="shared" si="23"/>
        <v>1.2083887579360242E-4</v>
      </c>
      <c r="V90" s="25"/>
    </row>
    <row r="91" spans="1:22" x14ac:dyDescent="0.2">
      <c r="A91" s="49" t="s">
        <v>191</v>
      </c>
      <c r="B91" s="52" t="s">
        <v>64</v>
      </c>
      <c r="C91" s="129">
        <v>55076.3007</v>
      </c>
      <c r="D91" s="129">
        <v>1E-4</v>
      </c>
      <c r="E91" s="40">
        <f t="shared" si="17"/>
        <v>17243.159200681192</v>
      </c>
      <c r="F91" s="44">
        <f t="shared" si="18"/>
        <v>17243</v>
      </c>
      <c r="G91" s="40">
        <f t="shared" si="15"/>
        <v>7.5029099993116688E-2</v>
      </c>
      <c r="H91" s="40"/>
      <c r="I91" s="26"/>
      <c r="J91" s="26"/>
      <c r="K91" s="26"/>
      <c r="L91" s="26"/>
      <c r="M91" s="26"/>
      <c r="N91">
        <f t="shared" si="24"/>
        <v>7.5029099993116688E-2</v>
      </c>
      <c r="O91">
        <f t="shared" ca="1" si="16"/>
        <v>7.3474989652077202E-2</v>
      </c>
      <c r="P91" s="38">
        <f t="shared" si="19"/>
        <v>7.4595262425233205E-2</v>
      </c>
      <c r="Q91" s="10">
        <f t="shared" si="20"/>
        <v>40057.8007</v>
      </c>
      <c r="R91" s="9">
        <f t="shared" si="21"/>
        <v>1.8821503530705547E-7</v>
      </c>
      <c r="S91" s="25">
        <v>1</v>
      </c>
      <c r="T91" s="25">
        <f t="shared" si="22"/>
        <v>1.8821503530705547E-7</v>
      </c>
      <c r="U91" s="71">
        <f t="shared" si="23"/>
        <v>4.3383756788348271E-4</v>
      </c>
      <c r="V91" s="25"/>
    </row>
    <row r="92" spans="1:22" x14ac:dyDescent="0.2">
      <c r="A92" s="125" t="s">
        <v>198</v>
      </c>
      <c r="B92" s="123" t="s">
        <v>64</v>
      </c>
      <c r="C92" s="125">
        <v>55083.369700000003</v>
      </c>
      <c r="D92" s="125">
        <v>2.9999999999999997E-4</v>
      </c>
      <c r="E92" s="40">
        <f t="shared" si="17"/>
        <v>17258.158575795645</v>
      </c>
      <c r="F92" s="44">
        <f t="shared" si="18"/>
        <v>17258</v>
      </c>
      <c r="G92" s="40">
        <f t="shared" si="15"/>
        <v>7.4734599998919293E-2</v>
      </c>
      <c r="H92" s="40"/>
      <c r="I92" s="26"/>
      <c r="J92" s="26"/>
      <c r="K92" s="26"/>
      <c r="L92" s="26"/>
      <c r="M92" s="26"/>
      <c r="N92">
        <f t="shared" si="24"/>
        <v>7.4734599998919293E-2</v>
      </c>
      <c r="O92">
        <f t="shared" ca="1" si="16"/>
        <v>7.3622380795142814E-2</v>
      </c>
      <c r="P92" s="38">
        <f t="shared" si="19"/>
        <v>7.4721100513977082E-2</v>
      </c>
      <c r="Q92" s="10">
        <f t="shared" si="20"/>
        <v>40064.869700000003</v>
      </c>
      <c r="R92" s="9">
        <f t="shared" si="21"/>
        <v>1.8223609370499603E-10</v>
      </c>
      <c r="S92" s="25">
        <v>1</v>
      </c>
      <c r="T92" s="25">
        <f t="shared" si="22"/>
        <v>1.8223609370499603E-10</v>
      </c>
      <c r="U92" s="71">
        <f t="shared" si="23"/>
        <v>1.3499484942211537E-5</v>
      </c>
      <c r="V92" s="25"/>
    </row>
    <row r="93" spans="1:22" x14ac:dyDescent="0.2">
      <c r="A93" s="49" t="s">
        <v>191</v>
      </c>
      <c r="B93" s="52" t="s">
        <v>60</v>
      </c>
      <c r="C93" s="129">
        <v>55097.272799999999</v>
      </c>
      <c r="D93" s="129">
        <v>2.9999999999999997E-4</v>
      </c>
      <c r="E93" s="40">
        <f t="shared" si="17"/>
        <v>17287.658902879197</v>
      </c>
      <c r="F93" s="44">
        <f t="shared" si="18"/>
        <v>17287.5</v>
      </c>
      <c r="G93" s="40">
        <f t="shared" si="15"/>
        <v>7.4888749993988313E-2</v>
      </c>
      <c r="H93" s="40"/>
      <c r="I93" s="26"/>
      <c r="J93" s="26"/>
      <c r="K93" s="26"/>
      <c r="L93" s="26"/>
      <c r="M93" s="26"/>
      <c r="N93">
        <f t="shared" si="24"/>
        <v>7.4888749993988313E-2</v>
      </c>
      <c r="O93">
        <f t="shared" ca="1" si="16"/>
        <v>7.3912250043171854E-2</v>
      </c>
      <c r="P93" s="38">
        <f t="shared" si="19"/>
        <v>7.4968890679709466E-2</v>
      </c>
      <c r="Q93" s="10">
        <f t="shared" si="20"/>
        <v>40078.772799999999</v>
      </c>
      <c r="R93" s="9">
        <f t="shared" si="21"/>
        <v>6.4225295078565925E-9</v>
      </c>
      <c r="S93" s="25">
        <v>1</v>
      </c>
      <c r="T93" s="25">
        <f t="shared" si="22"/>
        <v>6.4225295078565925E-9</v>
      </c>
      <c r="U93" s="71">
        <f t="shared" si="23"/>
        <v>-8.0140685721152849E-5</v>
      </c>
      <c r="V93" s="25"/>
    </row>
    <row r="94" spans="1:22" x14ac:dyDescent="0.2">
      <c r="A94" s="127" t="s">
        <v>192</v>
      </c>
      <c r="B94" s="47" t="s">
        <v>64</v>
      </c>
      <c r="C94" s="48">
        <v>55352.475680000003</v>
      </c>
      <c r="D94" s="48">
        <v>2.2000000000000001E-3</v>
      </c>
      <c r="E94" s="40">
        <f t="shared" si="17"/>
        <v>17829.161764303357</v>
      </c>
      <c r="F94" s="44">
        <f t="shared" si="18"/>
        <v>17829</v>
      </c>
      <c r="G94" s="40">
        <f t="shared" si="15"/>
        <v>7.6237300003413111E-2</v>
      </c>
      <c r="H94" s="40"/>
      <c r="I94" s="26"/>
      <c r="J94" s="26"/>
      <c r="K94" s="26"/>
      <c r="L94" s="26"/>
      <c r="M94" s="26"/>
      <c r="N94">
        <f t="shared" si="24"/>
        <v>7.6237300003413111E-2</v>
      </c>
      <c r="O94">
        <f t="shared" ca="1" si="16"/>
        <v>7.9233070307840339E-2</v>
      </c>
      <c r="P94" s="38">
        <f t="shared" si="19"/>
        <v>7.9589993704610895E-2</v>
      </c>
      <c r="Q94" s="10">
        <f t="shared" si="20"/>
        <v>40333.975680000003</v>
      </c>
      <c r="R94" s="9">
        <f t="shared" si="21"/>
        <v>1.1240555054051297E-5</v>
      </c>
      <c r="S94" s="25">
        <v>0.5</v>
      </c>
      <c r="T94" s="25">
        <f t="shared" si="22"/>
        <v>5.6202775270256487E-6</v>
      </c>
      <c r="U94" s="71">
        <f t="shared" si="23"/>
        <v>-3.3526937011977842E-3</v>
      </c>
      <c r="V94" s="25"/>
    </row>
    <row r="95" spans="1:22" x14ac:dyDescent="0.2">
      <c r="A95" s="127" t="s">
        <v>192</v>
      </c>
      <c r="B95" s="47" t="s">
        <v>64</v>
      </c>
      <c r="C95" s="48">
        <v>55352.476979999999</v>
      </c>
      <c r="D95" s="48">
        <v>1.6000000000000001E-3</v>
      </c>
      <c r="E95" s="40">
        <f t="shared" si="17"/>
        <v>17829.164522711559</v>
      </c>
      <c r="F95" s="44">
        <f t="shared" si="18"/>
        <v>17829</v>
      </c>
      <c r="G95" s="40">
        <f t="shared" si="15"/>
        <v>7.7537299999676179E-2</v>
      </c>
      <c r="H95" s="40"/>
      <c r="I95" s="26"/>
      <c r="J95" s="26"/>
      <c r="K95" s="26"/>
      <c r="L95" s="26"/>
      <c r="M95" s="26"/>
      <c r="N95">
        <f t="shared" si="24"/>
        <v>7.7537299999676179E-2</v>
      </c>
      <c r="O95">
        <f t="shared" ca="1" si="16"/>
        <v>7.9233070307840339E-2</v>
      </c>
      <c r="P95" s="38">
        <f t="shared" si="19"/>
        <v>7.9589993704610895E-2</v>
      </c>
      <c r="Q95" s="10">
        <f t="shared" si="20"/>
        <v>40333.976979999999</v>
      </c>
      <c r="R95" s="9">
        <f t="shared" si="21"/>
        <v>4.2135514462786112E-6</v>
      </c>
      <c r="S95" s="25">
        <v>0.5</v>
      </c>
      <c r="T95" s="25">
        <f t="shared" si="22"/>
        <v>2.1067757231393056E-6</v>
      </c>
      <c r="U95" s="71">
        <f t="shared" si="23"/>
        <v>-2.052693704934716E-3</v>
      </c>
      <c r="V95" s="25"/>
    </row>
    <row r="96" spans="1:22" x14ac:dyDescent="0.2">
      <c r="A96" s="127" t="s">
        <v>192</v>
      </c>
      <c r="B96" s="47" t="s">
        <v>64</v>
      </c>
      <c r="C96" s="48">
        <v>55352.477579999999</v>
      </c>
      <c r="D96" s="48">
        <v>8.0000000000000004E-4</v>
      </c>
      <c r="E96" s="40">
        <f t="shared" si="17"/>
        <v>17829.165795823039</v>
      </c>
      <c r="F96" s="44">
        <f t="shared" si="18"/>
        <v>17829</v>
      </c>
      <c r="G96" s="40">
        <f t="shared" si="15"/>
        <v>7.8137299999070819E-2</v>
      </c>
      <c r="H96" s="40"/>
      <c r="I96" s="26"/>
      <c r="J96" s="26"/>
      <c r="K96" s="26"/>
      <c r="L96" s="26"/>
      <c r="M96" s="26"/>
      <c r="N96">
        <f t="shared" si="24"/>
        <v>7.8137299999070819E-2</v>
      </c>
      <c r="O96">
        <f t="shared" ca="1" si="16"/>
        <v>7.9233070307840339E-2</v>
      </c>
      <c r="P96" s="38">
        <f t="shared" si="19"/>
        <v>7.9589993704610895E-2</v>
      </c>
      <c r="Q96" s="10">
        <f t="shared" si="20"/>
        <v>40333.977579999999</v>
      </c>
      <c r="R96" s="9">
        <f t="shared" si="21"/>
        <v>2.110319002115756E-6</v>
      </c>
      <c r="S96" s="25">
        <v>1</v>
      </c>
      <c r="T96" s="25">
        <f t="shared" si="22"/>
        <v>2.110319002115756E-6</v>
      </c>
      <c r="U96" s="71">
        <f t="shared" si="23"/>
        <v>-1.4526937055400757E-3</v>
      </c>
      <c r="V96" s="25"/>
    </row>
    <row r="97" spans="1:25" x14ac:dyDescent="0.2">
      <c r="A97" s="125" t="s">
        <v>198</v>
      </c>
      <c r="B97" s="123" t="s">
        <v>64</v>
      </c>
      <c r="C97" s="125">
        <v>55376.516100000001</v>
      </c>
      <c r="D97" s="125">
        <v>3.0999999999999999E-3</v>
      </c>
      <c r="E97" s="40">
        <f t="shared" si="17"/>
        <v>17880.171988873852</v>
      </c>
      <c r="F97" s="44">
        <f t="shared" si="18"/>
        <v>17880</v>
      </c>
      <c r="G97" s="40">
        <f t="shared" si="15"/>
        <v>8.1055999995442107E-2</v>
      </c>
      <c r="H97" s="40"/>
      <c r="I97" s="26"/>
      <c r="J97" s="26"/>
      <c r="K97" s="26"/>
      <c r="L97" s="26"/>
      <c r="M97" s="26"/>
      <c r="N97">
        <f t="shared" si="24"/>
        <v>8.1055999995442107E-2</v>
      </c>
      <c r="O97">
        <f t="shared" ca="1" si="16"/>
        <v>7.973420019426343E-2</v>
      </c>
      <c r="P97" s="38">
        <f t="shared" si="19"/>
        <v>8.0032325542520044E-2</v>
      </c>
      <c r="Q97" s="10">
        <f t="shared" si="20"/>
        <v>40358.016100000001</v>
      </c>
      <c r="R97" s="9">
        <f t="shared" si="21"/>
        <v>1.0479093855652852E-6</v>
      </c>
      <c r="S97" s="25">
        <v>0.5</v>
      </c>
      <c r="T97" s="25">
        <f t="shared" si="22"/>
        <v>5.2395469278264262E-7</v>
      </c>
      <c r="U97" s="71">
        <f t="shared" si="23"/>
        <v>1.0236744529220632E-3</v>
      </c>
      <c r="V97" s="25"/>
    </row>
    <row r="98" spans="1:25" x14ac:dyDescent="0.2">
      <c r="A98" s="92" t="s">
        <v>204</v>
      </c>
      <c r="B98" s="30"/>
      <c r="C98" s="120">
        <v>55388.537300000004</v>
      </c>
      <c r="D98" s="48">
        <v>2.3E-3</v>
      </c>
      <c r="E98" s="40">
        <f t="shared" si="17"/>
        <v>17905.679201793053</v>
      </c>
      <c r="F98" s="44">
        <f t="shared" si="18"/>
        <v>17905.5</v>
      </c>
      <c r="G98" s="40">
        <f t="shared" si="15"/>
        <v>8.4455349999188911E-2</v>
      </c>
      <c r="H98" s="40"/>
      <c r="I98" s="26"/>
      <c r="J98" s="26"/>
      <c r="K98" s="26"/>
      <c r="L98" s="26"/>
      <c r="M98" s="26"/>
      <c r="N98">
        <f t="shared" si="24"/>
        <v>8.4455349999188911E-2</v>
      </c>
      <c r="O98">
        <f t="shared" ca="1" si="16"/>
        <v>7.9984765137474947E-2</v>
      </c>
      <c r="P98" s="38">
        <f t="shared" si="19"/>
        <v>8.0253950028824697E-2</v>
      </c>
      <c r="Q98" s="10">
        <f t="shared" si="20"/>
        <v>40370.037300000004</v>
      </c>
      <c r="R98" s="9">
        <f t="shared" si="21"/>
        <v>1.7651761710976419E-5</v>
      </c>
      <c r="S98" s="25">
        <v>1</v>
      </c>
      <c r="T98" s="25">
        <f t="shared" si="22"/>
        <v>1.7651761710976419E-5</v>
      </c>
      <c r="U98" s="71">
        <f t="shared" si="23"/>
        <v>4.2013999703642141E-3</v>
      </c>
      <c r="V98" s="25"/>
    </row>
    <row r="99" spans="1:25" x14ac:dyDescent="0.2">
      <c r="A99" s="125" t="s">
        <v>200</v>
      </c>
      <c r="B99" s="123" t="s">
        <v>64</v>
      </c>
      <c r="C99" s="125">
        <v>55393.481899999999</v>
      </c>
      <c r="D99" s="125">
        <v>2.0000000000000001E-4</v>
      </c>
      <c r="E99" s="40">
        <f t="shared" si="17"/>
        <v>17916.170913519014</v>
      </c>
      <c r="F99" s="44">
        <f t="shared" si="18"/>
        <v>17916</v>
      </c>
      <c r="G99" s="40">
        <f t="shared" si="15"/>
        <v>8.0549199992674403E-2</v>
      </c>
      <c r="H99" s="40"/>
      <c r="I99" s="26"/>
      <c r="J99" s="26"/>
      <c r="K99" s="26"/>
      <c r="L99" s="26"/>
      <c r="M99" s="26"/>
      <c r="N99">
        <f t="shared" si="24"/>
        <v>8.0549199992674403E-2</v>
      </c>
      <c r="O99">
        <f t="shared" ca="1" si="16"/>
        <v>8.0087938937620881E-2</v>
      </c>
      <c r="P99" s="38">
        <f t="shared" si="19"/>
        <v>8.0345296027585458E-2</v>
      </c>
      <c r="Q99" s="10">
        <f t="shared" si="20"/>
        <v>40374.981899999999</v>
      </c>
      <c r="R99" s="9">
        <f t="shared" si="21"/>
        <v>4.1576826978993533E-8</v>
      </c>
      <c r="S99" s="25">
        <v>1</v>
      </c>
      <c r="T99" s="25">
        <f t="shared" si="22"/>
        <v>4.1576826978993533E-8</v>
      </c>
      <c r="U99" s="71">
        <f t="shared" si="23"/>
        <v>2.0390396508894459E-4</v>
      </c>
      <c r="V99" s="25"/>
    </row>
    <row r="100" spans="1:25" x14ac:dyDescent="0.2">
      <c r="A100" s="125" t="s">
        <v>200</v>
      </c>
      <c r="B100" s="123" t="s">
        <v>64</v>
      </c>
      <c r="C100" s="125">
        <v>55444.381699999998</v>
      </c>
      <c r="D100" s="125">
        <v>1E-4</v>
      </c>
      <c r="E100" s="40">
        <f t="shared" si="17"/>
        <v>18024.172779900444</v>
      </c>
      <c r="F100" s="44">
        <f t="shared" si="18"/>
        <v>18024</v>
      </c>
      <c r="G100" s="40">
        <f t="shared" si="15"/>
        <v>8.1428799996501766E-2</v>
      </c>
      <c r="H100" s="40"/>
      <c r="I100" s="26"/>
      <c r="J100" s="26"/>
      <c r="K100" s="26"/>
      <c r="L100" s="26"/>
      <c r="M100" s="26"/>
      <c r="N100">
        <f t="shared" si="24"/>
        <v>8.1428799996501766E-2</v>
      </c>
      <c r="O100">
        <f t="shared" ca="1" si="16"/>
        <v>8.114915516769329E-2</v>
      </c>
      <c r="P100" s="38">
        <f t="shared" si="19"/>
        <v>8.1287863327676346E-2</v>
      </c>
      <c r="Q100" s="10">
        <f t="shared" si="20"/>
        <v>40425.881699999998</v>
      </c>
      <c r="R100" s="9">
        <f t="shared" si="21"/>
        <v>1.986314461960608E-8</v>
      </c>
      <c r="S100" s="25">
        <v>1</v>
      </c>
      <c r="T100" s="25">
        <f t="shared" si="22"/>
        <v>1.986314461960608E-8</v>
      </c>
      <c r="U100" s="71">
        <f t="shared" si="23"/>
        <v>1.4093666882541989E-4</v>
      </c>
      <c r="V100" s="25"/>
    </row>
    <row r="101" spans="1:25" x14ac:dyDescent="0.2">
      <c r="A101" s="130" t="s">
        <v>193</v>
      </c>
      <c r="B101" s="30"/>
      <c r="C101" s="120">
        <v>55695.816899999998</v>
      </c>
      <c r="D101" s="48">
        <v>2.9999999999999997E-4</v>
      </c>
      <c r="E101" s="40">
        <f t="shared" si="17"/>
        <v>18557.681180208285</v>
      </c>
      <c r="F101" s="44">
        <f t="shared" si="18"/>
        <v>18557.5</v>
      </c>
      <c r="G101" s="40">
        <f t="shared" si="15"/>
        <v>8.5387749997607898E-2</v>
      </c>
      <c r="H101" s="40"/>
      <c r="I101" s="26"/>
      <c r="J101" s="26"/>
      <c r="K101" s="26"/>
      <c r="L101" s="26">
        <f>G101</f>
        <v>8.5387749997607898E-2</v>
      </c>
      <c r="M101" s="26"/>
      <c r="O101">
        <f t="shared" ca="1" si="16"/>
        <v>8.6391366822726787E-2</v>
      </c>
      <c r="P101" s="38">
        <f t="shared" si="19"/>
        <v>8.6024422454020227E-2</v>
      </c>
      <c r="Q101" s="10">
        <f t="shared" si="20"/>
        <v>40677.316899999998</v>
      </c>
      <c r="R101" s="9">
        <f t="shared" si="21"/>
        <v>4.0535181675410945E-7</v>
      </c>
      <c r="S101" s="25">
        <v>1</v>
      </c>
      <c r="T101" s="25">
        <f t="shared" si="22"/>
        <v>4.0535181675410945E-7</v>
      </c>
      <c r="U101" s="71">
        <f t="shared" si="23"/>
        <v>-6.3667245641232939E-4</v>
      </c>
      <c r="V101" s="25"/>
    </row>
    <row r="102" spans="1:25" x14ac:dyDescent="0.2">
      <c r="A102" s="125" t="s">
        <v>200</v>
      </c>
      <c r="B102" s="123" t="s">
        <v>60</v>
      </c>
      <c r="C102" s="125">
        <v>55710.427799999998</v>
      </c>
      <c r="D102" s="125">
        <v>3.0999999999999999E-3</v>
      </c>
      <c r="E102" s="40">
        <f t="shared" si="17"/>
        <v>18588.683354470508</v>
      </c>
      <c r="F102" s="44">
        <f t="shared" si="18"/>
        <v>18588.5</v>
      </c>
      <c r="G102" s="40">
        <f t="shared" si="15"/>
        <v>8.6412449993076734E-2</v>
      </c>
      <c r="H102" s="40"/>
      <c r="I102" s="26"/>
      <c r="J102" s="26"/>
      <c r="K102" s="26"/>
      <c r="L102" s="26"/>
      <c r="M102" s="26"/>
      <c r="N102">
        <f>G102</f>
        <v>8.6412449993076734E-2</v>
      </c>
      <c r="O102">
        <f t="shared" ca="1" si="16"/>
        <v>8.6695975185062377E-2</v>
      </c>
      <c r="P102" s="38">
        <f t="shared" si="19"/>
        <v>8.6303762593220215E-2</v>
      </c>
      <c r="Q102" s="10">
        <f t="shared" si="20"/>
        <v>40691.927799999998</v>
      </c>
      <c r="R102" s="9">
        <f t="shared" si="21"/>
        <v>1.1812950887570867E-8</v>
      </c>
      <c r="S102" s="25">
        <v>0.5</v>
      </c>
      <c r="T102" s="25">
        <f t="shared" si="22"/>
        <v>5.9064754437854337E-9</v>
      </c>
      <c r="U102" s="71">
        <f t="shared" si="23"/>
        <v>1.086873998565191E-4</v>
      </c>
      <c r="V102" s="25"/>
    </row>
    <row r="103" spans="1:25" x14ac:dyDescent="0.2">
      <c r="A103" s="125" t="s">
        <v>199</v>
      </c>
      <c r="B103" s="123" t="s">
        <v>60</v>
      </c>
      <c r="C103" s="125">
        <v>55737.763800000001</v>
      </c>
      <c r="D103" s="125">
        <v>4.0000000000000002E-4</v>
      </c>
      <c r="E103" s="40">
        <f t="shared" si="17"/>
        <v>18646.686313605973</v>
      </c>
      <c r="F103" s="44">
        <f t="shared" si="18"/>
        <v>18646.5</v>
      </c>
      <c r="G103" s="40">
        <f t="shared" si="15"/>
        <v>8.7807049996627029E-2</v>
      </c>
      <c r="H103" s="40"/>
      <c r="I103" s="26"/>
      <c r="J103" s="26"/>
      <c r="K103" s="26"/>
      <c r="L103" s="26"/>
      <c r="M103" s="26"/>
      <c r="N103">
        <f>G103</f>
        <v>8.7807049996627029E-2</v>
      </c>
      <c r="O103">
        <f t="shared" ca="1" si="16"/>
        <v>8.726588760491609E-2</v>
      </c>
      <c r="P103" s="38">
        <f t="shared" si="19"/>
        <v>8.6827612426064779E-2</v>
      </c>
      <c r="Q103" s="10">
        <f t="shared" si="20"/>
        <v>40719.263800000001</v>
      </c>
      <c r="R103" s="9">
        <f t="shared" si="21"/>
        <v>9.5929795462888222E-7</v>
      </c>
      <c r="S103" s="25">
        <v>1</v>
      </c>
      <c r="T103" s="25">
        <f t="shared" si="22"/>
        <v>9.5929795462888222E-7</v>
      </c>
      <c r="U103" s="71">
        <f t="shared" si="23"/>
        <v>9.7943757056224989E-4</v>
      </c>
      <c r="V103" s="25"/>
    </row>
    <row r="104" spans="1:25" x14ac:dyDescent="0.2">
      <c r="A104" s="92"/>
      <c r="B104" s="30"/>
      <c r="C104" s="120"/>
      <c r="D104" s="48"/>
      <c r="E104" s="40"/>
      <c r="F104" s="44"/>
      <c r="G104" s="40"/>
      <c r="H104" s="40"/>
      <c r="I104" s="26"/>
      <c r="J104" s="26"/>
      <c r="K104" s="26"/>
      <c r="L104" s="26"/>
      <c r="M104" s="26"/>
      <c r="P104" s="38"/>
      <c r="Q104" s="10"/>
      <c r="R104" s="9"/>
      <c r="S104" s="25"/>
      <c r="T104" s="25"/>
      <c r="U104" s="25"/>
      <c r="V104" s="25"/>
      <c r="Y104" s="71"/>
    </row>
    <row r="105" spans="1:25" x14ac:dyDescent="0.2">
      <c r="A105" s="125"/>
      <c r="B105" s="123"/>
      <c r="C105" s="125"/>
      <c r="D105" s="125"/>
      <c r="E105" s="40"/>
      <c r="F105" s="44"/>
      <c r="G105" s="40"/>
      <c r="H105" s="40"/>
      <c r="I105" s="26"/>
      <c r="J105" s="26"/>
      <c r="K105" s="26"/>
      <c r="L105" s="26"/>
      <c r="M105" s="26"/>
      <c r="P105" s="38"/>
      <c r="Q105" s="10"/>
      <c r="R105" s="9"/>
      <c r="S105" s="25"/>
      <c r="T105" s="25"/>
      <c r="U105" s="25"/>
      <c r="V105" s="25"/>
    </row>
    <row r="106" spans="1:25" x14ac:dyDescent="0.2">
      <c r="A106" s="125"/>
      <c r="B106" s="123"/>
      <c r="C106" s="125"/>
      <c r="D106" s="125"/>
      <c r="E106" s="40"/>
      <c r="F106" s="44"/>
      <c r="G106" s="40"/>
      <c r="H106" s="40"/>
      <c r="I106" s="26"/>
      <c r="J106" s="26"/>
      <c r="K106" s="26"/>
      <c r="L106" s="26"/>
      <c r="M106" s="26"/>
      <c r="P106" s="38"/>
      <c r="Q106" s="10"/>
      <c r="R106" s="9"/>
      <c r="S106" s="25"/>
      <c r="T106" s="25"/>
      <c r="U106" s="25"/>
      <c r="V106" s="25"/>
    </row>
    <row r="107" spans="1:25" x14ac:dyDescent="0.2">
      <c r="A107" s="130"/>
      <c r="B107" s="30"/>
      <c r="C107" s="120"/>
      <c r="D107" s="48"/>
      <c r="E107" s="40"/>
      <c r="F107" s="44"/>
      <c r="G107" s="40"/>
      <c r="H107" s="40"/>
      <c r="I107" s="26"/>
      <c r="J107" s="26"/>
      <c r="K107" s="26"/>
      <c r="L107" s="26"/>
      <c r="M107" s="26"/>
      <c r="P107" s="38"/>
      <c r="Q107" s="10"/>
      <c r="R107" s="9"/>
      <c r="S107" s="25"/>
      <c r="T107" s="25"/>
      <c r="U107" s="25"/>
      <c r="V107" s="25"/>
    </row>
    <row r="108" spans="1:25" x14ac:dyDescent="0.2">
      <c r="A108" s="125"/>
      <c r="B108" s="123"/>
      <c r="C108" s="125"/>
      <c r="D108" s="125"/>
      <c r="E108" s="40"/>
      <c r="F108" s="44"/>
      <c r="G108" s="40"/>
      <c r="H108" s="40"/>
      <c r="I108" s="26"/>
      <c r="J108" s="26"/>
      <c r="K108" s="26"/>
      <c r="L108" s="26"/>
      <c r="M108" s="26"/>
      <c r="P108" s="38"/>
      <c r="Q108" s="10"/>
      <c r="R108" s="9"/>
      <c r="S108" s="25"/>
      <c r="T108" s="25"/>
      <c r="U108" s="25"/>
      <c r="V108" s="25"/>
    </row>
    <row r="109" spans="1:25" x14ac:dyDescent="0.2">
      <c r="A109" s="125"/>
      <c r="B109" s="123"/>
      <c r="C109" s="125"/>
      <c r="D109" s="125"/>
      <c r="E109" s="40"/>
      <c r="F109" s="44"/>
      <c r="G109" s="40"/>
      <c r="H109" s="40"/>
      <c r="I109" s="26"/>
      <c r="J109" s="26"/>
      <c r="K109" s="26"/>
      <c r="L109" s="26"/>
      <c r="M109" s="26"/>
      <c r="P109" s="38"/>
      <c r="Q109" s="10"/>
      <c r="R109" s="9"/>
      <c r="S109" s="25"/>
      <c r="T109" s="25"/>
      <c r="U109" s="25"/>
      <c r="V109" s="25"/>
    </row>
    <row r="110" spans="1:25" x14ac:dyDescent="0.2">
      <c r="A110" s="125"/>
      <c r="B110" s="123"/>
      <c r="C110" s="125"/>
      <c r="D110" s="125"/>
      <c r="E110" s="40"/>
      <c r="F110" s="44"/>
      <c r="G110" s="40"/>
      <c r="H110" s="40"/>
      <c r="I110" s="26"/>
      <c r="J110" s="26"/>
      <c r="K110" s="26"/>
      <c r="L110" s="26"/>
      <c r="M110" s="26"/>
      <c r="P110" s="38"/>
      <c r="Q110" s="10"/>
      <c r="R110" s="9"/>
    </row>
    <row r="111" spans="1:25" x14ac:dyDescent="0.2">
      <c r="A111" s="30"/>
      <c r="B111" s="30"/>
      <c r="C111" s="30"/>
      <c r="D111" s="30"/>
    </row>
    <row r="112" spans="1:25" x14ac:dyDescent="0.2">
      <c r="A112" s="30"/>
      <c r="B112" s="30"/>
      <c r="C112" s="30"/>
      <c r="D112" s="30"/>
    </row>
    <row r="113" spans="1:4" x14ac:dyDescent="0.2">
      <c r="A113" s="30"/>
      <c r="B113" s="30"/>
      <c r="C113" s="30"/>
      <c r="D113" s="30"/>
    </row>
    <row r="114" spans="1:4" x14ac:dyDescent="0.2">
      <c r="A114" s="30"/>
      <c r="B114" s="30"/>
      <c r="C114" s="30"/>
      <c r="D114" s="30"/>
    </row>
    <row r="115" spans="1:4" x14ac:dyDescent="0.2">
      <c r="A115" s="30"/>
      <c r="B115" s="30"/>
      <c r="C115" s="30"/>
      <c r="D115" s="30"/>
    </row>
    <row r="116" spans="1:4" x14ac:dyDescent="0.2">
      <c r="A116" s="30"/>
      <c r="B116" s="30"/>
      <c r="C116" s="30"/>
      <c r="D116" s="30"/>
    </row>
    <row r="117" spans="1:4" x14ac:dyDescent="0.2">
      <c r="A117" s="30"/>
      <c r="B117" s="30"/>
      <c r="C117" s="30"/>
      <c r="D117" s="30"/>
    </row>
    <row r="118" spans="1:4" x14ac:dyDescent="0.2">
      <c r="A118" s="30"/>
      <c r="B118" s="30"/>
      <c r="C118" s="30"/>
      <c r="D118" s="30"/>
    </row>
    <row r="119" spans="1:4" x14ac:dyDescent="0.2">
      <c r="A119" s="30"/>
      <c r="B119" s="30"/>
      <c r="C119" s="30"/>
      <c r="D119" s="30"/>
    </row>
    <row r="120" spans="1:4" x14ac:dyDescent="0.2">
      <c r="A120" s="30"/>
      <c r="B120" s="30"/>
      <c r="C120" s="30"/>
      <c r="D120" s="30"/>
    </row>
    <row r="121" spans="1:4" x14ac:dyDescent="0.2">
      <c r="A121" s="30"/>
      <c r="B121" s="30"/>
      <c r="C121" s="30"/>
      <c r="D121" s="30"/>
    </row>
    <row r="122" spans="1:4" x14ac:dyDescent="0.2">
      <c r="A122" s="30"/>
      <c r="B122" s="30"/>
      <c r="C122" s="30"/>
      <c r="D122" s="30"/>
    </row>
    <row r="123" spans="1:4" x14ac:dyDescent="0.2">
      <c r="A123" s="30"/>
      <c r="B123" s="30"/>
      <c r="C123" s="30"/>
      <c r="D123" s="30"/>
    </row>
    <row r="124" spans="1:4" x14ac:dyDescent="0.2">
      <c r="A124" s="30"/>
      <c r="B124" s="30"/>
      <c r="C124" s="30"/>
      <c r="D124" s="30"/>
    </row>
    <row r="125" spans="1:4" x14ac:dyDescent="0.2">
      <c r="A125" s="30"/>
      <c r="B125" s="30"/>
      <c r="C125" s="30"/>
      <c r="D125" s="30"/>
    </row>
    <row r="126" spans="1:4" x14ac:dyDescent="0.2">
      <c r="A126" s="30"/>
      <c r="B126" s="30"/>
      <c r="C126" s="30"/>
      <c r="D126" s="30"/>
    </row>
    <row r="127" spans="1:4" x14ac:dyDescent="0.2">
      <c r="A127" s="30"/>
      <c r="B127" s="30"/>
      <c r="C127" s="30"/>
      <c r="D127" s="30"/>
    </row>
    <row r="128" spans="1:4" x14ac:dyDescent="0.2">
      <c r="A128" s="30"/>
      <c r="B128" s="30"/>
      <c r="C128" s="30"/>
      <c r="D128" s="30"/>
    </row>
    <row r="129" spans="1:4" x14ac:dyDescent="0.2">
      <c r="A129" s="30"/>
      <c r="B129" s="30"/>
      <c r="C129" s="30"/>
      <c r="D129" s="30"/>
    </row>
    <row r="130" spans="1:4" x14ac:dyDescent="0.2">
      <c r="A130" s="30"/>
      <c r="B130" s="30"/>
      <c r="C130" s="30"/>
      <c r="D130" s="30"/>
    </row>
    <row r="131" spans="1:4" x14ac:dyDescent="0.2">
      <c r="A131" s="30"/>
      <c r="B131" s="30"/>
      <c r="C131" s="30"/>
      <c r="D131" s="30"/>
    </row>
    <row r="132" spans="1:4" x14ac:dyDescent="0.2">
      <c r="A132" s="30"/>
      <c r="B132" s="30"/>
      <c r="C132" s="30"/>
      <c r="D132" s="30"/>
    </row>
    <row r="133" spans="1:4" x14ac:dyDescent="0.2">
      <c r="A133" s="30"/>
      <c r="B133" s="30"/>
      <c r="C133" s="30"/>
      <c r="D133" s="30"/>
    </row>
    <row r="134" spans="1:4" x14ac:dyDescent="0.2">
      <c r="A134" s="30"/>
      <c r="B134" s="30"/>
      <c r="C134" s="30"/>
      <c r="D134" s="30"/>
    </row>
    <row r="135" spans="1:4" x14ac:dyDescent="0.2">
      <c r="A135" s="30"/>
      <c r="B135" s="30"/>
      <c r="C135" s="30"/>
      <c r="D135" s="30"/>
    </row>
    <row r="136" spans="1:4" x14ac:dyDescent="0.2">
      <c r="A136" s="30"/>
      <c r="B136" s="30"/>
      <c r="C136" s="30"/>
      <c r="D136" s="30"/>
    </row>
    <row r="137" spans="1:4" x14ac:dyDescent="0.2">
      <c r="A137" s="30"/>
      <c r="B137" s="30"/>
      <c r="C137" s="30"/>
      <c r="D137" s="30"/>
    </row>
    <row r="138" spans="1:4" x14ac:dyDescent="0.2">
      <c r="A138" s="30"/>
      <c r="B138" s="30"/>
      <c r="C138" s="30"/>
      <c r="D138" s="30"/>
    </row>
    <row r="139" spans="1:4" x14ac:dyDescent="0.2">
      <c r="A139" s="30"/>
      <c r="B139" s="30"/>
      <c r="C139" s="30"/>
      <c r="D139" s="30"/>
    </row>
    <row r="140" spans="1:4" x14ac:dyDescent="0.2">
      <c r="A140" s="30"/>
      <c r="B140" s="30"/>
      <c r="C140" s="30"/>
      <c r="D140" s="30"/>
    </row>
    <row r="141" spans="1:4" x14ac:dyDescent="0.2">
      <c r="A141" s="30"/>
      <c r="B141" s="30"/>
      <c r="C141" s="30"/>
      <c r="D141" s="30"/>
    </row>
    <row r="142" spans="1:4" x14ac:dyDescent="0.2">
      <c r="A142" s="30"/>
      <c r="B142" s="30"/>
      <c r="C142" s="30"/>
      <c r="D142" s="30"/>
    </row>
    <row r="143" spans="1:4" x14ac:dyDescent="0.2">
      <c r="A143" s="30"/>
      <c r="B143" s="30"/>
      <c r="C143" s="30"/>
      <c r="D143" s="30"/>
    </row>
    <row r="144" spans="1:4" x14ac:dyDescent="0.2">
      <c r="A144" s="30"/>
      <c r="B144" s="30"/>
      <c r="C144" s="30"/>
      <c r="D144" s="30"/>
    </row>
    <row r="145" spans="1:4" x14ac:dyDescent="0.2">
      <c r="A145" s="30"/>
      <c r="B145" s="30"/>
      <c r="C145" s="30"/>
      <c r="D145" s="30"/>
    </row>
    <row r="146" spans="1:4" x14ac:dyDescent="0.2">
      <c r="A146" s="30"/>
      <c r="B146" s="30"/>
      <c r="C146" s="30"/>
      <c r="D146" s="30"/>
    </row>
    <row r="147" spans="1:4" x14ac:dyDescent="0.2">
      <c r="A147" s="30"/>
      <c r="B147" s="30"/>
      <c r="C147" s="30"/>
      <c r="D147" s="30"/>
    </row>
    <row r="148" spans="1:4" x14ac:dyDescent="0.2">
      <c r="A148" s="30"/>
      <c r="B148" s="30"/>
      <c r="C148" s="30"/>
      <c r="D148" s="30"/>
    </row>
    <row r="149" spans="1:4" x14ac:dyDescent="0.2">
      <c r="A149" s="30"/>
      <c r="B149" s="30"/>
      <c r="C149" s="30"/>
      <c r="D149" s="30"/>
    </row>
    <row r="150" spans="1:4" x14ac:dyDescent="0.2">
      <c r="A150" s="30"/>
      <c r="B150" s="30"/>
      <c r="C150" s="30"/>
      <c r="D150" s="30"/>
    </row>
    <row r="151" spans="1:4" x14ac:dyDescent="0.2">
      <c r="A151" s="30"/>
      <c r="B151" s="30"/>
      <c r="C151" s="30"/>
      <c r="D151" s="30"/>
    </row>
    <row r="152" spans="1:4" x14ac:dyDescent="0.2">
      <c r="A152" s="30"/>
      <c r="B152" s="30"/>
      <c r="C152" s="30"/>
      <c r="D152" s="30"/>
    </row>
    <row r="153" spans="1:4" x14ac:dyDescent="0.2">
      <c r="A153" s="30"/>
      <c r="B153" s="30"/>
      <c r="C153" s="30"/>
      <c r="D153" s="30"/>
    </row>
    <row r="154" spans="1:4" x14ac:dyDescent="0.2">
      <c r="A154" s="30"/>
      <c r="B154" s="30"/>
      <c r="C154" s="30"/>
      <c r="D154" s="30"/>
    </row>
    <row r="155" spans="1:4" x14ac:dyDescent="0.2">
      <c r="A155" s="30"/>
      <c r="B155" s="30"/>
      <c r="C155" s="30"/>
      <c r="D155" s="30"/>
    </row>
    <row r="156" spans="1:4" x14ac:dyDescent="0.2">
      <c r="A156" s="30"/>
      <c r="B156" s="30"/>
      <c r="C156" s="30"/>
      <c r="D156" s="30"/>
    </row>
    <row r="157" spans="1:4" x14ac:dyDescent="0.2">
      <c r="A157" s="30"/>
      <c r="B157" s="30"/>
      <c r="C157" s="30"/>
      <c r="D157" s="30"/>
    </row>
    <row r="158" spans="1:4" x14ac:dyDescent="0.2">
      <c r="A158" s="30"/>
      <c r="B158" s="30"/>
      <c r="C158" s="30"/>
      <c r="D158" s="30"/>
    </row>
    <row r="159" spans="1:4" x14ac:dyDescent="0.2">
      <c r="A159" s="30"/>
      <c r="B159" s="30"/>
      <c r="C159" s="30"/>
      <c r="D159" s="30"/>
    </row>
    <row r="160" spans="1:4" x14ac:dyDescent="0.2">
      <c r="A160" s="30"/>
      <c r="B160" s="30"/>
      <c r="C160" s="30"/>
      <c r="D160" s="30"/>
    </row>
    <row r="161" spans="1:4" x14ac:dyDescent="0.2">
      <c r="A161" s="30"/>
      <c r="B161" s="30"/>
      <c r="C161" s="30"/>
      <c r="D161" s="30"/>
    </row>
    <row r="162" spans="1:4" x14ac:dyDescent="0.2">
      <c r="A162" s="30"/>
      <c r="B162" s="30"/>
      <c r="C162" s="30"/>
      <c r="D162" s="30"/>
    </row>
    <row r="163" spans="1:4" x14ac:dyDescent="0.2">
      <c r="A163" s="30"/>
      <c r="B163" s="30"/>
      <c r="C163" s="30"/>
      <c r="D163" s="30"/>
    </row>
    <row r="164" spans="1:4" x14ac:dyDescent="0.2">
      <c r="A164" s="30"/>
      <c r="B164" s="30"/>
      <c r="C164" s="30"/>
      <c r="D164" s="30"/>
    </row>
    <row r="165" spans="1:4" x14ac:dyDescent="0.2">
      <c r="A165" s="30"/>
      <c r="B165" s="30"/>
      <c r="C165" s="30"/>
      <c r="D165" s="30"/>
    </row>
    <row r="166" spans="1:4" x14ac:dyDescent="0.2">
      <c r="A166" s="30"/>
      <c r="B166" s="30"/>
      <c r="C166" s="30"/>
      <c r="D166" s="30"/>
    </row>
    <row r="167" spans="1:4" x14ac:dyDescent="0.2">
      <c r="A167" s="30"/>
      <c r="B167" s="30"/>
      <c r="C167" s="30"/>
      <c r="D167" s="30"/>
    </row>
    <row r="168" spans="1:4" x14ac:dyDescent="0.2">
      <c r="A168" s="30"/>
      <c r="B168" s="30"/>
      <c r="C168" s="30"/>
      <c r="D168" s="30"/>
    </row>
    <row r="169" spans="1:4" x14ac:dyDescent="0.2">
      <c r="A169" s="30"/>
      <c r="B169" s="30"/>
      <c r="C169" s="30"/>
      <c r="D169" s="30"/>
    </row>
    <row r="170" spans="1:4" x14ac:dyDescent="0.2">
      <c r="A170" s="30"/>
      <c r="B170" s="30"/>
      <c r="C170" s="30"/>
      <c r="D170" s="30"/>
    </row>
    <row r="171" spans="1:4" x14ac:dyDescent="0.2">
      <c r="A171" s="30"/>
      <c r="B171" s="30"/>
      <c r="C171" s="30"/>
      <c r="D171" s="30"/>
    </row>
    <row r="172" spans="1:4" x14ac:dyDescent="0.2">
      <c r="A172" s="30"/>
      <c r="B172" s="30"/>
      <c r="C172" s="30"/>
      <c r="D172" s="30"/>
    </row>
    <row r="173" spans="1:4" x14ac:dyDescent="0.2">
      <c r="A173" s="30"/>
      <c r="B173" s="30"/>
      <c r="C173" s="30"/>
      <c r="D173" s="30"/>
    </row>
    <row r="174" spans="1:4" x14ac:dyDescent="0.2">
      <c r="A174" s="30"/>
      <c r="B174" s="30"/>
      <c r="C174" s="30"/>
      <c r="D174" s="30"/>
    </row>
    <row r="175" spans="1:4" x14ac:dyDescent="0.2">
      <c r="A175" s="30"/>
      <c r="B175" s="30"/>
      <c r="C175" s="30"/>
      <c r="D175" s="30"/>
    </row>
    <row r="176" spans="1:4" x14ac:dyDescent="0.2">
      <c r="A176" s="30"/>
      <c r="B176" s="30"/>
      <c r="C176" s="30"/>
      <c r="D176" s="30"/>
    </row>
    <row r="177" spans="1:4" x14ac:dyDescent="0.2">
      <c r="A177" s="30"/>
      <c r="B177" s="30"/>
      <c r="C177" s="30"/>
      <c r="D177" s="30"/>
    </row>
    <row r="178" spans="1:4" x14ac:dyDescent="0.2">
      <c r="A178" s="30"/>
      <c r="B178" s="30"/>
      <c r="C178" s="30"/>
      <c r="D178" s="30"/>
    </row>
    <row r="179" spans="1:4" x14ac:dyDescent="0.2">
      <c r="A179" s="30"/>
      <c r="B179" s="30"/>
      <c r="C179" s="30"/>
      <c r="D179" s="30"/>
    </row>
    <row r="180" spans="1:4" x14ac:dyDescent="0.2">
      <c r="A180" s="30"/>
      <c r="B180" s="30"/>
      <c r="C180" s="30"/>
      <c r="D180" s="30"/>
    </row>
    <row r="181" spans="1:4" x14ac:dyDescent="0.2">
      <c r="A181" s="30"/>
      <c r="B181" s="30"/>
      <c r="C181" s="30"/>
      <c r="D181" s="30"/>
    </row>
    <row r="182" spans="1:4" x14ac:dyDescent="0.2">
      <c r="A182" s="30"/>
      <c r="B182" s="30"/>
      <c r="C182" s="30"/>
      <c r="D182" s="30"/>
    </row>
    <row r="183" spans="1:4" x14ac:dyDescent="0.2">
      <c r="A183" s="30"/>
      <c r="B183" s="30"/>
      <c r="C183" s="30"/>
      <c r="D183" s="30"/>
    </row>
    <row r="184" spans="1:4" x14ac:dyDescent="0.2">
      <c r="A184" s="30"/>
      <c r="B184" s="30"/>
      <c r="C184" s="30"/>
      <c r="D184" s="30"/>
    </row>
    <row r="185" spans="1:4" x14ac:dyDescent="0.2">
      <c r="A185" s="30"/>
      <c r="B185" s="30"/>
      <c r="C185" s="30"/>
      <c r="D185" s="30"/>
    </row>
    <row r="186" spans="1:4" x14ac:dyDescent="0.2">
      <c r="A186" s="30"/>
      <c r="B186" s="30"/>
      <c r="C186" s="30"/>
      <c r="D186" s="30"/>
    </row>
    <row r="187" spans="1:4" x14ac:dyDescent="0.2">
      <c r="A187" s="30"/>
      <c r="B187" s="30"/>
      <c r="C187" s="30"/>
      <c r="D187" s="30"/>
    </row>
    <row r="188" spans="1:4" x14ac:dyDescent="0.2">
      <c r="A188" s="30"/>
      <c r="B188" s="30"/>
      <c r="C188" s="30"/>
      <c r="D188" s="30"/>
    </row>
    <row r="189" spans="1:4" x14ac:dyDescent="0.2">
      <c r="A189" s="30"/>
      <c r="B189" s="30"/>
      <c r="C189" s="30"/>
      <c r="D189" s="30"/>
    </row>
    <row r="190" spans="1:4" x14ac:dyDescent="0.2">
      <c r="A190" s="30"/>
      <c r="B190" s="30"/>
      <c r="C190" s="30"/>
      <c r="D190" s="30"/>
    </row>
    <row r="191" spans="1:4" x14ac:dyDescent="0.2">
      <c r="A191" s="30"/>
      <c r="B191" s="30"/>
      <c r="C191" s="30"/>
      <c r="D191" s="30"/>
    </row>
    <row r="192" spans="1:4" x14ac:dyDescent="0.2">
      <c r="A192" s="30"/>
      <c r="B192" s="30"/>
      <c r="C192" s="30"/>
      <c r="D192" s="30"/>
    </row>
    <row r="193" spans="1:4" x14ac:dyDescent="0.2">
      <c r="A193" s="30"/>
      <c r="B193" s="30"/>
      <c r="C193" s="30"/>
      <c r="D193" s="30"/>
    </row>
    <row r="194" spans="1:4" x14ac:dyDescent="0.2">
      <c r="A194" s="30"/>
      <c r="B194" s="30"/>
      <c r="C194" s="30"/>
      <c r="D194" s="30"/>
    </row>
    <row r="195" spans="1:4" x14ac:dyDescent="0.2">
      <c r="A195" s="30"/>
      <c r="B195" s="30"/>
      <c r="C195" s="30"/>
      <c r="D195" s="30"/>
    </row>
    <row r="196" spans="1:4" x14ac:dyDescent="0.2">
      <c r="A196" s="30"/>
      <c r="B196" s="30"/>
      <c r="C196" s="30"/>
      <c r="D196" s="30"/>
    </row>
    <row r="197" spans="1:4" x14ac:dyDescent="0.2">
      <c r="A197" s="30"/>
      <c r="B197" s="30"/>
      <c r="C197" s="30"/>
      <c r="D197" s="30"/>
    </row>
    <row r="198" spans="1:4" x14ac:dyDescent="0.2">
      <c r="A198" s="30"/>
      <c r="B198" s="30"/>
      <c r="C198" s="30"/>
      <c r="D198" s="30"/>
    </row>
    <row r="199" spans="1:4" x14ac:dyDescent="0.2">
      <c r="A199" s="30"/>
      <c r="B199" s="30"/>
      <c r="C199" s="30"/>
      <c r="D199" s="30"/>
    </row>
    <row r="200" spans="1:4" x14ac:dyDescent="0.2">
      <c r="A200" s="30"/>
      <c r="B200" s="30"/>
      <c r="C200" s="30"/>
      <c r="D200" s="30"/>
    </row>
    <row r="201" spans="1:4" x14ac:dyDescent="0.2">
      <c r="A201" s="30"/>
      <c r="B201" s="30"/>
      <c r="C201" s="30"/>
      <c r="D201" s="30"/>
    </row>
    <row r="202" spans="1:4" x14ac:dyDescent="0.2">
      <c r="A202" s="30"/>
      <c r="B202" s="30"/>
      <c r="C202" s="30"/>
      <c r="D202" s="30"/>
    </row>
    <row r="203" spans="1:4" x14ac:dyDescent="0.2">
      <c r="A203" s="30"/>
      <c r="B203" s="30"/>
      <c r="C203" s="30"/>
      <c r="D203" s="30"/>
    </row>
    <row r="204" spans="1:4" x14ac:dyDescent="0.2">
      <c r="A204" s="30"/>
      <c r="B204" s="30"/>
      <c r="C204" s="30"/>
      <c r="D204" s="30"/>
    </row>
    <row r="205" spans="1:4" x14ac:dyDescent="0.2">
      <c r="A205" s="30"/>
      <c r="B205" s="30"/>
      <c r="C205" s="30"/>
      <c r="D205" s="30"/>
    </row>
    <row r="206" spans="1:4" x14ac:dyDescent="0.2">
      <c r="A206" s="30"/>
      <c r="B206" s="30"/>
      <c r="C206" s="30"/>
      <c r="D206" s="30"/>
    </row>
    <row r="207" spans="1:4" x14ac:dyDescent="0.2">
      <c r="A207" s="30"/>
      <c r="B207" s="30"/>
      <c r="C207" s="30"/>
      <c r="D207" s="30"/>
    </row>
    <row r="208" spans="1:4" x14ac:dyDescent="0.2">
      <c r="A208" s="30"/>
      <c r="B208" s="30"/>
      <c r="C208" s="30"/>
      <c r="D208" s="30"/>
    </row>
    <row r="209" spans="1:4" x14ac:dyDescent="0.2">
      <c r="A209" s="30"/>
      <c r="B209" s="30"/>
      <c r="C209" s="30"/>
      <c r="D209" s="30"/>
    </row>
    <row r="210" spans="1:4" x14ac:dyDescent="0.2">
      <c r="A210" s="30"/>
      <c r="B210" s="30"/>
      <c r="C210" s="30"/>
      <c r="D210" s="30"/>
    </row>
    <row r="211" spans="1:4" x14ac:dyDescent="0.2">
      <c r="A211" s="30"/>
      <c r="B211" s="30"/>
      <c r="C211" s="30"/>
      <c r="D211" s="30"/>
    </row>
    <row r="212" spans="1:4" x14ac:dyDescent="0.2">
      <c r="A212" s="30"/>
      <c r="B212" s="30"/>
      <c r="C212" s="30"/>
      <c r="D212" s="30"/>
    </row>
    <row r="213" spans="1:4" x14ac:dyDescent="0.2">
      <c r="A213" s="30"/>
      <c r="B213" s="30"/>
      <c r="C213" s="30"/>
      <c r="D213" s="30"/>
    </row>
    <row r="214" spans="1:4" x14ac:dyDescent="0.2">
      <c r="A214" s="30"/>
      <c r="B214" s="30"/>
      <c r="C214" s="30"/>
      <c r="D214" s="30"/>
    </row>
    <row r="215" spans="1:4" x14ac:dyDescent="0.2">
      <c r="A215" s="30"/>
      <c r="B215" s="30"/>
      <c r="C215" s="30"/>
      <c r="D215" s="30"/>
    </row>
    <row r="216" spans="1:4" x14ac:dyDescent="0.2">
      <c r="A216" s="30"/>
      <c r="B216" s="30"/>
      <c r="C216" s="30"/>
      <c r="D216" s="30"/>
    </row>
    <row r="217" spans="1:4" x14ac:dyDescent="0.2">
      <c r="A217" s="30"/>
      <c r="B217" s="30"/>
      <c r="C217" s="30"/>
      <c r="D217" s="30"/>
    </row>
    <row r="218" spans="1:4" x14ac:dyDescent="0.2">
      <c r="A218" s="30"/>
      <c r="B218" s="30"/>
      <c r="C218" s="30"/>
      <c r="D218" s="30"/>
    </row>
    <row r="219" spans="1:4" x14ac:dyDescent="0.2">
      <c r="A219" s="30"/>
      <c r="B219" s="30"/>
      <c r="C219" s="30"/>
      <c r="D219" s="30"/>
    </row>
    <row r="220" spans="1:4" x14ac:dyDescent="0.2">
      <c r="A220" s="30"/>
      <c r="B220" s="30"/>
      <c r="C220" s="30"/>
      <c r="D220" s="30"/>
    </row>
    <row r="221" spans="1:4" x14ac:dyDescent="0.2">
      <c r="A221" s="30"/>
      <c r="B221" s="30"/>
      <c r="C221" s="30"/>
      <c r="D221" s="30"/>
    </row>
    <row r="222" spans="1:4" x14ac:dyDescent="0.2">
      <c r="A222" s="30"/>
      <c r="B222" s="30"/>
      <c r="C222" s="30"/>
      <c r="D222" s="30"/>
    </row>
    <row r="223" spans="1:4" x14ac:dyDescent="0.2">
      <c r="A223" s="30"/>
      <c r="B223" s="30"/>
      <c r="C223" s="30"/>
      <c r="D223" s="30"/>
    </row>
    <row r="224" spans="1:4" x14ac:dyDescent="0.2">
      <c r="A224" s="30"/>
      <c r="B224" s="30"/>
      <c r="C224" s="30"/>
      <c r="D224" s="30"/>
    </row>
    <row r="225" spans="1:4" x14ac:dyDescent="0.2">
      <c r="A225" s="30"/>
      <c r="B225" s="30"/>
      <c r="C225" s="30"/>
      <c r="D225" s="30"/>
    </row>
    <row r="226" spans="1:4" x14ac:dyDescent="0.2">
      <c r="A226" s="30"/>
      <c r="B226" s="30"/>
      <c r="C226" s="30"/>
      <c r="D226" s="30"/>
    </row>
    <row r="227" spans="1:4" x14ac:dyDescent="0.2">
      <c r="A227" s="30"/>
      <c r="B227" s="30"/>
      <c r="C227" s="30"/>
      <c r="D227" s="30"/>
    </row>
    <row r="228" spans="1:4" x14ac:dyDescent="0.2">
      <c r="A228" s="30"/>
      <c r="B228" s="30"/>
      <c r="C228" s="30"/>
      <c r="D228" s="30"/>
    </row>
    <row r="229" spans="1:4" x14ac:dyDescent="0.2">
      <c r="A229" s="30"/>
      <c r="B229" s="30"/>
      <c r="C229" s="30"/>
      <c r="D229" s="30"/>
    </row>
    <row r="230" spans="1:4" x14ac:dyDescent="0.2">
      <c r="A230" s="30"/>
      <c r="B230" s="30"/>
      <c r="C230" s="30"/>
      <c r="D230" s="30"/>
    </row>
    <row r="231" spans="1:4" x14ac:dyDescent="0.2">
      <c r="A231" s="30"/>
      <c r="B231" s="30"/>
      <c r="C231" s="30"/>
      <c r="D231" s="30"/>
    </row>
    <row r="232" spans="1:4" x14ac:dyDescent="0.2">
      <c r="A232" s="30"/>
      <c r="B232" s="30"/>
      <c r="C232" s="30"/>
      <c r="D232" s="30"/>
    </row>
    <row r="233" spans="1:4" x14ac:dyDescent="0.2">
      <c r="A233" s="30"/>
      <c r="B233" s="30"/>
      <c r="C233" s="30"/>
      <c r="D233" s="30"/>
    </row>
    <row r="234" spans="1:4" x14ac:dyDescent="0.2">
      <c r="A234" s="30"/>
      <c r="B234" s="30"/>
      <c r="C234" s="30"/>
      <c r="D234" s="30"/>
    </row>
    <row r="235" spans="1:4" x14ac:dyDescent="0.2">
      <c r="A235" s="30"/>
      <c r="B235" s="30"/>
      <c r="C235" s="30"/>
      <c r="D235" s="30"/>
    </row>
    <row r="236" spans="1:4" x14ac:dyDescent="0.2">
      <c r="A236" s="30"/>
      <c r="B236" s="30"/>
      <c r="C236" s="30"/>
      <c r="D236" s="30"/>
    </row>
    <row r="237" spans="1:4" x14ac:dyDescent="0.2">
      <c r="A237" s="30"/>
      <c r="B237" s="30"/>
      <c r="C237" s="30"/>
      <c r="D237" s="30"/>
    </row>
    <row r="238" spans="1:4" x14ac:dyDescent="0.2">
      <c r="A238" s="30"/>
      <c r="B238" s="30"/>
      <c r="C238" s="30"/>
      <c r="D238" s="30"/>
    </row>
    <row r="239" spans="1:4" x14ac:dyDescent="0.2">
      <c r="A239" s="30"/>
      <c r="B239" s="30"/>
      <c r="C239" s="30"/>
      <c r="D239" s="30"/>
    </row>
    <row r="240" spans="1:4" x14ac:dyDescent="0.2">
      <c r="A240" s="30"/>
      <c r="B240" s="30"/>
      <c r="C240" s="30"/>
      <c r="D240" s="30"/>
    </row>
    <row r="241" spans="1:4" x14ac:dyDescent="0.2">
      <c r="A241" s="30"/>
      <c r="B241" s="30"/>
      <c r="C241" s="30"/>
      <c r="D241" s="30"/>
    </row>
    <row r="242" spans="1:4" x14ac:dyDescent="0.2">
      <c r="A242" s="30"/>
      <c r="B242" s="30"/>
      <c r="C242" s="30"/>
      <c r="D242" s="30"/>
    </row>
    <row r="243" spans="1:4" x14ac:dyDescent="0.2">
      <c r="A243" s="30"/>
      <c r="B243" s="30"/>
      <c r="C243" s="30"/>
      <c r="D243" s="30"/>
    </row>
    <row r="244" spans="1:4" x14ac:dyDescent="0.2">
      <c r="A244" s="30"/>
      <c r="B244" s="30"/>
      <c r="C244" s="30"/>
      <c r="D244" s="30"/>
    </row>
    <row r="245" spans="1:4" x14ac:dyDescent="0.2">
      <c r="A245" s="30"/>
      <c r="B245" s="30"/>
      <c r="C245" s="30"/>
      <c r="D245" s="30"/>
    </row>
    <row r="246" spans="1:4" x14ac:dyDescent="0.2">
      <c r="A246" s="30"/>
      <c r="B246" s="30"/>
      <c r="C246" s="30"/>
      <c r="D246" s="30"/>
    </row>
    <row r="247" spans="1:4" x14ac:dyDescent="0.2">
      <c r="A247" s="30"/>
      <c r="B247" s="30"/>
      <c r="C247" s="30"/>
      <c r="D247" s="30"/>
    </row>
    <row r="248" spans="1:4" x14ac:dyDescent="0.2">
      <c r="A248" s="30"/>
      <c r="B248" s="30"/>
      <c r="C248" s="30"/>
      <c r="D248" s="30"/>
    </row>
    <row r="249" spans="1:4" x14ac:dyDescent="0.2">
      <c r="A249" s="30"/>
      <c r="B249" s="30"/>
      <c r="C249" s="30"/>
      <c r="D249" s="30"/>
    </row>
    <row r="250" spans="1:4" x14ac:dyDescent="0.2">
      <c r="A250" s="30"/>
      <c r="B250" s="30"/>
      <c r="C250" s="30"/>
      <c r="D250" s="30"/>
    </row>
    <row r="251" spans="1:4" x14ac:dyDescent="0.2">
      <c r="A251" s="30"/>
      <c r="B251" s="30"/>
      <c r="C251" s="30"/>
      <c r="D251" s="30"/>
    </row>
    <row r="252" spans="1:4" x14ac:dyDescent="0.2">
      <c r="A252" s="30"/>
      <c r="B252" s="30"/>
      <c r="C252" s="30"/>
      <c r="D252" s="30"/>
    </row>
    <row r="253" spans="1:4" x14ac:dyDescent="0.2">
      <c r="A253" s="30"/>
      <c r="B253" s="30"/>
      <c r="C253" s="30"/>
      <c r="D253" s="30"/>
    </row>
    <row r="254" spans="1:4" x14ac:dyDescent="0.2">
      <c r="A254" s="30"/>
      <c r="B254" s="30"/>
      <c r="C254" s="30"/>
      <c r="D254" s="30"/>
    </row>
    <row r="255" spans="1:4" x14ac:dyDescent="0.2">
      <c r="A255" s="30"/>
      <c r="B255" s="30"/>
      <c r="C255" s="30"/>
      <c r="D255" s="30"/>
    </row>
    <row r="256" spans="1:4" x14ac:dyDescent="0.2">
      <c r="A256" s="30"/>
      <c r="B256" s="30"/>
      <c r="C256" s="30"/>
      <c r="D256" s="30"/>
    </row>
    <row r="257" spans="1:4" x14ac:dyDescent="0.2">
      <c r="A257" s="30"/>
      <c r="B257" s="30"/>
      <c r="C257" s="30"/>
      <c r="D257" s="30"/>
    </row>
    <row r="258" spans="1:4" x14ac:dyDescent="0.2">
      <c r="A258" s="30"/>
      <c r="B258" s="30"/>
      <c r="C258" s="30"/>
      <c r="D258" s="30"/>
    </row>
    <row r="259" spans="1:4" x14ac:dyDescent="0.2">
      <c r="A259" s="30"/>
      <c r="B259" s="30"/>
      <c r="C259" s="30"/>
      <c r="D259" s="30"/>
    </row>
    <row r="260" spans="1:4" x14ac:dyDescent="0.2">
      <c r="A260" s="30"/>
      <c r="B260" s="30"/>
      <c r="C260" s="30"/>
      <c r="D260" s="30"/>
    </row>
    <row r="261" spans="1:4" x14ac:dyDescent="0.2">
      <c r="A261" s="30"/>
      <c r="B261" s="30"/>
      <c r="C261" s="30"/>
      <c r="D261" s="30"/>
    </row>
    <row r="262" spans="1:4" x14ac:dyDescent="0.2">
      <c r="A262" s="30"/>
      <c r="B262" s="30"/>
      <c r="C262" s="30"/>
      <c r="D262" s="30"/>
    </row>
    <row r="263" spans="1:4" x14ac:dyDescent="0.2">
      <c r="A263" s="30"/>
      <c r="B263" s="30"/>
      <c r="C263" s="30"/>
      <c r="D263" s="30"/>
    </row>
    <row r="264" spans="1:4" x14ac:dyDescent="0.2">
      <c r="A264" s="30"/>
      <c r="B264" s="30"/>
      <c r="C264" s="30"/>
      <c r="D264" s="30"/>
    </row>
    <row r="265" spans="1:4" x14ac:dyDescent="0.2">
      <c r="A265" s="30"/>
      <c r="B265" s="30"/>
      <c r="C265" s="30"/>
      <c r="D265" s="30"/>
    </row>
    <row r="266" spans="1:4" x14ac:dyDescent="0.2">
      <c r="A266" s="30"/>
      <c r="B266" s="30"/>
      <c r="C266" s="30"/>
      <c r="D266" s="30"/>
    </row>
    <row r="267" spans="1:4" x14ac:dyDescent="0.2">
      <c r="A267" s="30"/>
      <c r="B267" s="30"/>
      <c r="C267" s="30"/>
      <c r="D267" s="30"/>
    </row>
    <row r="268" spans="1:4" x14ac:dyDescent="0.2">
      <c r="A268" s="30"/>
      <c r="B268" s="30"/>
      <c r="C268" s="30"/>
      <c r="D268" s="30"/>
    </row>
    <row r="269" spans="1:4" x14ac:dyDescent="0.2">
      <c r="A269" s="30"/>
      <c r="B269" s="30"/>
      <c r="C269" s="30"/>
      <c r="D269" s="30"/>
    </row>
    <row r="270" spans="1:4" x14ac:dyDescent="0.2">
      <c r="A270" s="30"/>
      <c r="B270" s="30"/>
      <c r="C270" s="30"/>
      <c r="D270" s="30"/>
    </row>
    <row r="271" spans="1:4" x14ac:dyDescent="0.2">
      <c r="A271" s="30"/>
      <c r="B271" s="30"/>
      <c r="C271" s="30"/>
      <c r="D271" s="30"/>
    </row>
    <row r="272" spans="1:4" x14ac:dyDescent="0.2">
      <c r="A272" s="30"/>
      <c r="B272" s="30"/>
      <c r="C272" s="30"/>
      <c r="D272" s="30"/>
    </row>
    <row r="273" spans="1:4" x14ac:dyDescent="0.2">
      <c r="A273" s="30"/>
      <c r="B273" s="30"/>
      <c r="C273" s="30"/>
      <c r="D273" s="30"/>
    </row>
    <row r="274" spans="1:4" x14ac:dyDescent="0.2">
      <c r="A274" s="30"/>
      <c r="B274" s="30"/>
      <c r="C274" s="30"/>
      <c r="D274" s="30"/>
    </row>
    <row r="275" spans="1:4" x14ac:dyDescent="0.2">
      <c r="A275" s="30"/>
      <c r="B275" s="30"/>
      <c r="C275" s="30"/>
      <c r="D275" s="30"/>
    </row>
    <row r="276" spans="1:4" x14ac:dyDescent="0.2">
      <c r="A276" s="30"/>
      <c r="B276" s="30"/>
      <c r="C276" s="30"/>
      <c r="D276" s="30"/>
    </row>
    <row r="277" spans="1:4" x14ac:dyDescent="0.2">
      <c r="A277" s="30"/>
      <c r="B277" s="30"/>
      <c r="C277" s="30"/>
      <c r="D277" s="30"/>
    </row>
    <row r="278" spans="1:4" x14ac:dyDescent="0.2">
      <c r="A278" s="30"/>
      <c r="B278" s="30"/>
      <c r="C278" s="30"/>
      <c r="D278" s="30"/>
    </row>
    <row r="279" spans="1:4" x14ac:dyDescent="0.2">
      <c r="A279" s="30"/>
      <c r="B279" s="30"/>
      <c r="C279" s="30"/>
      <c r="D279" s="30"/>
    </row>
    <row r="280" spans="1:4" x14ac:dyDescent="0.2">
      <c r="A280" s="30"/>
      <c r="B280" s="30"/>
      <c r="C280" s="30"/>
      <c r="D280" s="30"/>
    </row>
    <row r="281" spans="1:4" x14ac:dyDescent="0.2">
      <c r="A281" s="30"/>
      <c r="B281" s="30"/>
      <c r="C281" s="30"/>
      <c r="D281" s="30"/>
    </row>
    <row r="282" spans="1:4" x14ac:dyDescent="0.2">
      <c r="A282" s="30"/>
      <c r="B282" s="30"/>
      <c r="C282" s="30"/>
      <c r="D282" s="30"/>
    </row>
    <row r="283" spans="1:4" x14ac:dyDescent="0.2">
      <c r="A283" s="30"/>
      <c r="B283" s="30"/>
      <c r="C283" s="30"/>
      <c r="D283" s="30"/>
    </row>
    <row r="284" spans="1:4" x14ac:dyDescent="0.2">
      <c r="A284" s="30"/>
      <c r="B284" s="30"/>
      <c r="C284" s="30"/>
      <c r="D284" s="30"/>
    </row>
    <row r="285" spans="1:4" x14ac:dyDescent="0.2">
      <c r="A285" s="30"/>
      <c r="B285" s="30"/>
      <c r="C285" s="30"/>
      <c r="D285" s="30"/>
    </row>
    <row r="286" spans="1:4" x14ac:dyDescent="0.2">
      <c r="A286" s="30"/>
      <c r="B286" s="30"/>
      <c r="C286" s="30"/>
      <c r="D286" s="30"/>
    </row>
    <row r="287" spans="1:4" x14ac:dyDescent="0.2">
      <c r="A287" s="30"/>
      <c r="B287" s="30"/>
      <c r="C287" s="30"/>
      <c r="D287" s="30"/>
    </row>
    <row r="288" spans="1:4" x14ac:dyDescent="0.2">
      <c r="A288" s="30"/>
      <c r="B288" s="30"/>
      <c r="C288" s="30"/>
      <c r="D288" s="30"/>
    </row>
    <row r="289" spans="1:4" x14ac:dyDescent="0.2">
      <c r="A289" s="30"/>
      <c r="B289" s="30"/>
      <c r="C289" s="30"/>
      <c r="D289" s="30"/>
    </row>
    <row r="290" spans="1:4" x14ac:dyDescent="0.2">
      <c r="A290" s="30"/>
      <c r="B290" s="30"/>
      <c r="C290" s="30"/>
      <c r="D290" s="30"/>
    </row>
    <row r="291" spans="1:4" x14ac:dyDescent="0.2">
      <c r="A291" s="30"/>
      <c r="B291" s="30"/>
      <c r="C291" s="30"/>
      <c r="D291" s="30"/>
    </row>
    <row r="292" spans="1:4" x14ac:dyDescent="0.2">
      <c r="A292" s="30"/>
      <c r="B292" s="30"/>
      <c r="C292" s="30"/>
      <c r="D292" s="30"/>
    </row>
    <row r="293" spans="1:4" x14ac:dyDescent="0.2">
      <c r="A293" s="30"/>
      <c r="B293" s="30"/>
      <c r="C293" s="30"/>
      <c r="D293" s="30"/>
    </row>
    <row r="294" spans="1:4" x14ac:dyDescent="0.2">
      <c r="A294" s="30"/>
      <c r="B294" s="30"/>
      <c r="C294" s="30"/>
      <c r="D294" s="30"/>
    </row>
    <row r="295" spans="1:4" x14ac:dyDescent="0.2">
      <c r="A295" s="30"/>
      <c r="B295" s="30"/>
      <c r="C295" s="30"/>
      <c r="D295" s="30"/>
    </row>
    <row r="296" spans="1:4" x14ac:dyDescent="0.2">
      <c r="A296" s="30"/>
      <c r="B296" s="30"/>
      <c r="C296" s="30"/>
      <c r="D296" s="30"/>
    </row>
    <row r="297" spans="1:4" x14ac:dyDescent="0.2">
      <c r="A297" s="30"/>
      <c r="B297" s="30"/>
      <c r="C297" s="30"/>
      <c r="D297" s="30"/>
    </row>
    <row r="298" spans="1:4" x14ac:dyDescent="0.2">
      <c r="A298" s="30"/>
      <c r="B298" s="30"/>
      <c r="C298" s="30"/>
      <c r="D298" s="30"/>
    </row>
    <row r="299" spans="1:4" x14ac:dyDescent="0.2">
      <c r="A299" s="30"/>
      <c r="B299" s="30"/>
      <c r="C299" s="30"/>
      <c r="D299" s="30"/>
    </row>
    <row r="300" spans="1:4" x14ac:dyDescent="0.2">
      <c r="A300" s="30"/>
      <c r="B300" s="30"/>
      <c r="C300" s="30"/>
      <c r="D300" s="30"/>
    </row>
    <row r="301" spans="1:4" x14ac:dyDescent="0.2">
      <c r="A301" s="30"/>
      <c r="B301" s="30"/>
      <c r="C301" s="30"/>
      <c r="D301" s="30"/>
    </row>
    <row r="302" spans="1:4" x14ac:dyDescent="0.2">
      <c r="A302" s="30"/>
      <c r="B302" s="30"/>
      <c r="C302" s="30"/>
      <c r="D302" s="30"/>
    </row>
    <row r="303" spans="1:4" x14ac:dyDescent="0.2">
      <c r="A303" s="30"/>
      <c r="B303" s="30"/>
      <c r="C303" s="30"/>
      <c r="D303" s="30"/>
    </row>
    <row r="304" spans="1:4" x14ac:dyDescent="0.2">
      <c r="A304" s="30"/>
      <c r="B304" s="30"/>
      <c r="C304" s="30"/>
      <c r="D304" s="30"/>
    </row>
    <row r="305" spans="1:4" x14ac:dyDescent="0.2">
      <c r="A305" s="30"/>
      <c r="B305" s="30"/>
      <c r="C305" s="30"/>
      <c r="D305" s="30"/>
    </row>
    <row r="306" spans="1:4" x14ac:dyDescent="0.2">
      <c r="A306" s="30"/>
      <c r="B306" s="30"/>
      <c r="C306" s="30"/>
      <c r="D306" s="30"/>
    </row>
    <row r="307" spans="1:4" x14ac:dyDescent="0.2">
      <c r="A307" s="30"/>
      <c r="B307" s="30"/>
      <c r="C307" s="30"/>
      <c r="D307" s="30"/>
    </row>
    <row r="308" spans="1:4" x14ac:dyDescent="0.2">
      <c r="A308" s="30"/>
      <c r="B308" s="30"/>
      <c r="C308" s="30"/>
      <c r="D308" s="30"/>
    </row>
    <row r="309" spans="1:4" x14ac:dyDescent="0.2">
      <c r="A309" s="30"/>
      <c r="B309" s="30"/>
      <c r="C309" s="30"/>
      <c r="D309" s="30"/>
    </row>
    <row r="310" spans="1:4" x14ac:dyDescent="0.2">
      <c r="A310" s="30"/>
      <c r="B310" s="30"/>
      <c r="C310" s="30"/>
      <c r="D310" s="30"/>
    </row>
    <row r="311" spans="1:4" x14ac:dyDescent="0.2">
      <c r="A311" s="30"/>
      <c r="B311" s="30"/>
      <c r="C311" s="30"/>
      <c r="D311" s="30"/>
    </row>
    <row r="312" spans="1:4" x14ac:dyDescent="0.2">
      <c r="A312" s="30"/>
      <c r="B312" s="30"/>
      <c r="C312" s="30"/>
      <c r="D312" s="30"/>
    </row>
    <row r="313" spans="1:4" x14ac:dyDescent="0.2">
      <c r="A313" s="30"/>
      <c r="B313" s="30"/>
      <c r="C313" s="30"/>
      <c r="D313" s="30"/>
    </row>
    <row r="314" spans="1:4" x14ac:dyDescent="0.2">
      <c r="A314" s="30"/>
      <c r="B314" s="30"/>
      <c r="C314" s="30"/>
      <c r="D314" s="30"/>
    </row>
    <row r="315" spans="1:4" x14ac:dyDescent="0.2">
      <c r="A315" s="30"/>
      <c r="B315" s="30"/>
      <c r="C315" s="30"/>
      <c r="D315" s="30"/>
    </row>
    <row r="316" spans="1:4" x14ac:dyDescent="0.2">
      <c r="A316" s="30"/>
      <c r="B316" s="30"/>
      <c r="C316" s="30"/>
      <c r="D316" s="30"/>
    </row>
    <row r="317" spans="1:4" x14ac:dyDescent="0.2">
      <c r="A317" s="30"/>
      <c r="B317" s="30"/>
      <c r="C317" s="30"/>
      <c r="D317" s="30"/>
    </row>
    <row r="318" spans="1:4" x14ac:dyDescent="0.2">
      <c r="A318" s="30"/>
      <c r="B318" s="30"/>
      <c r="C318" s="30"/>
      <c r="D318" s="30"/>
    </row>
    <row r="319" spans="1:4" x14ac:dyDescent="0.2">
      <c r="A319" s="30"/>
      <c r="B319" s="30"/>
      <c r="C319" s="30"/>
      <c r="D319" s="30"/>
    </row>
    <row r="320" spans="1:4" x14ac:dyDescent="0.2">
      <c r="A320" s="30"/>
      <c r="B320" s="30"/>
      <c r="C320" s="30"/>
      <c r="D320" s="30"/>
    </row>
    <row r="321" spans="1:4" x14ac:dyDescent="0.2">
      <c r="A321" s="30"/>
      <c r="B321" s="30"/>
      <c r="C321" s="30"/>
      <c r="D321" s="30"/>
    </row>
    <row r="322" spans="1:4" x14ac:dyDescent="0.2">
      <c r="A322" s="30"/>
      <c r="B322" s="30"/>
      <c r="C322" s="30"/>
      <c r="D322" s="30"/>
    </row>
    <row r="323" spans="1:4" x14ac:dyDescent="0.2">
      <c r="A323" s="30"/>
      <c r="B323" s="30"/>
      <c r="C323" s="30"/>
      <c r="D323" s="30"/>
    </row>
    <row r="324" spans="1:4" x14ac:dyDescent="0.2">
      <c r="A324" s="30"/>
      <c r="B324" s="30"/>
      <c r="C324" s="30"/>
      <c r="D324" s="30"/>
    </row>
    <row r="325" spans="1:4" x14ac:dyDescent="0.2">
      <c r="A325" s="30"/>
      <c r="B325" s="30"/>
      <c r="C325" s="30"/>
      <c r="D325" s="30"/>
    </row>
    <row r="326" spans="1:4" x14ac:dyDescent="0.2">
      <c r="A326" s="30"/>
      <c r="B326" s="30"/>
      <c r="C326" s="30"/>
      <c r="D326" s="30"/>
    </row>
    <row r="327" spans="1:4" x14ac:dyDescent="0.2">
      <c r="A327" s="30"/>
      <c r="B327" s="30"/>
      <c r="C327" s="30"/>
      <c r="D327" s="30"/>
    </row>
    <row r="328" spans="1:4" x14ac:dyDescent="0.2">
      <c r="A328" s="30"/>
      <c r="B328" s="30"/>
      <c r="C328" s="30"/>
      <c r="D328" s="30"/>
    </row>
    <row r="329" spans="1:4" x14ac:dyDescent="0.2">
      <c r="A329" s="30"/>
      <c r="B329" s="30"/>
      <c r="C329" s="30"/>
      <c r="D329" s="30"/>
    </row>
    <row r="330" spans="1:4" x14ac:dyDescent="0.2">
      <c r="A330" s="30"/>
      <c r="B330" s="30"/>
      <c r="C330" s="30"/>
      <c r="D330" s="30"/>
    </row>
    <row r="331" spans="1:4" x14ac:dyDescent="0.2">
      <c r="A331" s="30"/>
      <c r="B331" s="30"/>
      <c r="C331" s="30"/>
      <c r="D331" s="30"/>
    </row>
    <row r="332" spans="1:4" x14ac:dyDescent="0.2">
      <c r="A332" s="30"/>
      <c r="B332" s="30"/>
      <c r="C332" s="30"/>
      <c r="D332" s="30"/>
    </row>
    <row r="333" spans="1:4" x14ac:dyDescent="0.2">
      <c r="A333" s="30"/>
      <c r="B333" s="30"/>
      <c r="C333" s="30"/>
      <c r="D333" s="30"/>
    </row>
    <row r="334" spans="1:4" x14ac:dyDescent="0.2">
      <c r="A334" s="30"/>
      <c r="B334" s="30"/>
      <c r="C334" s="30"/>
      <c r="D334" s="30"/>
    </row>
    <row r="335" spans="1:4" x14ac:dyDescent="0.2">
      <c r="A335" s="30"/>
      <c r="B335" s="30"/>
      <c r="C335" s="30"/>
      <c r="D335" s="30"/>
    </row>
    <row r="336" spans="1:4" x14ac:dyDescent="0.2">
      <c r="A336" s="30"/>
      <c r="B336" s="30"/>
      <c r="C336" s="30"/>
      <c r="D336" s="30"/>
    </row>
    <row r="337" spans="1:4" x14ac:dyDescent="0.2">
      <c r="A337" s="30"/>
      <c r="B337" s="30"/>
      <c r="C337" s="30"/>
      <c r="D337" s="30"/>
    </row>
    <row r="338" spans="1:4" x14ac:dyDescent="0.2">
      <c r="A338" s="30"/>
      <c r="B338" s="30"/>
      <c r="C338" s="30"/>
      <c r="D338" s="30"/>
    </row>
    <row r="339" spans="1:4" x14ac:dyDescent="0.2">
      <c r="A339" s="30"/>
      <c r="B339" s="30"/>
      <c r="C339" s="30"/>
      <c r="D339" s="30"/>
    </row>
    <row r="340" spans="1:4" x14ac:dyDescent="0.2">
      <c r="A340" s="30"/>
      <c r="B340" s="30"/>
      <c r="C340" s="30"/>
      <c r="D340" s="30"/>
    </row>
    <row r="341" spans="1:4" x14ac:dyDescent="0.2">
      <c r="A341" s="30"/>
      <c r="B341" s="30"/>
      <c r="C341" s="30"/>
      <c r="D341" s="30"/>
    </row>
    <row r="342" spans="1:4" x14ac:dyDescent="0.2">
      <c r="A342" s="30"/>
      <c r="B342" s="30"/>
      <c r="C342" s="30"/>
      <c r="D342" s="30"/>
    </row>
    <row r="343" spans="1:4" x14ac:dyDescent="0.2">
      <c r="A343" s="30"/>
      <c r="B343" s="30"/>
      <c r="C343" s="30"/>
      <c r="D343" s="30"/>
    </row>
    <row r="344" spans="1:4" x14ac:dyDescent="0.2">
      <c r="A344" s="30"/>
      <c r="B344" s="30"/>
      <c r="C344" s="30"/>
      <c r="D344" s="30"/>
    </row>
    <row r="345" spans="1:4" x14ac:dyDescent="0.2">
      <c r="A345" s="30"/>
      <c r="B345" s="30"/>
      <c r="C345" s="30"/>
      <c r="D345" s="30"/>
    </row>
    <row r="346" spans="1:4" x14ac:dyDescent="0.2">
      <c r="A346" s="30"/>
      <c r="B346" s="30"/>
      <c r="C346" s="30"/>
      <c r="D346" s="30"/>
    </row>
    <row r="347" spans="1:4" x14ac:dyDescent="0.2">
      <c r="A347" s="30"/>
      <c r="B347" s="30"/>
      <c r="C347" s="30"/>
      <c r="D347" s="30"/>
    </row>
    <row r="348" spans="1:4" x14ac:dyDescent="0.2">
      <c r="A348" s="30"/>
      <c r="B348" s="30"/>
      <c r="C348" s="30"/>
      <c r="D348" s="30"/>
    </row>
    <row r="349" spans="1:4" x14ac:dyDescent="0.2">
      <c r="A349" s="30"/>
      <c r="B349" s="30"/>
      <c r="C349" s="30"/>
      <c r="D349" s="30"/>
    </row>
    <row r="350" spans="1:4" x14ac:dyDescent="0.2">
      <c r="A350" s="30"/>
      <c r="B350" s="30"/>
      <c r="C350" s="30"/>
      <c r="D350" s="30"/>
    </row>
    <row r="351" spans="1:4" x14ac:dyDescent="0.2">
      <c r="A351" s="30"/>
      <c r="B351" s="30"/>
      <c r="C351" s="30"/>
      <c r="D351" s="30"/>
    </row>
    <row r="352" spans="1:4" x14ac:dyDescent="0.2">
      <c r="A352" s="30"/>
      <c r="B352" s="30"/>
      <c r="C352" s="30"/>
      <c r="D352" s="30"/>
    </row>
    <row r="353" spans="1:4" x14ac:dyDescent="0.2">
      <c r="A353" s="30"/>
      <c r="B353" s="30"/>
      <c r="C353" s="30"/>
      <c r="D353" s="30"/>
    </row>
    <row r="354" spans="1:4" x14ac:dyDescent="0.2">
      <c r="A354" s="30"/>
      <c r="B354" s="30"/>
      <c r="C354" s="30"/>
      <c r="D354" s="30"/>
    </row>
    <row r="355" spans="1:4" x14ac:dyDescent="0.2">
      <c r="A355" s="30"/>
      <c r="B355" s="30"/>
      <c r="C355" s="30"/>
      <c r="D355" s="30"/>
    </row>
    <row r="356" spans="1:4" x14ac:dyDescent="0.2">
      <c r="A356" s="30"/>
      <c r="B356" s="30"/>
      <c r="C356" s="30"/>
      <c r="D356" s="30"/>
    </row>
    <row r="357" spans="1:4" x14ac:dyDescent="0.2">
      <c r="A357" s="30"/>
      <c r="B357" s="30"/>
      <c r="C357" s="30"/>
      <c r="D357" s="30"/>
    </row>
    <row r="358" spans="1:4" x14ac:dyDescent="0.2">
      <c r="A358" s="30"/>
      <c r="B358" s="30"/>
      <c r="C358" s="30"/>
      <c r="D358" s="30"/>
    </row>
    <row r="359" spans="1:4" x14ac:dyDescent="0.2">
      <c r="A359" s="30"/>
      <c r="B359" s="30"/>
      <c r="C359" s="30"/>
      <c r="D359" s="30"/>
    </row>
    <row r="360" spans="1:4" x14ac:dyDescent="0.2">
      <c r="A360" s="30"/>
      <c r="B360" s="30"/>
      <c r="C360" s="30"/>
      <c r="D360" s="30"/>
    </row>
    <row r="361" spans="1:4" x14ac:dyDescent="0.2">
      <c r="A361" s="30"/>
      <c r="B361" s="30"/>
      <c r="C361" s="30"/>
      <c r="D361" s="30"/>
    </row>
    <row r="362" spans="1:4" x14ac:dyDescent="0.2">
      <c r="A362" s="30"/>
      <c r="B362" s="30"/>
      <c r="C362" s="30"/>
      <c r="D362" s="30"/>
    </row>
    <row r="363" spans="1:4" x14ac:dyDescent="0.2">
      <c r="A363" s="30"/>
      <c r="B363" s="30"/>
      <c r="C363" s="30"/>
      <c r="D363" s="30"/>
    </row>
    <row r="364" spans="1:4" x14ac:dyDescent="0.2">
      <c r="A364" s="30"/>
      <c r="B364" s="30"/>
      <c r="C364" s="30"/>
      <c r="D364" s="30"/>
    </row>
    <row r="365" spans="1:4" x14ac:dyDescent="0.2">
      <c r="A365" s="30"/>
      <c r="B365" s="30"/>
      <c r="C365" s="30"/>
      <c r="D365" s="30"/>
    </row>
    <row r="366" spans="1:4" x14ac:dyDescent="0.2">
      <c r="A366" s="30"/>
      <c r="B366" s="30"/>
      <c r="C366" s="30"/>
      <c r="D366" s="30"/>
    </row>
    <row r="367" spans="1:4" x14ac:dyDescent="0.2">
      <c r="A367" s="30"/>
      <c r="B367" s="30"/>
      <c r="C367" s="30"/>
      <c r="D367" s="30"/>
    </row>
    <row r="368" spans="1:4" x14ac:dyDescent="0.2">
      <c r="A368" s="30"/>
      <c r="B368" s="30"/>
      <c r="C368" s="30"/>
      <c r="D368" s="30"/>
    </row>
    <row r="369" spans="1:4" x14ac:dyDescent="0.2">
      <c r="A369" s="30"/>
      <c r="B369" s="30"/>
      <c r="C369" s="30"/>
      <c r="D369" s="30"/>
    </row>
    <row r="370" spans="1:4" x14ac:dyDescent="0.2">
      <c r="A370" s="30"/>
      <c r="B370" s="30"/>
      <c r="C370" s="30"/>
      <c r="D370" s="30"/>
    </row>
    <row r="371" spans="1:4" x14ac:dyDescent="0.2">
      <c r="A371" s="30"/>
      <c r="B371" s="30"/>
      <c r="C371" s="30"/>
      <c r="D371" s="30"/>
    </row>
    <row r="372" spans="1:4" x14ac:dyDescent="0.2">
      <c r="A372" s="30"/>
      <c r="B372" s="30"/>
      <c r="C372" s="30"/>
      <c r="D372" s="30"/>
    </row>
    <row r="373" spans="1:4" x14ac:dyDescent="0.2">
      <c r="A373" s="30"/>
      <c r="B373" s="30"/>
      <c r="C373" s="30"/>
      <c r="D373" s="30"/>
    </row>
    <row r="374" spans="1:4" x14ac:dyDescent="0.2">
      <c r="A374" s="30"/>
      <c r="B374" s="30"/>
      <c r="C374" s="30"/>
      <c r="D374" s="30"/>
    </row>
    <row r="375" spans="1:4" x14ac:dyDescent="0.2">
      <c r="A375" s="30"/>
      <c r="B375" s="30"/>
      <c r="C375" s="30"/>
      <c r="D375" s="30"/>
    </row>
    <row r="376" spans="1:4" x14ac:dyDescent="0.2">
      <c r="A376" s="30"/>
      <c r="B376" s="30"/>
      <c r="C376" s="30"/>
      <c r="D376" s="30"/>
    </row>
    <row r="377" spans="1:4" x14ac:dyDescent="0.2">
      <c r="A377" s="30"/>
      <c r="B377" s="30"/>
      <c r="C377" s="30"/>
      <c r="D377" s="30"/>
    </row>
    <row r="378" spans="1:4" x14ac:dyDescent="0.2">
      <c r="A378" s="30"/>
      <c r="B378" s="30"/>
      <c r="C378" s="30"/>
      <c r="D378" s="30"/>
    </row>
    <row r="379" spans="1:4" x14ac:dyDescent="0.2">
      <c r="A379" s="30"/>
      <c r="B379" s="30"/>
      <c r="C379" s="30"/>
      <c r="D379" s="30"/>
    </row>
    <row r="380" spans="1:4" x14ac:dyDescent="0.2">
      <c r="A380" s="30"/>
      <c r="B380" s="30"/>
      <c r="C380" s="30"/>
      <c r="D380" s="30"/>
    </row>
    <row r="381" spans="1:4" x14ac:dyDescent="0.2">
      <c r="A381" s="30"/>
      <c r="B381" s="30"/>
      <c r="C381" s="30"/>
      <c r="D381" s="30"/>
    </row>
    <row r="382" spans="1:4" x14ac:dyDescent="0.2">
      <c r="A382" s="30"/>
      <c r="B382" s="30"/>
      <c r="C382" s="30"/>
      <c r="D382" s="30"/>
    </row>
    <row r="383" spans="1:4" x14ac:dyDescent="0.2">
      <c r="A383" s="30"/>
      <c r="B383" s="30"/>
      <c r="C383" s="30"/>
      <c r="D383" s="30"/>
    </row>
    <row r="384" spans="1:4" x14ac:dyDescent="0.2">
      <c r="A384" s="30"/>
      <c r="B384" s="30"/>
      <c r="C384" s="30"/>
      <c r="D384" s="30"/>
    </row>
    <row r="385" spans="1:4" x14ac:dyDescent="0.2">
      <c r="A385" s="30"/>
      <c r="B385" s="30"/>
      <c r="C385" s="30"/>
      <c r="D385" s="30"/>
    </row>
    <row r="386" spans="1:4" x14ac:dyDescent="0.2">
      <c r="A386" s="30"/>
      <c r="B386" s="30"/>
      <c r="C386" s="30"/>
      <c r="D386" s="30"/>
    </row>
    <row r="387" spans="1:4" x14ac:dyDescent="0.2">
      <c r="A387" s="30"/>
      <c r="B387" s="30"/>
      <c r="C387" s="30"/>
      <c r="D387" s="30"/>
    </row>
    <row r="388" spans="1:4" x14ac:dyDescent="0.2">
      <c r="A388" s="30"/>
      <c r="B388" s="30"/>
      <c r="C388" s="30"/>
      <c r="D388" s="30"/>
    </row>
    <row r="389" spans="1:4" x14ac:dyDescent="0.2">
      <c r="A389" s="30"/>
      <c r="B389" s="30"/>
      <c r="C389" s="30"/>
      <c r="D389" s="30"/>
    </row>
    <row r="390" spans="1:4" x14ac:dyDescent="0.2">
      <c r="A390" s="30"/>
      <c r="B390" s="30"/>
      <c r="C390" s="30"/>
      <c r="D390" s="30"/>
    </row>
    <row r="391" spans="1:4" x14ac:dyDescent="0.2">
      <c r="A391" s="30"/>
      <c r="B391" s="30"/>
      <c r="C391" s="30"/>
      <c r="D391" s="30"/>
    </row>
    <row r="392" spans="1:4" x14ac:dyDescent="0.2">
      <c r="A392" s="30"/>
      <c r="B392" s="30"/>
      <c r="C392" s="30"/>
      <c r="D392" s="30"/>
    </row>
    <row r="393" spans="1:4" x14ac:dyDescent="0.2">
      <c r="A393" s="30"/>
      <c r="B393" s="30"/>
      <c r="C393" s="30"/>
      <c r="D393" s="30"/>
    </row>
    <row r="394" spans="1:4" x14ac:dyDescent="0.2">
      <c r="A394" s="30"/>
      <c r="B394" s="30"/>
      <c r="C394" s="30"/>
      <c r="D394" s="30"/>
    </row>
    <row r="395" spans="1:4" x14ac:dyDescent="0.2">
      <c r="A395" s="30"/>
      <c r="B395" s="30"/>
      <c r="C395" s="30"/>
      <c r="D395" s="30"/>
    </row>
    <row r="396" spans="1:4" x14ac:dyDescent="0.2">
      <c r="A396" s="30"/>
      <c r="B396" s="30"/>
      <c r="C396" s="30"/>
      <c r="D396" s="30"/>
    </row>
    <row r="397" spans="1:4" x14ac:dyDescent="0.2">
      <c r="A397" s="30"/>
      <c r="B397" s="30"/>
      <c r="C397" s="30"/>
      <c r="D397" s="30"/>
    </row>
    <row r="398" spans="1:4" x14ac:dyDescent="0.2">
      <c r="A398" s="30"/>
      <c r="B398" s="30"/>
      <c r="C398" s="30"/>
      <c r="D398" s="30"/>
    </row>
    <row r="399" spans="1:4" x14ac:dyDescent="0.2">
      <c r="A399" s="30"/>
      <c r="B399" s="30"/>
      <c r="C399" s="30"/>
      <c r="D399" s="30"/>
    </row>
    <row r="400" spans="1:4" x14ac:dyDescent="0.2">
      <c r="A400" s="30"/>
      <c r="B400" s="30"/>
      <c r="C400" s="30"/>
      <c r="D400" s="30"/>
    </row>
    <row r="401" spans="1:4" x14ac:dyDescent="0.2">
      <c r="A401" s="30"/>
      <c r="B401" s="30"/>
      <c r="C401" s="30"/>
      <c r="D401" s="30"/>
    </row>
    <row r="402" spans="1:4" x14ac:dyDescent="0.2">
      <c r="A402" s="30"/>
      <c r="B402" s="30"/>
      <c r="C402" s="30"/>
      <c r="D402" s="30"/>
    </row>
    <row r="403" spans="1:4" x14ac:dyDescent="0.2">
      <c r="A403" s="30"/>
      <c r="B403" s="30"/>
      <c r="C403" s="30"/>
      <c r="D403" s="30"/>
    </row>
    <row r="404" spans="1:4" x14ac:dyDescent="0.2">
      <c r="A404" s="30"/>
      <c r="B404" s="30"/>
      <c r="C404" s="30"/>
      <c r="D404" s="30"/>
    </row>
    <row r="405" spans="1:4" x14ac:dyDescent="0.2">
      <c r="A405" s="30"/>
      <c r="B405" s="30"/>
      <c r="C405" s="30"/>
      <c r="D405" s="30"/>
    </row>
    <row r="406" spans="1:4" x14ac:dyDescent="0.2">
      <c r="A406" s="30"/>
      <c r="B406" s="30"/>
      <c r="C406" s="30"/>
      <c r="D406" s="30"/>
    </row>
    <row r="407" spans="1:4" x14ac:dyDescent="0.2">
      <c r="A407" s="30"/>
      <c r="B407" s="30"/>
      <c r="C407" s="30"/>
      <c r="D407" s="30"/>
    </row>
    <row r="408" spans="1:4" x14ac:dyDescent="0.2">
      <c r="A408" s="30"/>
      <c r="B408" s="30"/>
      <c r="C408" s="30"/>
      <c r="D408" s="30"/>
    </row>
    <row r="409" spans="1:4" x14ac:dyDescent="0.2">
      <c r="A409" s="30"/>
      <c r="B409" s="30"/>
      <c r="C409" s="30"/>
      <c r="D409" s="30"/>
    </row>
    <row r="410" spans="1:4" x14ac:dyDescent="0.2">
      <c r="A410" s="30"/>
      <c r="B410" s="30"/>
      <c r="C410" s="30"/>
      <c r="D410" s="30"/>
    </row>
    <row r="411" spans="1:4" x14ac:dyDescent="0.2">
      <c r="A411" s="30"/>
      <c r="B411" s="30"/>
      <c r="C411" s="30"/>
      <c r="D411" s="30"/>
    </row>
    <row r="412" spans="1:4" x14ac:dyDescent="0.2">
      <c r="A412" s="30"/>
      <c r="B412" s="30"/>
      <c r="C412" s="30"/>
      <c r="D412" s="30"/>
    </row>
    <row r="413" spans="1:4" x14ac:dyDescent="0.2">
      <c r="A413" s="30"/>
      <c r="B413" s="30"/>
      <c r="C413" s="30"/>
      <c r="D413" s="30"/>
    </row>
    <row r="414" spans="1:4" x14ac:dyDescent="0.2">
      <c r="A414" s="30"/>
      <c r="B414" s="30"/>
      <c r="C414" s="30"/>
      <c r="D414" s="30"/>
    </row>
    <row r="415" spans="1:4" x14ac:dyDescent="0.2">
      <c r="A415" s="30"/>
      <c r="B415" s="30"/>
      <c r="C415" s="30"/>
      <c r="D415" s="30"/>
    </row>
    <row r="416" spans="1:4" x14ac:dyDescent="0.2">
      <c r="A416" s="30"/>
      <c r="B416" s="30"/>
      <c r="C416" s="30"/>
      <c r="D416" s="30"/>
    </row>
    <row r="417" spans="1:4" x14ac:dyDescent="0.2">
      <c r="A417" s="30"/>
      <c r="B417" s="30"/>
      <c r="C417" s="30"/>
      <c r="D417" s="30"/>
    </row>
    <row r="418" spans="1:4" x14ac:dyDescent="0.2">
      <c r="A418" s="30"/>
      <c r="B418" s="30"/>
      <c r="C418" s="30"/>
      <c r="D418" s="30"/>
    </row>
    <row r="419" spans="1:4" x14ac:dyDescent="0.2">
      <c r="A419" s="30"/>
      <c r="B419" s="30"/>
      <c r="C419" s="30"/>
      <c r="D419" s="30"/>
    </row>
    <row r="420" spans="1:4" x14ac:dyDescent="0.2">
      <c r="A420" s="30"/>
      <c r="B420" s="30"/>
      <c r="C420" s="30"/>
      <c r="D420" s="30"/>
    </row>
    <row r="421" spans="1:4" x14ac:dyDescent="0.2">
      <c r="A421" s="30"/>
      <c r="B421" s="30"/>
      <c r="C421" s="30"/>
      <c r="D421" s="30"/>
    </row>
    <row r="422" spans="1:4" x14ac:dyDescent="0.2">
      <c r="A422" s="30"/>
      <c r="B422" s="30"/>
      <c r="C422" s="30"/>
      <c r="D422" s="30"/>
    </row>
    <row r="423" spans="1:4" x14ac:dyDescent="0.2">
      <c r="A423" s="30"/>
      <c r="B423" s="30"/>
      <c r="C423" s="30"/>
      <c r="D423" s="30"/>
    </row>
    <row r="424" spans="1:4" x14ac:dyDescent="0.2">
      <c r="A424" s="30"/>
      <c r="B424" s="30"/>
      <c r="C424" s="30"/>
      <c r="D42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9"/>
  </sheetPr>
  <dimension ref="A1:BK424"/>
  <sheetViews>
    <sheetView workbookViewId="0">
      <selection activeCell="T10" sqref="T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10.28515625" customWidth="1"/>
    <col min="5" max="5" width="10" customWidth="1"/>
    <col min="6" max="6" width="15.85546875" customWidth="1"/>
    <col min="7" max="7" width="12.28515625" customWidth="1"/>
    <col min="8" max="15" width="7.5703125" customWidth="1"/>
    <col min="16" max="16" width="9.85546875" customWidth="1"/>
  </cols>
  <sheetData>
    <row r="1" spans="1:25" ht="21" thickBot="1" x14ac:dyDescent="0.35">
      <c r="A1" s="1" t="s">
        <v>67</v>
      </c>
      <c r="B1" s="28"/>
      <c r="C1" s="27"/>
      <c r="X1" s="139" t="s">
        <v>13</v>
      </c>
      <c r="Y1" s="139" t="s">
        <v>214</v>
      </c>
    </row>
    <row r="2" spans="1:25" x14ac:dyDescent="0.2">
      <c r="A2" t="s">
        <v>25</v>
      </c>
      <c r="B2" t="s">
        <v>65</v>
      </c>
      <c r="D2" s="18" t="s">
        <v>209</v>
      </c>
      <c r="S2" t="s">
        <v>213</v>
      </c>
      <c r="T2">
        <f>U2*V2</f>
        <v>0.50478578961527998</v>
      </c>
      <c r="U2" s="21">
        <v>5.0478578961527996</v>
      </c>
      <c r="V2">
        <v>0.1</v>
      </c>
      <c r="X2">
        <v>-3000</v>
      </c>
      <c r="Y2" s="71">
        <f>T$2+T$3*SIN(RADIANS(T$4*X2+T$5))</f>
        <v>1.6514416014727917E-3</v>
      </c>
    </row>
    <row r="3" spans="1:25" ht="13.5" thickBot="1" x14ac:dyDescent="0.25">
      <c r="C3">
        <f>COUNT(C21:C950)</f>
        <v>83</v>
      </c>
      <c r="S3" t="s">
        <v>210</v>
      </c>
      <c r="T3">
        <f>U3*V3</f>
        <v>0.50488673887765068</v>
      </c>
      <c r="U3" s="22">
        <v>5.0488673887765065</v>
      </c>
      <c r="V3">
        <v>0.1</v>
      </c>
      <c r="X3">
        <v>-2000</v>
      </c>
      <c r="Y3" s="71">
        <f t="shared" ref="Y3:Y26" si="0">T$2+T$3*SIN(RADIANS(T$4*X3+T$5))</f>
        <v>5.8180100913396426E-4</v>
      </c>
    </row>
    <row r="4" spans="1:25" ht="14.25" thickTop="1" thickBot="1" x14ac:dyDescent="0.25">
      <c r="A4" s="7" t="s">
        <v>3</v>
      </c>
      <c r="C4" s="2">
        <v>41571.273000000001</v>
      </c>
      <c r="D4" s="3">
        <v>0.44625870000000001</v>
      </c>
      <c r="S4" t="s">
        <v>211</v>
      </c>
      <c r="T4">
        <f>U4*V4</f>
        <v>1.7950636318454943E-3</v>
      </c>
      <c r="U4" s="22">
        <v>1.7950636318454942</v>
      </c>
      <c r="V4">
        <v>1E-3</v>
      </c>
      <c r="X4">
        <v>-1000</v>
      </c>
      <c r="Y4" s="71">
        <f t="shared" si="0"/>
        <v>7.0236456873873365E-6</v>
      </c>
    </row>
    <row r="5" spans="1:25" ht="14.25" thickTop="1" thickBot="1" x14ac:dyDescent="0.25">
      <c r="A5" s="133" t="s">
        <v>202</v>
      </c>
      <c r="B5" s="25"/>
      <c r="C5" s="95">
        <v>8</v>
      </c>
      <c r="D5" s="25" t="s">
        <v>203</v>
      </c>
      <c r="S5" t="s">
        <v>212</v>
      </c>
      <c r="T5">
        <f>U5*V5</f>
        <v>270.61009790974333</v>
      </c>
      <c r="U5" s="23">
        <v>2.7061009790974331</v>
      </c>
      <c r="V5">
        <v>100</v>
      </c>
      <c r="X5">
        <v>0</v>
      </c>
      <c r="Y5" s="71">
        <f t="shared" si="0"/>
        <v>-7.2326359688235087E-5</v>
      </c>
    </row>
    <row r="6" spans="1:25" x14ac:dyDescent="0.2">
      <c r="A6" s="7" t="s">
        <v>4</v>
      </c>
      <c r="U6">
        <f>SUM(T22:T266)</f>
        <v>1.4818292019807313E-4</v>
      </c>
      <c r="X6">
        <v>1000</v>
      </c>
      <c r="Y6" s="71">
        <f t="shared" si="0"/>
        <v>3.438288729935568E-4</v>
      </c>
    </row>
    <row r="7" spans="1:25" x14ac:dyDescent="0.2">
      <c r="A7" t="s">
        <v>5</v>
      </c>
      <c r="C7">
        <v>46949.836000000003</v>
      </c>
      <c r="X7">
        <v>2000</v>
      </c>
      <c r="Y7" s="71">
        <f t="shared" si="0"/>
        <v>1.2550808980900108E-3</v>
      </c>
    </row>
    <row r="8" spans="1:25" x14ac:dyDescent="0.2">
      <c r="A8" t="s">
        <v>6</v>
      </c>
      <c r="C8">
        <v>0.47128629999999999</v>
      </c>
      <c r="S8" t="s">
        <v>215</v>
      </c>
      <c r="X8">
        <v>3000</v>
      </c>
      <c r="Y8" s="71">
        <f t="shared" si="0"/>
        <v>2.6605353452083813E-3</v>
      </c>
    </row>
    <row r="9" spans="1:25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S9" t="s">
        <v>216</v>
      </c>
      <c r="T9">
        <f>360/T4*C8</f>
        <v>94516.464480744005</v>
      </c>
      <c r="U9" t="s">
        <v>217</v>
      </c>
      <c r="X9">
        <v>4000</v>
      </c>
      <c r="Y9" s="71">
        <f t="shared" si="0"/>
        <v>4.5588127970064285E-3</v>
      </c>
    </row>
    <row r="10" spans="1:25" ht="13.5" thickBot="1" x14ac:dyDescent="0.25">
      <c r="C10" s="6" t="s">
        <v>22</v>
      </c>
      <c r="D10" s="6" t="s">
        <v>23</v>
      </c>
      <c r="T10">
        <f>T9/365.24</f>
        <v>258.77906166012485</v>
      </c>
      <c r="U10" t="s">
        <v>218</v>
      </c>
      <c r="X10">
        <v>5000</v>
      </c>
      <c r="Y10" s="71">
        <f t="shared" si="0"/>
        <v>6.9480501430561059E-3</v>
      </c>
    </row>
    <row r="11" spans="1:25" x14ac:dyDescent="0.2">
      <c r="A11" t="s">
        <v>18</v>
      </c>
      <c r="C11" s="37">
        <f ca="1">INTERCEPT(INDIRECT(E9):G975,INDIRECT(D9):$F975)</f>
        <v>-9.5956042339943273E-2</v>
      </c>
      <c r="D11" s="17">
        <f>+E11*F11</f>
        <v>-1.0706280517255703E-4</v>
      </c>
      <c r="E11" s="21">
        <v>-1.0706280517255703E-4</v>
      </c>
      <c r="F11" s="16">
        <v>1</v>
      </c>
      <c r="X11">
        <v>6000</v>
      </c>
      <c r="Y11" s="71">
        <f t="shared" si="0"/>
        <v>9.8259024084376145E-3</v>
      </c>
    </row>
    <row r="12" spans="1:25" x14ac:dyDescent="0.2">
      <c r="A12" t="s">
        <v>19</v>
      </c>
      <c r="C12" s="37">
        <f ca="1">SLOPE(INDIRECT(E9):G975,INDIRECT(D9):$F975)</f>
        <v>9.8260762043739764E-6</v>
      </c>
      <c r="D12" s="17">
        <f>+E12*F12</f>
        <v>2.7897541784342482E-7</v>
      </c>
      <c r="E12" s="22">
        <v>2.789754178434248E-3</v>
      </c>
      <c r="F12" s="16">
        <v>1E-4</v>
      </c>
      <c r="X12">
        <v>7000</v>
      </c>
      <c r="Y12" s="71">
        <f t="shared" si="0"/>
        <v>1.31895450552727E-2</v>
      </c>
    </row>
    <row r="13" spans="1:25" ht="13.5" thickBot="1" x14ac:dyDescent="0.25">
      <c r="A13" t="s">
        <v>21</v>
      </c>
      <c r="C13" s="5" t="s">
        <v>17</v>
      </c>
      <c r="D13" s="118">
        <f>+E13*F13</f>
        <v>2.3507233119082527E-10</v>
      </c>
      <c r="E13" s="23">
        <v>2.3507233119082527E-2</v>
      </c>
      <c r="F13" s="16">
        <v>1E-8</v>
      </c>
      <c r="X13">
        <v>8000</v>
      </c>
      <c r="Y13" s="71">
        <f t="shared" si="0"/>
        <v>1.7035676754934781E-2</v>
      </c>
    </row>
    <row r="14" spans="1:25" x14ac:dyDescent="0.2">
      <c r="A14" t="s">
        <v>24</v>
      </c>
      <c r="E14">
        <f>SUM(T21:T969)</f>
        <v>1.4818292019807313E-4</v>
      </c>
      <c r="X14">
        <v>9000</v>
      </c>
      <c r="Y14" s="71">
        <f t="shared" si="0"/>
        <v>2.1360522628219136E-2</v>
      </c>
    </row>
    <row r="15" spans="1:25" x14ac:dyDescent="0.2">
      <c r="A15" s="4" t="s">
        <v>20</v>
      </c>
      <c r="C15" s="31">
        <f ca="1">(C7+C11)+(C8+C12)*INT(MAX(F21:F3503))</f>
        <v>55737.527610774567</v>
      </c>
      <c r="D15" s="33">
        <f>+C7+INT(MAX(F21:F1558))*C8+D11+D12*INT(MAX(F21:F3993))+D13*INT(MAX(F21:F4020)^2)</f>
        <v>55737.527177272881</v>
      </c>
      <c r="E15" s="113" t="s">
        <v>167</v>
      </c>
      <c r="F15" s="95">
        <v>1</v>
      </c>
      <c r="X15">
        <v>10000</v>
      </c>
      <c r="Y15" s="71">
        <f t="shared" si="0"/>
        <v>2.6159837950288811E-2</v>
      </c>
    </row>
    <row r="16" spans="1:25" x14ac:dyDescent="0.2">
      <c r="A16" s="7" t="s">
        <v>7</v>
      </c>
      <c r="C16" s="32">
        <f ca="1">+C8+C12</f>
        <v>0.47129612607620436</v>
      </c>
      <c r="D16" s="112">
        <f>+C8+D12+2*D13*MAX(F21:F90)</f>
        <v>0.47129465982187485</v>
      </c>
      <c r="E16" s="113" t="s">
        <v>168</v>
      </c>
      <c r="F16" s="114">
        <f ca="1">NOW()+15018.5+$C$9/24</f>
        <v>60358.99939513889</v>
      </c>
      <c r="X16">
        <v>11000</v>
      </c>
      <c r="Y16" s="71">
        <f t="shared" si="0"/>
        <v>3.1428912316762869E-2</v>
      </c>
    </row>
    <row r="17" spans="1:63" ht="13.5" thickBot="1" x14ac:dyDescent="0.25">
      <c r="A17" s="37" t="s">
        <v>72</v>
      </c>
      <c r="C17">
        <f>COUNT(C21:C2161)</f>
        <v>83</v>
      </c>
      <c r="E17" s="113" t="s">
        <v>169</v>
      </c>
      <c r="F17" s="114">
        <f ca="1">ROUND(2*(F16-$C$7)/$C$8,0)/2+F15</f>
        <v>28453.5</v>
      </c>
      <c r="X17">
        <v>12000</v>
      </c>
      <c r="Y17" s="71">
        <f t="shared" si="0"/>
        <v>3.7162574266857429E-2</v>
      </c>
    </row>
    <row r="18" spans="1:63" ht="14.25" thickTop="1" thickBot="1" x14ac:dyDescent="0.25">
      <c r="A18" s="7" t="s">
        <v>172</v>
      </c>
      <c r="C18" s="34">
        <f ca="1">+C15</f>
        <v>55737.527610774567</v>
      </c>
      <c r="D18" s="35">
        <f ca="1">C16</f>
        <v>0.47129612607620436</v>
      </c>
      <c r="E18" s="113" t="s">
        <v>170</v>
      </c>
      <c r="F18" s="33">
        <f ca="1">ROUND(2*(F16-$C$15)/$C$16,0)/2+F15</f>
        <v>9807</v>
      </c>
      <c r="X18">
        <v>13000</v>
      </c>
      <c r="Y18" s="71">
        <f t="shared" si="0"/>
        <v>4.3355196359040338E-2</v>
      </c>
    </row>
    <row r="19" spans="1:63" ht="13.5" thickBot="1" x14ac:dyDescent="0.25">
      <c r="A19" s="7" t="s">
        <v>173</v>
      </c>
      <c r="C19" s="69">
        <f>+D15</f>
        <v>55737.527177272881</v>
      </c>
      <c r="D19" s="70">
        <f>+D16</f>
        <v>0.47129465982187485</v>
      </c>
      <c r="E19" s="113" t="s">
        <v>171</v>
      </c>
      <c r="F19" s="115">
        <f ca="1">+$C$15+$C$16*F18-15018.5-$C$9/24</f>
        <v>45337.112052537239</v>
      </c>
      <c r="X19">
        <v>14000</v>
      </c>
      <c r="Y19" s="71">
        <f t="shared" si="0"/>
        <v>5.0000700694221356E-2</v>
      </c>
    </row>
    <row r="20" spans="1:63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214</v>
      </c>
      <c r="Q20" s="6"/>
      <c r="R20" s="15" t="s">
        <v>28</v>
      </c>
      <c r="S20" s="15" t="s">
        <v>29</v>
      </c>
      <c r="T20" s="15" t="s">
        <v>30</v>
      </c>
      <c r="U20" s="138" t="s">
        <v>207</v>
      </c>
      <c r="V20" s="137"/>
      <c r="W20" s="62"/>
      <c r="X20">
        <v>15000</v>
      </c>
      <c r="Y20" s="71">
        <f t="shared" si="0"/>
        <v>5.7092564881052021E-2</v>
      </c>
    </row>
    <row r="21" spans="1:63" x14ac:dyDescent="0.2">
      <c r="A21" s="46" t="s">
        <v>15</v>
      </c>
      <c r="B21" s="47"/>
      <c r="C21" s="46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9">
        <v>-1.0841725001228042E-2</v>
      </c>
      <c r="H21" s="136">
        <f>+G21</f>
        <v>-1.0841725001228042E-2</v>
      </c>
      <c r="I21" s="9"/>
      <c r="J21" s="9"/>
      <c r="K21" s="9"/>
      <c r="L21" s="9"/>
      <c r="M21" s="25"/>
      <c r="N21" s="25"/>
      <c r="P21" s="11"/>
      <c r="Q21" s="26"/>
      <c r="R21" s="9"/>
      <c r="S21" s="13"/>
      <c r="T21" s="9"/>
      <c r="U21" s="25"/>
      <c r="V21" s="25"/>
      <c r="W21" s="33"/>
      <c r="X21">
        <v>16000</v>
      </c>
      <c r="Y21" s="71">
        <f t="shared" si="0"/>
        <v>6.462382843748643E-2</v>
      </c>
    </row>
    <row r="22" spans="1:63" x14ac:dyDescent="0.2">
      <c r="A22" s="44" t="s">
        <v>31</v>
      </c>
      <c r="B22" s="30"/>
      <c r="C22" s="56">
        <v>45882.375</v>
      </c>
      <c r="D22" s="48"/>
      <c r="E22">
        <f t="shared" si="1"/>
        <v>-2264.9947600853302</v>
      </c>
      <c r="F22" s="11">
        <f t="shared" si="2"/>
        <v>-2265</v>
      </c>
      <c r="G22" s="9">
        <v>1.1011500027962029E-3</v>
      </c>
      <c r="H22" s="9"/>
      <c r="I22" s="9">
        <f>G22</f>
        <v>1.1011500027962029E-3</v>
      </c>
      <c r="J22" s="9"/>
      <c r="K22" s="9"/>
      <c r="L22" s="9"/>
      <c r="M22" s="9"/>
      <c r="N22" s="25"/>
      <c r="P22" s="38">
        <f>T$2+T$3*SIN(RADIANS(T$4*F22+T$5))</f>
        <v>8.1709673988428211E-4</v>
      </c>
      <c r="Q22" s="10">
        <f t="shared" ref="Q22:Q53" si="3">C22-15018.5</f>
        <v>30863.875</v>
      </c>
      <c r="R22" s="9">
        <f t="shared" ref="R22:R53" si="4">(G22-P22)^2</f>
        <v>8.068625617090879E-8</v>
      </c>
      <c r="S22" s="13">
        <v>0.5</v>
      </c>
      <c r="T22" s="9">
        <f t="shared" ref="T22:T53" si="5">R22*S22</f>
        <v>4.0343128085454395E-8</v>
      </c>
      <c r="U22" s="71">
        <f t="shared" ref="U22:U53" si="6">+G22-P22</f>
        <v>2.8405326291192079E-4</v>
      </c>
      <c r="V22" s="25"/>
      <c r="W22" s="33"/>
      <c r="X22">
        <v>17000</v>
      </c>
      <c r="Y22" s="71">
        <f t="shared" si="0"/>
        <v>7.2587099622313578E-2</v>
      </c>
      <c r="BC22">
        <v>-2265</v>
      </c>
      <c r="BD22">
        <v>1.1011500027962029E-3</v>
      </c>
      <c r="BE22">
        <v>0.5</v>
      </c>
      <c r="BI22">
        <v>-2265</v>
      </c>
      <c r="BJ22">
        <v>1.1011500027962029E-3</v>
      </c>
      <c r="BK22">
        <v>0.5</v>
      </c>
    </row>
    <row r="23" spans="1:63" x14ac:dyDescent="0.2">
      <c r="A23" s="44" t="s">
        <v>32</v>
      </c>
      <c r="B23" s="30"/>
      <c r="C23" s="56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ref="P23:P86" si="7">T$2+T$3*SIN(RADIANS(T$4*F23+T$5))</f>
        <v>2.1464725308750765E-4</v>
      </c>
      <c r="Q23" s="10">
        <f t="shared" si="3"/>
        <v>31239.251799999998</v>
      </c>
      <c r="R23" s="9">
        <f t="shared" si="4"/>
        <v>2.9997278835268069E-6</v>
      </c>
      <c r="S23" s="13">
        <v>0.5</v>
      </c>
      <c r="T23" s="9">
        <f t="shared" si="5"/>
        <v>1.4998639417634035E-6</v>
      </c>
      <c r="U23" s="71">
        <f t="shared" si="6"/>
        <v>-1.731972252527969E-3</v>
      </c>
      <c r="V23" s="25"/>
      <c r="W23" s="33"/>
      <c r="X23">
        <v>18000</v>
      </c>
      <c r="Y23" s="71">
        <f t="shared" si="0"/>
        <v>8.0974562689962337E-2</v>
      </c>
      <c r="BC23">
        <v>-1468.5</v>
      </c>
      <c r="BD23">
        <v>-1.5173249994404614E-3</v>
      </c>
      <c r="BE23">
        <v>0.5</v>
      </c>
      <c r="BI23">
        <v>-1468.5</v>
      </c>
      <c r="BJ23">
        <v>-1.5173249994404614E-3</v>
      </c>
      <c r="BK23">
        <v>0.5</v>
      </c>
    </row>
    <row r="24" spans="1:63" x14ac:dyDescent="0.2">
      <c r="A24" s="122" t="s">
        <v>194</v>
      </c>
      <c r="B24" s="123" t="s">
        <v>17</v>
      </c>
      <c r="C24" s="122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N24">
        <f>G24</f>
        <v>1.7044999985955656E-3</v>
      </c>
      <c r="O24">
        <f ca="1">+C$11+C$12*F24</f>
        <v>-0.10298168682607067</v>
      </c>
      <c r="P24" s="38">
        <f t="shared" si="7"/>
        <v>-6.6081460530997838E-5</v>
      </c>
      <c r="Q24" s="10">
        <f t="shared" si="3"/>
        <v>31594.368000000002</v>
      </c>
      <c r="R24" s="9">
        <f t="shared" si="4"/>
        <v>3.1349587034027505E-6</v>
      </c>
      <c r="S24" s="11">
        <v>0.5</v>
      </c>
      <c r="T24" s="9">
        <f t="shared" si="5"/>
        <v>1.5674793517013752E-6</v>
      </c>
      <c r="U24" s="71">
        <f t="shared" si="6"/>
        <v>1.7705814591265634E-3</v>
      </c>
      <c r="V24" s="25"/>
      <c r="W24" s="33"/>
      <c r="X24">
        <v>19000</v>
      </c>
      <c r="Y24" s="71">
        <f t="shared" si="0"/>
        <v>8.9777985561453E-2</v>
      </c>
      <c r="BC24">
        <v>-715</v>
      </c>
      <c r="BD24">
        <v>1.7044999985955656E-3</v>
      </c>
      <c r="BE24">
        <v>0.5</v>
      </c>
      <c r="BI24">
        <v>-715</v>
      </c>
      <c r="BJ24">
        <v>1.7044999985955656E-3</v>
      </c>
      <c r="BK24">
        <v>0.5</v>
      </c>
    </row>
    <row r="25" spans="1:63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N25">
        <f>G25</f>
        <v>1.3190000026952475E-4</v>
      </c>
      <c r="O25">
        <f ca="1">+C$11+C$12*F25</f>
        <v>-0.10296203467366191</v>
      </c>
      <c r="P25" s="38">
        <f t="shared" si="7"/>
        <v>-6.6452264821714735E-5</v>
      </c>
      <c r="Q25" s="10">
        <f t="shared" si="3"/>
        <v>31595.309000000001</v>
      </c>
      <c r="R25" s="9">
        <f t="shared" si="4"/>
        <v>3.9343621066825341E-8</v>
      </c>
      <c r="S25" s="11">
        <v>0.5</v>
      </c>
      <c r="T25" s="9">
        <f t="shared" si="5"/>
        <v>1.967181053341267E-8</v>
      </c>
      <c r="U25" s="71">
        <f t="shared" si="6"/>
        <v>1.9835226509123949E-4</v>
      </c>
      <c r="V25" s="25"/>
      <c r="W25" s="33"/>
      <c r="X25">
        <v>20000</v>
      </c>
      <c r="Y25" s="71">
        <f t="shared" si="0"/>
        <v>9.8988727903972507E-2</v>
      </c>
      <c r="BC25">
        <v>-713</v>
      </c>
      <c r="BD25">
        <v>1.3190000026952475E-4</v>
      </c>
      <c r="BE25">
        <v>0.5</v>
      </c>
      <c r="BI25">
        <v>-713</v>
      </c>
      <c r="BJ25">
        <v>1.3190000026952475E-4</v>
      </c>
      <c r="BK25">
        <v>0.5</v>
      </c>
    </row>
    <row r="26" spans="1:63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N26">
        <f>G26</f>
        <v>-1.0000000038417056E-3</v>
      </c>
      <c r="O26">
        <f ca="1">+C$11+C$12*F26</f>
        <v>-9.5956042339943273E-2</v>
      </c>
      <c r="P26" s="38">
        <f t="shared" si="7"/>
        <v>-7.2326359688235087E-5</v>
      </c>
      <c r="Q26" s="10">
        <f t="shared" si="3"/>
        <v>31931.334999999999</v>
      </c>
      <c r="R26" s="9">
        <f t="shared" si="4"/>
        <v>8.6057839005697983E-7</v>
      </c>
      <c r="S26" s="11">
        <v>1</v>
      </c>
      <c r="T26" s="9">
        <f t="shared" si="5"/>
        <v>8.6057839005697983E-7</v>
      </c>
      <c r="U26" s="71">
        <f t="shared" si="6"/>
        <v>-9.2767364415347053E-4</v>
      </c>
      <c r="V26" s="25"/>
      <c r="W26" s="33"/>
      <c r="X26">
        <v>21000</v>
      </c>
      <c r="Y26" s="71">
        <f t="shared" si="0"/>
        <v>0.1085977496111365</v>
      </c>
      <c r="BC26">
        <v>0</v>
      </c>
      <c r="BD26">
        <v>-1.0000000038417056E-3</v>
      </c>
      <c r="BE26">
        <v>1</v>
      </c>
      <c r="BI26">
        <v>0</v>
      </c>
      <c r="BJ26">
        <v>-1.0000000038417056E-3</v>
      </c>
      <c r="BK26">
        <v>1</v>
      </c>
    </row>
    <row r="27" spans="1:63" x14ac:dyDescent="0.2">
      <c r="A27" s="44" t="s">
        <v>33</v>
      </c>
      <c r="B27" s="30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ref="I27:I41" si="8">G27</f>
        <v>-1.2365000293357298E-4</v>
      </c>
      <c r="J27" s="9"/>
      <c r="K27" s="9"/>
      <c r="L27" s="9"/>
      <c r="M27" s="9"/>
      <c r="N27" s="25"/>
      <c r="P27" s="38">
        <f t="shared" si="7"/>
        <v>-5.5797561565928966E-5</v>
      </c>
      <c r="Q27" s="10">
        <f t="shared" si="3"/>
        <v>31972.338799999998</v>
      </c>
      <c r="R27" s="9">
        <f t="shared" si="4"/>
        <v>4.6039537995495683E-9</v>
      </c>
      <c r="S27" s="11">
        <v>0.5</v>
      </c>
      <c r="T27" s="9">
        <f t="shared" si="5"/>
        <v>2.3019768997747841E-9</v>
      </c>
      <c r="U27" s="71">
        <f t="shared" si="6"/>
        <v>-6.7852441367644012E-5</v>
      </c>
      <c r="V27" s="25"/>
      <c r="BC27">
        <v>11493.5</v>
      </c>
      <c r="BD27">
        <v>3.4110949993191753E-2</v>
      </c>
      <c r="BE27">
        <v>1</v>
      </c>
      <c r="BI27">
        <v>10929</v>
      </c>
      <c r="BJ27">
        <v>3.3827300001576077E-2</v>
      </c>
      <c r="BK27">
        <v>0.5</v>
      </c>
    </row>
    <row r="28" spans="1:63" x14ac:dyDescent="0.2">
      <c r="A28" s="44" t="s">
        <v>33</v>
      </c>
      <c r="B28" s="30"/>
      <c r="C28" s="56">
        <v>47004.7431</v>
      </c>
      <c r="D28" s="48"/>
      <c r="E28" s="26">
        <f t="shared" si="1"/>
        <v>116.50476578673455</v>
      </c>
      <c r="F28" s="9">
        <f t="shared" si="2"/>
        <v>116.5</v>
      </c>
      <c r="G28" s="9">
        <v>1.2349250027909875E-3</v>
      </c>
      <c r="H28" s="9"/>
      <c r="I28" s="9">
        <f t="shared" si="8"/>
        <v>1.2349250027909875E-3</v>
      </c>
      <c r="J28" s="9"/>
      <c r="K28" s="9"/>
      <c r="L28" s="9"/>
      <c r="M28" s="9"/>
      <c r="N28" s="25"/>
      <c r="P28" s="38">
        <f t="shared" si="7"/>
        <v>-4.9341457084794982E-5</v>
      </c>
      <c r="Q28" s="10">
        <f t="shared" si="3"/>
        <v>31986.2431</v>
      </c>
      <c r="R28" s="9">
        <f t="shared" si="4"/>
        <v>1.6493403399618749E-6</v>
      </c>
      <c r="S28" s="11">
        <v>0.5</v>
      </c>
      <c r="T28" s="9">
        <f t="shared" si="5"/>
        <v>8.2467016998093744E-7</v>
      </c>
      <c r="U28" s="71">
        <f t="shared" si="6"/>
        <v>1.2842664598757825E-3</v>
      </c>
      <c r="V28" s="25"/>
      <c r="BC28">
        <v>12205</v>
      </c>
      <c r="BD28">
        <v>3.7376154534285888E-2</v>
      </c>
      <c r="BE28">
        <v>1</v>
      </c>
      <c r="BI28">
        <v>11493.5</v>
      </c>
      <c r="BJ28">
        <v>3.4110949993191753E-2</v>
      </c>
      <c r="BK28">
        <v>1</v>
      </c>
    </row>
    <row r="29" spans="1:63" x14ac:dyDescent="0.2">
      <c r="A29" s="44" t="s">
        <v>33</v>
      </c>
      <c r="B29" s="30"/>
      <c r="C29" s="56">
        <v>47309.898999999998</v>
      </c>
      <c r="D29" s="48"/>
      <c r="E29" s="26">
        <f t="shared" si="1"/>
        <v>764.00056611022785</v>
      </c>
      <c r="F29" s="9">
        <f t="shared" si="2"/>
        <v>764</v>
      </c>
      <c r="G29" s="9">
        <v>-6.472000022768043E-4</v>
      </c>
      <c r="H29" s="9"/>
      <c r="I29" s="9">
        <f t="shared" si="8"/>
        <v>-6.472000022768043E-4</v>
      </c>
      <c r="J29" s="9"/>
      <c r="K29" s="9"/>
      <c r="L29" s="9"/>
      <c r="M29" s="9"/>
      <c r="N29" s="25"/>
      <c r="P29" s="38">
        <f t="shared" si="7"/>
        <v>2.0095913736362103E-4</v>
      </c>
      <c r="Q29" s="10">
        <f t="shared" si="3"/>
        <v>32291.398999999998</v>
      </c>
      <c r="R29" s="9">
        <f t="shared" si="4"/>
        <v>7.1937392615558652E-7</v>
      </c>
      <c r="S29" s="11">
        <v>0.5</v>
      </c>
      <c r="T29" s="9">
        <f t="shared" si="5"/>
        <v>3.5968696307779326E-7</v>
      </c>
      <c r="U29" s="71">
        <f t="shared" si="6"/>
        <v>-8.4815913964042533E-4</v>
      </c>
      <c r="V29" s="25"/>
      <c r="BC29">
        <v>12289</v>
      </c>
      <c r="BD29">
        <v>3.7659299996448681E-2</v>
      </c>
      <c r="BE29">
        <v>0.5</v>
      </c>
      <c r="BI29">
        <v>12205</v>
      </c>
      <c r="BJ29">
        <v>3.7376154534285888E-2</v>
      </c>
      <c r="BK29">
        <v>1</v>
      </c>
    </row>
    <row r="30" spans="1:63" x14ac:dyDescent="0.2">
      <c r="A30" s="44" t="s">
        <v>44</v>
      </c>
      <c r="B30" s="30"/>
      <c r="C30" s="56">
        <v>47323.803</v>
      </c>
      <c r="D30" s="48"/>
      <c r="E30" s="26">
        <f t="shared" si="1"/>
        <v>793.50280286101452</v>
      </c>
      <c r="F30" s="9">
        <f t="shared" si="2"/>
        <v>793.5</v>
      </c>
      <c r="G30" s="9">
        <v>4.1137500375043601E-4</v>
      </c>
      <c r="H30" s="9"/>
      <c r="I30" s="9">
        <f t="shared" si="8"/>
        <v>4.1137500375043601E-4</v>
      </c>
      <c r="J30" s="9"/>
      <c r="K30" s="9"/>
      <c r="L30" s="9"/>
      <c r="M30" s="25"/>
      <c r="N30" s="25"/>
      <c r="P30" s="38">
        <f t="shared" si="7"/>
        <v>2.1730945343623187E-4</v>
      </c>
      <c r="Q30" s="10">
        <f t="shared" si="3"/>
        <v>32305.303</v>
      </c>
      <c r="R30" s="9">
        <f t="shared" si="4"/>
        <v>3.7661437818754897E-8</v>
      </c>
      <c r="S30" s="11">
        <v>0.5</v>
      </c>
      <c r="T30" s="9">
        <f t="shared" si="5"/>
        <v>1.8830718909377449E-8</v>
      </c>
      <c r="U30" s="71">
        <f t="shared" si="6"/>
        <v>1.9406555031420414E-4</v>
      </c>
      <c r="V30" s="25"/>
      <c r="BC30">
        <v>12330</v>
      </c>
      <c r="BD30">
        <v>3.8620999999693595E-2</v>
      </c>
      <c r="BE30">
        <v>1</v>
      </c>
      <c r="BI30">
        <v>12289</v>
      </c>
      <c r="BJ30">
        <v>3.7659299996448681E-2</v>
      </c>
      <c r="BK30">
        <v>0.5</v>
      </c>
    </row>
    <row r="31" spans="1:63" x14ac:dyDescent="0.2">
      <c r="A31" s="44" t="s">
        <v>33</v>
      </c>
      <c r="B31" s="30"/>
      <c r="C31" s="56">
        <v>47323.803099999997</v>
      </c>
      <c r="D31" s="48"/>
      <c r="E31" s="26">
        <f t="shared" si="1"/>
        <v>793.50301504625611</v>
      </c>
      <c r="F31" s="9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25"/>
      <c r="N31" s="25"/>
      <c r="P31" s="38">
        <f t="shared" si="7"/>
        <v>2.1730945343623187E-4</v>
      </c>
      <c r="Q31" s="10">
        <f t="shared" si="3"/>
        <v>32305.303099999997</v>
      </c>
      <c r="R31" s="9">
        <f t="shared" si="4"/>
        <v>8.6474546395851603E-8</v>
      </c>
      <c r="S31" s="11">
        <v>0.5</v>
      </c>
      <c r="T31" s="9">
        <f t="shared" si="5"/>
        <v>4.3237273197925801E-8</v>
      </c>
      <c r="U31" s="71">
        <f t="shared" si="6"/>
        <v>2.9406554778799165E-4</v>
      </c>
      <c r="V31" s="25"/>
      <c r="BC31">
        <v>12330</v>
      </c>
      <c r="BD31">
        <v>3.8720999997167382E-2</v>
      </c>
      <c r="BE31">
        <v>1</v>
      </c>
      <c r="BI31">
        <v>12313</v>
      </c>
      <c r="BJ31">
        <v>4.018809999251971E-2</v>
      </c>
      <c r="BK31">
        <v>1</v>
      </c>
    </row>
    <row r="32" spans="1:63" x14ac:dyDescent="0.2">
      <c r="A32" s="44" t="s">
        <v>44</v>
      </c>
      <c r="B32" s="30"/>
      <c r="C32" s="56">
        <v>47326.865599999997</v>
      </c>
      <c r="D32" s="48"/>
      <c r="E32" s="26">
        <f t="shared" si="1"/>
        <v>800.00118823737159</v>
      </c>
      <c r="F32" s="9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25"/>
      <c r="N32" s="25"/>
      <c r="P32" s="38">
        <f t="shared" si="7"/>
        <v>2.2097001153598139E-4</v>
      </c>
      <c r="Q32" s="10">
        <f t="shared" si="3"/>
        <v>32308.365599999997</v>
      </c>
      <c r="R32" s="9">
        <f t="shared" si="4"/>
        <v>3.2440999654638635E-7</v>
      </c>
      <c r="S32" s="11">
        <v>0.5</v>
      </c>
      <c r="T32" s="9">
        <f t="shared" si="5"/>
        <v>1.6220499827319317E-7</v>
      </c>
      <c r="U32" s="71">
        <f t="shared" si="6"/>
        <v>-5.6957001022384102E-4</v>
      </c>
      <c r="V32" s="25"/>
      <c r="BC32">
        <v>13086.5</v>
      </c>
      <c r="BD32">
        <v>4.1135049992590211E-2</v>
      </c>
      <c r="BE32">
        <v>0.5</v>
      </c>
      <c r="BI32">
        <v>12330</v>
      </c>
      <c r="BJ32">
        <v>3.8620999999693595E-2</v>
      </c>
      <c r="BK32">
        <v>1</v>
      </c>
    </row>
    <row r="33" spans="1:63" x14ac:dyDescent="0.2">
      <c r="A33" s="44" t="s">
        <v>33</v>
      </c>
      <c r="B33" s="30"/>
      <c r="C33" s="56">
        <v>47327.808700000001</v>
      </c>
      <c r="D33" s="48"/>
      <c r="E33">
        <f t="shared" si="1"/>
        <v>802.0023073023732</v>
      </c>
      <c r="F33" s="9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25"/>
      <c r="N33" s="25"/>
      <c r="P33" s="38">
        <f t="shared" si="7"/>
        <v>2.2210054680427138E-4</v>
      </c>
      <c r="Q33" s="10">
        <f t="shared" si="3"/>
        <v>32309.308700000001</v>
      </c>
      <c r="R33" s="9">
        <f t="shared" si="4"/>
        <v>1.8490467544176666E-9</v>
      </c>
      <c r="S33" s="11">
        <v>0.5</v>
      </c>
      <c r="T33" s="9">
        <f t="shared" si="5"/>
        <v>9.2452337720883328E-10</v>
      </c>
      <c r="U33" s="71">
        <f t="shared" si="6"/>
        <v>-4.3000543652582657E-5</v>
      </c>
      <c r="V33" s="25"/>
      <c r="BC33">
        <v>13146</v>
      </c>
      <c r="BD33">
        <v>4.5000199999776669E-2</v>
      </c>
      <c r="BE33">
        <v>1</v>
      </c>
      <c r="BI33">
        <v>12330</v>
      </c>
      <c r="BJ33">
        <v>3.8720999997167382E-2</v>
      </c>
      <c r="BK33">
        <v>1</v>
      </c>
    </row>
    <row r="34" spans="1:63" x14ac:dyDescent="0.2">
      <c r="A34" s="44" t="s">
        <v>44</v>
      </c>
      <c r="B34" s="30"/>
      <c r="C34" s="56">
        <v>47328.750699999997</v>
      </c>
      <c r="D34" s="48"/>
      <c r="E34">
        <f t="shared" si="1"/>
        <v>804.00109232963894</v>
      </c>
      <c r="F34" s="9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7"/>
        <v>2.2323306309968149E-4</v>
      </c>
      <c r="Q34" s="10">
        <f t="shared" si="3"/>
        <v>32310.250699999997</v>
      </c>
      <c r="R34" s="9">
        <f t="shared" si="4"/>
        <v>3.7998972572103739E-7</v>
      </c>
      <c r="S34" s="11">
        <v>0.5</v>
      </c>
      <c r="T34" s="9">
        <f t="shared" si="5"/>
        <v>1.899948628605187E-7</v>
      </c>
      <c r="U34" s="71">
        <f t="shared" si="6"/>
        <v>-6.1643306669989517E-4</v>
      </c>
      <c r="V34" s="25"/>
      <c r="BC34">
        <v>13159</v>
      </c>
      <c r="BD34">
        <v>4.3778300001577009E-2</v>
      </c>
      <c r="BE34">
        <v>0.5</v>
      </c>
      <c r="BI34">
        <v>13086.5</v>
      </c>
      <c r="BJ34">
        <v>4.1135049992590211E-2</v>
      </c>
      <c r="BK34">
        <v>0.5</v>
      </c>
    </row>
    <row r="35" spans="1:63" x14ac:dyDescent="0.2">
      <c r="A35" s="126" t="s">
        <v>45</v>
      </c>
      <c r="B35" s="30"/>
      <c r="C35" s="56">
        <v>47353.493699999999</v>
      </c>
      <c r="D35" s="48"/>
      <c r="E35" s="26">
        <f t="shared" si="1"/>
        <v>856.50208800891539</v>
      </c>
      <c r="F35" s="9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25"/>
      <c r="L35" s="9"/>
      <c r="M35" s="9"/>
      <c r="N35" s="25"/>
      <c r="P35" s="38">
        <f t="shared" si="7"/>
        <v>2.5367012743415795E-4</v>
      </c>
      <c r="Q35" s="10">
        <f t="shared" si="3"/>
        <v>32334.993699999999</v>
      </c>
      <c r="R35" s="9">
        <f t="shared" si="4"/>
        <v>2.8813408707898252E-8</v>
      </c>
      <c r="S35" s="11">
        <v>0.5</v>
      </c>
      <c r="T35" s="9">
        <f t="shared" si="5"/>
        <v>1.4406704353949126E-8</v>
      </c>
      <c r="U35" s="71">
        <f t="shared" si="6"/>
        <v>-1.6974512867207192E-4</v>
      </c>
      <c r="V35" s="25"/>
      <c r="W35" s="33"/>
      <c r="BC35">
        <v>13771</v>
      </c>
      <c r="BD35">
        <v>4.8062699999718461E-2</v>
      </c>
      <c r="BE35">
        <v>1</v>
      </c>
      <c r="BI35">
        <v>13146</v>
      </c>
      <c r="BJ35">
        <v>4.5000199999776669E-2</v>
      </c>
      <c r="BK35">
        <v>1</v>
      </c>
    </row>
    <row r="36" spans="1:63" x14ac:dyDescent="0.2">
      <c r="A36" s="126" t="s">
        <v>45</v>
      </c>
      <c r="B36" s="30"/>
      <c r="C36" s="56">
        <v>47365.5124</v>
      </c>
      <c r="D36" s="48"/>
      <c r="E36" s="26">
        <f t="shared" si="1"/>
        <v>882.00399629693595</v>
      </c>
      <c r="F36" s="9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7"/>
        <v>2.6894635156626823E-4</v>
      </c>
      <c r="Q36" s="10">
        <f t="shared" si="3"/>
        <v>32347.0124</v>
      </c>
      <c r="R36" s="9">
        <f t="shared" si="4"/>
        <v>5.1574466304908716E-7</v>
      </c>
      <c r="S36" s="11">
        <v>0.5</v>
      </c>
      <c r="T36" s="9">
        <f t="shared" si="5"/>
        <v>2.5787233152454358E-7</v>
      </c>
      <c r="U36" s="71">
        <f t="shared" si="6"/>
        <v>7.181536486359219E-4</v>
      </c>
      <c r="V36" s="25"/>
      <c r="W36" s="33"/>
      <c r="BC36">
        <v>13997</v>
      </c>
      <c r="BD36">
        <v>5.1138900002115406E-2</v>
      </c>
      <c r="BE36">
        <v>1</v>
      </c>
      <c r="BI36">
        <v>13159</v>
      </c>
      <c r="BJ36">
        <v>4.3778300001577009E-2</v>
      </c>
      <c r="BK36">
        <v>0.5</v>
      </c>
    </row>
    <row r="37" spans="1:63" x14ac:dyDescent="0.2">
      <c r="A37" s="126" t="s">
        <v>45</v>
      </c>
      <c r="B37" s="30"/>
      <c r="C37" s="56">
        <v>47366.455099999999</v>
      </c>
      <c r="D37" s="48"/>
      <c r="E37" s="26">
        <f t="shared" si="1"/>
        <v>884.00426662093992</v>
      </c>
      <c r="F37" s="9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7"/>
        <v>2.7015810521646699E-4</v>
      </c>
      <c r="Q37" s="10">
        <f t="shared" si="3"/>
        <v>32347.955099999999</v>
      </c>
      <c r="R37" s="9">
        <f t="shared" si="4"/>
        <v>7.1341992636023728E-7</v>
      </c>
      <c r="S37" s="11">
        <v>0.5</v>
      </c>
      <c r="T37" s="9">
        <f t="shared" si="5"/>
        <v>3.5670996318011864E-7</v>
      </c>
      <c r="U37" s="71">
        <f t="shared" si="6"/>
        <v>8.4464189237820619E-4</v>
      </c>
      <c r="V37" s="25"/>
      <c r="W37" s="33"/>
      <c r="BC37">
        <v>14501</v>
      </c>
      <c r="BD37">
        <v>5.2903699994203635E-2</v>
      </c>
      <c r="BE37">
        <v>1</v>
      </c>
      <c r="BI37">
        <v>13771</v>
      </c>
      <c r="BJ37">
        <v>4.8062699999718461E-2</v>
      </c>
      <c r="BK37">
        <v>1</v>
      </c>
    </row>
    <row r="38" spans="1:63" x14ac:dyDescent="0.2">
      <c r="A38" s="135" t="s">
        <v>45</v>
      </c>
      <c r="B38" s="30"/>
      <c r="C38" s="56">
        <v>47378.472999999998</v>
      </c>
      <c r="D38" s="48"/>
      <c r="E38">
        <f t="shared" si="1"/>
        <v>909.50447742698054</v>
      </c>
      <c r="F38" s="9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25"/>
      <c r="N38" s="25"/>
      <c r="P38" s="38">
        <f t="shared" si="7"/>
        <v>2.8578159548009463E-4</v>
      </c>
      <c r="Q38" s="10">
        <f t="shared" si="3"/>
        <v>32359.972999999998</v>
      </c>
      <c r="R38" s="9">
        <f t="shared" si="4"/>
        <v>8.6898453861396314E-7</v>
      </c>
      <c r="S38" s="11">
        <v>0.5</v>
      </c>
      <c r="T38" s="9">
        <f t="shared" si="5"/>
        <v>4.3449226930698157E-7</v>
      </c>
      <c r="U38" s="71">
        <f t="shared" si="6"/>
        <v>9.3219340193650968E-4</v>
      </c>
      <c r="V38" s="25"/>
      <c r="W38" s="33"/>
      <c r="BC38">
        <v>14572</v>
      </c>
      <c r="BD38">
        <v>5.3336399992986117E-2</v>
      </c>
      <c r="BE38">
        <v>1</v>
      </c>
      <c r="BI38">
        <v>13997</v>
      </c>
      <c r="BJ38">
        <v>5.1138900002115406E-2</v>
      </c>
      <c r="BK38">
        <v>1</v>
      </c>
    </row>
    <row r="39" spans="1:63" x14ac:dyDescent="0.2">
      <c r="A39" s="44" t="s">
        <v>33</v>
      </c>
      <c r="B39" s="30"/>
      <c r="C39" s="56">
        <v>47655.823299999996</v>
      </c>
      <c r="D39" s="48"/>
      <c r="E39" s="26">
        <f t="shared" si="1"/>
        <v>1498.0008966948401</v>
      </c>
      <c r="F39" s="9">
        <f t="shared" si="2"/>
        <v>1498</v>
      </c>
      <c r="G39" s="9">
        <v>-3.8130000029923394E-4</v>
      </c>
      <c r="H39" s="9"/>
      <c r="I39" s="9">
        <f t="shared" si="8"/>
        <v>-3.8130000029923394E-4</v>
      </c>
      <c r="J39" s="9"/>
      <c r="K39" s="9"/>
      <c r="L39" s="9"/>
      <c r="M39" s="25"/>
      <c r="N39" s="25"/>
      <c r="P39" s="38">
        <f t="shared" si="7"/>
        <v>7.3579071465124102E-4</v>
      </c>
      <c r="Q39" s="10">
        <f t="shared" si="3"/>
        <v>32637.323299999996</v>
      </c>
      <c r="R39" s="9">
        <f t="shared" si="4"/>
        <v>1.2478916654285634E-6</v>
      </c>
      <c r="S39" s="9">
        <v>0.5</v>
      </c>
      <c r="T39" s="9">
        <f t="shared" si="5"/>
        <v>6.239458327142817E-7</v>
      </c>
      <c r="U39" s="71">
        <f t="shared" si="6"/>
        <v>-1.117090714950475E-3</v>
      </c>
      <c r="V39" s="25"/>
      <c r="W39" s="33"/>
      <c r="BC39">
        <v>14640</v>
      </c>
      <c r="BD39">
        <v>5.2367999996931758E-2</v>
      </c>
      <c r="BE39">
        <v>0.5</v>
      </c>
      <c r="BI39">
        <v>14501</v>
      </c>
      <c r="BJ39">
        <v>5.2903699994203635E-2</v>
      </c>
      <c r="BK39">
        <v>1</v>
      </c>
    </row>
    <row r="40" spans="1:63" x14ac:dyDescent="0.2">
      <c r="A40" s="44" t="s">
        <v>33</v>
      </c>
      <c r="B40" s="30"/>
      <c r="C40" s="56">
        <v>47659.828399999999</v>
      </c>
      <c r="D40" s="48"/>
      <c r="E40" s="26">
        <f t="shared" si="1"/>
        <v>1506.4991280247177</v>
      </c>
      <c r="F40" s="9">
        <f t="shared" si="2"/>
        <v>1506.5</v>
      </c>
      <c r="G40" s="9">
        <v>-1.2135750002926216E-3</v>
      </c>
      <c r="H40" s="9"/>
      <c r="I40" s="9">
        <f t="shared" si="8"/>
        <v>-1.2135750002926216E-3</v>
      </c>
      <c r="J40" s="9"/>
      <c r="K40" s="9"/>
      <c r="L40" s="9"/>
      <c r="M40" s="9"/>
      <c r="N40" s="25"/>
      <c r="P40" s="38">
        <f t="shared" si="7"/>
        <v>7.4354613572202854E-4</v>
      </c>
      <c r="Q40" s="10">
        <f t="shared" si="3"/>
        <v>32641.328399999999</v>
      </c>
      <c r="R40" s="9">
        <f t="shared" si="4"/>
        <v>3.8303231410352742E-6</v>
      </c>
      <c r="S40" s="9">
        <v>0.5</v>
      </c>
      <c r="T40" s="9">
        <f t="shared" si="5"/>
        <v>1.9151615705176371E-6</v>
      </c>
      <c r="U40" s="71">
        <f t="shared" si="6"/>
        <v>-1.9571211360146501E-3</v>
      </c>
      <c r="V40" s="25"/>
      <c r="W40" s="33"/>
      <c r="BC40">
        <v>14659</v>
      </c>
      <c r="BD40">
        <v>5.4728299997805152E-2</v>
      </c>
      <c r="BE40">
        <v>1</v>
      </c>
      <c r="BI40">
        <v>14572</v>
      </c>
      <c r="BJ40">
        <v>5.3336399992986117E-2</v>
      </c>
      <c r="BK40">
        <v>1</v>
      </c>
    </row>
    <row r="41" spans="1:63" x14ac:dyDescent="0.2">
      <c r="A41" s="127" t="s">
        <v>33</v>
      </c>
      <c r="B41" s="30"/>
      <c r="C41" s="120">
        <v>47695.88336</v>
      </c>
      <c r="D41" s="48"/>
      <c r="E41" s="26">
        <f t="shared" si="1"/>
        <v>1583.0024339769623</v>
      </c>
      <c r="F41" s="9">
        <f t="shared" si="2"/>
        <v>1583</v>
      </c>
      <c r="G41" s="9">
        <v>3.559500037226826E-4</v>
      </c>
      <c r="H41" s="9"/>
      <c r="I41" s="9">
        <f t="shared" si="8"/>
        <v>3.559500037226826E-4</v>
      </c>
      <c r="J41" s="9"/>
      <c r="K41" s="9"/>
      <c r="L41" s="9"/>
      <c r="M41" s="9"/>
      <c r="N41" s="25"/>
      <c r="P41" s="38">
        <f t="shared" si="7"/>
        <v>8.1495339802362121E-4</v>
      </c>
      <c r="Q41" s="10">
        <f t="shared" si="3"/>
        <v>32677.38336</v>
      </c>
      <c r="R41" s="9">
        <f t="shared" si="4"/>
        <v>2.1068411597978292E-7</v>
      </c>
      <c r="S41" s="9">
        <v>0.5</v>
      </c>
      <c r="T41" s="9">
        <f t="shared" si="5"/>
        <v>1.0534205798989146E-7</v>
      </c>
      <c r="U41" s="71">
        <f t="shared" si="6"/>
        <v>-4.5900339430093862E-4</v>
      </c>
      <c r="V41" s="9"/>
      <c r="W41" s="29"/>
      <c r="BC41">
        <v>14746</v>
      </c>
      <c r="BD41">
        <v>5.1520199995138682E-2</v>
      </c>
      <c r="BE41">
        <v>1</v>
      </c>
      <c r="BI41">
        <v>14640</v>
      </c>
      <c r="BJ41">
        <v>5.2367999996931758E-2</v>
      </c>
      <c r="BK41">
        <v>0.5</v>
      </c>
    </row>
    <row r="42" spans="1:63" x14ac:dyDescent="0.2">
      <c r="A42" s="127" t="s">
        <v>43</v>
      </c>
      <c r="B42" s="30"/>
      <c r="C42" s="120">
        <v>49600.358</v>
      </c>
      <c r="D42" s="48"/>
      <c r="E42" s="26">
        <f t="shared" si="1"/>
        <v>5624.0166539956654</v>
      </c>
      <c r="F42" s="9">
        <f t="shared" si="2"/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 t="shared" si="7"/>
        <v>8.6866784884921389E-3</v>
      </c>
      <c r="Q42" s="10">
        <f t="shared" si="3"/>
        <v>34581.858</v>
      </c>
      <c r="R42" s="9">
        <f t="shared" si="4"/>
        <v>1.0462803965445751E-6</v>
      </c>
      <c r="S42" s="9">
        <v>1</v>
      </c>
      <c r="T42" s="9">
        <f t="shared" si="5"/>
        <v>1.0462803965445751E-6</v>
      </c>
      <c r="U42" s="71">
        <f t="shared" si="6"/>
        <v>-1.0228784857179152E-3</v>
      </c>
      <c r="V42" s="25"/>
      <c r="W42" s="33"/>
      <c r="BC42">
        <v>15455.5</v>
      </c>
      <c r="BD42">
        <v>5.9890349992201664E-2</v>
      </c>
      <c r="BE42">
        <v>1</v>
      </c>
      <c r="BI42">
        <v>14659</v>
      </c>
      <c r="BJ42">
        <v>5.4728299997805152E-2</v>
      </c>
      <c r="BK42">
        <v>1</v>
      </c>
    </row>
    <row r="43" spans="1:63" x14ac:dyDescent="0.2">
      <c r="A43" s="127" t="s">
        <v>43</v>
      </c>
      <c r="B43" s="30"/>
      <c r="C43" s="120">
        <v>49600.362000000001</v>
      </c>
      <c r="D43" s="48"/>
      <c r="E43" s="26">
        <f t="shared" si="1"/>
        <v>5624.0251414055492</v>
      </c>
      <c r="F43" s="9">
        <f t="shared" si="2"/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9"/>
      <c r="N43" s="25"/>
      <c r="P43" s="38">
        <f t="shared" si="7"/>
        <v>8.6866784884921389E-3</v>
      </c>
      <c r="Q43" s="10">
        <f t="shared" si="3"/>
        <v>34581.862000000001</v>
      </c>
      <c r="R43" s="9">
        <f t="shared" si="4"/>
        <v>8.8632525156534098E-6</v>
      </c>
      <c r="S43" s="9">
        <v>1</v>
      </c>
      <c r="T43" s="9">
        <f t="shared" si="5"/>
        <v>8.8632525156534098E-6</v>
      </c>
      <c r="U43" s="71">
        <f t="shared" si="6"/>
        <v>2.9771215150969921E-3</v>
      </c>
      <c r="V43" s="25"/>
      <c r="W43" s="33"/>
      <c r="BC43">
        <v>15469.5</v>
      </c>
      <c r="BD43">
        <v>6.0982150003837887E-2</v>
      </c>
      <c r="BE43">
        <v>0.5</v>
      </c>
      <c r="BI43">
        <v>14746</v>
      </c>
      <c r="BJ43">
        <v>5.1520199995138682E-2</v>
      </c>
      <c r="BK43">
        <v>1</v>
      </c>
    </row>
    <row r="44" spans="1:63" x14ac:dyDescent="0.2">
      <c r="A44" s="128" t="s">
        <v>58</v>
      </c>
      <c r="B44" s="30"/>
      <c r="C44" s="120">
        <v>50349.70938</v>
      </c>
      <c r="D44" s="48">
        <v>1.5E-3</v>
      </c>
      <c r="E44" s="26">
        <f t="shared" si="1"/>
        <v>7214.029730972441</v>
      </c>
      <c r="F44" s="9">
        <f t="shared" si="2"/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 t="shared" si="7"/>
        <v>1.3972160243660436E-2</v>
      </c>
      <c r="Q44" s="10">
        <f t="shared" si="3"/>
        <v>35331.20938</v>
      </c>
      <c r="R44" s="9">
        <f t="shared" si="4"/>
        <v>8.6750138454229171E-9</v>
      </c>
      <c r="S44" s="9">
        <v>0.5</v>
      </c>
      <c r="T44" s="9">
        <f t="shared" si="5"/>
        <v>4.3375069227114585E-9</v>
      </c>
      <c r="U44" s="71">
        <f t="shared" si="6"/>
        <v>9.3139754377080664E-5</v>
      </c>
      <c r="V44" s="25"/>
      <c r="W44" s="33"/>
      <c r="BC44">
        <v>16103</v>
      </c>
      <c r="BD44">
        <v>6.6711099992971867E-2</v>
      </c>
      <c r="BE44">
        <v>0.5</v>
      </c>
      <c r="BI44">
        <v>15455.5</v>
      </c>
      <c r="BJ44">
        <v>5.9890349992201664E-2</v>
      </c>
      <c r="BK44">
        <v>1</v>
      </c>
    </row>
    <row r="45" spans="1:63" x14ac:dyDescent="0.2">
      <c r="A45" s="44" t="s">
        <v>36</v>
      </c>
      <c r="B45" s="30"/>
      <c r="C45" s="56">
        <v>50948.484100000001</v>
      </c>
      <c r="D45" s="48"/>
      <c r="E45" s="26">
        <f t="shared" si="1"/>
        <v>8484.541349918296</v>
      </c>
      <c r="F45" s="9">
        <f t="shared" si="2"/>
        <v>8484.5</v>
      </c>
      <c r="G45" s="9">
        <v>1.9731724998564459E-2</v>
      </c>
      <c r="H45" s="9"/>
      <c r="I45" s="9"/>
      <c r="J45" s="9">
        <f>G45</f>
        <v>1.9731724998564459E-2</v>
      </c>
      <c r="K45" s="9"/>
      <c r="L45" s="26"/>
      <c r="M45" s="25"/>
      <c r="N45" s="25"/>
      <c r="P45" s="38">
        <f t="shared" si="7"/>
        <v>1.9071534161958892E-2</v>
      </c>
      <c r="Q45" s="10">
        <f t="shared" si="3"/>
        <v>35929.984100000001</v>
      </c>
      <c r="R45" s="9">
        <f t="shared" si="4"/>
        <v>4.3585194073795916E-7</v>
      </c>
      <c r="S45" s="9">
        <v>1</v>
      </c>
      <c r="T45" s="9">
        <f t="shared" si="5"/>
        <v>4.3585194073795916E-7</v>
      </c>
      <c r="U45" s="71">
        <f t="shared" si="6"/>
        <v>6.6019083660556754E-4</v>
      </c>
      <c r="V45" s="25"/>
      <c r="W45" s="33"/>
      <c r="BC45">
        <v>16483.5</v>
      </c>
      <c r="BD45">
        <v>6.8673950001539197E-2</v>
      </c>
      <c r="BE45">
        <v>1</v>
      </c>
      <c r="BI45">
        <v>15469.5</v>
      </c>
      <c r="BJ45">
        <v>6.0982150003837887E-2</v>
      </c>
      <c r="BK45">
        <v>0.5</v>
      </c>
    </row>
    <row r="46" spans="1:63" x14ac:dyDescent="0.2">
      <c r="A46" s="128" t="s">
        <v>58</v>
      </c>
      <c r="B46" s="30"/>
      <c r="C46" s="120">
        <v>51020.82574</v>
      </c>
      <c r="D46" s="48">
        <v>1E-3</v>
      </c>
      <c r="E46" s="26">
        <f t="shared" si="1"/>
        <v>8638.0396374772554</v>
      </c>
      <c r="F46" s="9">
        <f t="shared" si="2"/>
        <v>8638</v>
      </c>
      <c r="G46" s="9">
        <v>1.8947700002172496E-2</v>
      </c>
      <c r="H46" s="9"/>
      <c r="I46" s="9"/>
      <c r="J46" s="9"/>
      <c r="K46" s="26"/>
      <c r="L46" s="9">
        <f>G46</f>
        <v>1.8947700002172496E-2</v>
      </c>
      <c r="M46" s="26"/>
      <c r="N46" s="25"/>
      <c r="P46" s="38">
        <f t="shared" si="7"/>
        <v>1.9739905058934526E-2</v>
      </c>
      <c r="Q46" s="10">
        <f t="shared" si="3"/>
        <v>36002.32574</v>
      </c>
      <c r="R46" s="9">
        <f t="shared" si="4"/>
        <v>6.2758885195933081E-7</v>
      </c>
      <c r="S46" s="9">
        <v>0.5</v>
      </c>
      <c r="T46" s="9">
        <f t="shared" si="5"/>
        <v>3.1379442597966541E-7</v>
      </c>
      <c r="U46" s="71">
        <f t="shared" si="6"/>
        <v>-7.9220505676202979E-4</v>
      </c>
      <c r="V46" s="25"/>
      <c r="W46" s="33"/>
      <c r="BC46">
        <v>16864.5</v>
      </c>
      <c r="BD46">
        <v>6.9993650002288632E-2</v>
      </c>
      <c r="BE46">
        <v>1</v>
      </c>
      <c r="BI46">
        <v>16103</v>
      </c>
      <c r="BJ46">
        <v>6.6711099992971867E-2</v>
      </c>
      <c r="BK46">
        <v>0.5</v>
      </c>
    </row>
    <row r="47" spans="1:63" x14ac:dyDescent="0.2">
      <c r="A47" s="127" t="s">
        <v>37</v>
      </c>
      <c r="B47" s="30"/>
      <c r="C47" s="120">
        <v>51273.910499999998</v>
      </c>
      <c r="D47" s="48"/>
      <c r="E47" s="26">
        <f t="shared" si="1"/>
        <v>9175.0481607464408</v>
      </c>
      <c r="F47" s="9">
        <f t="shared" si="2"/>
        <v>9175</v>
      </c>
      <c r="G47" s="9">
        <v>2.3045149995596148E-2</v>
      </c>
      <c r="H47" s="9"/>
      <c r="I47" s="9"/>
      <c r="J47" s="9"/>
      <c r="K47" s="25"/>
      <c r="L47" s="9">
        <f>G47</f>
        <v>2.3045149995596148E-2</v>
      </c>
      <c r="M47" s="26"/>
      <c r="N47" s="9"/>
      <c r="P47" s="38">
        <f t="shared" si="7"/>
        <v>2.2166279243158393E-2</v>
      </c>
      <c r="Q47" s="10">
        <f t="shared" si="3"/>
        <v>36255.410499999998</v>
      </c>
      <c r="R47" s="9">
        <f t="shared" si="4"/>
        <v>7.7241379949050533E-7</v>
      </c>
      <c r="S47" s="9">
        <v>1</v>
      </c>
      <c r="T47" s="9">
        <f t="shared" si="5"/>
        <v>7.7241379949050533E-7</v>
      </c>
      <c r="U47" s="71">
        <f t="shared" si="6"/>
        <v>8.7887075243775481E-4</v>
      </c>
      <c r="V47" s="25"/>
      <c r="W47" s="33"/>
      <c r="BC47">
        <v>16887</v>
      </c>
      <c r="BD47">
        <v>7.0951899993815459E-2</v>
      </c>
      <c r="BE47">
        <v>1</v>
      </c>
      <c r="BI47">
        <v>16483.5</v>
      </c>
      <c r="BJ47">
        <v>6.8673950001539197E-2</v>
      </c>
      <c r="BK47">
        <v>1</v>
      </c>
    </row>
    <row r="48" spans="1:63" x14ac:dyDescent="0.2">
      <c r="A48" s="127" t="s">
        <v>37</v>
      </c>
      <c r="B48" s="30"/>
      <c r="C48" s="120">
        <v>51282.864200000004</v>
      </c>
      <c r="D48" s="48"/>
      <c r="E48" s="26">
        <f t="shared" si="1"/>
        <v>9194.0465912121799</v>
      </c>
      <c r="F48" s="9">
        <f t="shared" si="2"/>
        <v>9194</v>
      </c>
      <c r="G48" s="9">
        <v>2.2308300001895986E-2</v>
      </c>
      <c r="H48" s="9"/>
      <c r="I48" s="9"/>
      <c r="J48" s="9"/>
      <c r="K48" s="25"/>
      <c r="L48" s="9">
        <f>G48</f>
        <v>2.2308300001895986E-2</v>
      </c>
      <c r="M48" s="26"/>
      <c r="N48" s="9"/>
      <c r="P48" s="38">
        <f t="shared" si="7"/>
        <v>2.2254634886075597E-2</v>
      </c>
      <c r="Q48" s="10">
        <f t="shared" si="3"/>
        <v>36264.364200000004</v>
      </c>
      <c r="R48" s="9">
        <f t="shared" si="4"/>
        <v>2.8799446560158035E-9</v>
      </c>
      <c r="S48" s="9">
        <v>1</v>
      </c>
      <c r="T48" s="9">
        <f t="shared" si="5"/>
        <v>2.8799446560158035E-9</v>
      </c>
      <c r="U48" s="71">
        <f t="shared" si="6"/>
        <v>5.3665115820389353E-5</v>
      </c>
      <c r="V48" s="25"/>
      <c r="W48" s="33"/>
      <c r="BC48">
        <v>16902.5</v>
      </c>
      <c r="BD48">
        <v>7.3814249997667503E-2</v>
      </c>
      <c r="BE48">
        <v>1</v>
      </c>
      <c r="BI48">
        <v>16864.5</v>
      </c>
      <c r="BJ48">
        <v>6.9993650002288632E-2</v>
      </c>
      <c r="BK48">
        <v>1</v>
      </c>
    </row>
    <row r="49" spans="1:63" x14ac:dyDescent="0.2">
      <c r="A49" s="40" t="s">
        <v>42</v>
      </c>
      <c r="B49" s="30" t="s">
        <v>64</v>
      </c>
      <c r="C49" s="46">
        <v>51285.692000000003</v>
      </c>
      <c r="D49" s="48">
        <v>4.0000000000000002E-4</v>
      </c>
      <c r="E49" s="40">
        <f t="shared" si="1"/>
        <v>9200.0467656284509</v>
      </c>
      <c r="F49" s="44">
        <f t="shared" si="2"/>
        <v>9200</v>
      </c>
      <c r="G49" s="44">
        <v>2.2391400001652073E-2</v>
      </c>
      <c r="H49" s="40"/>
      <c r="I49" s="26"/>
      <c r="J49" s="26"/>
      <c r="K49" s="26"/>
      <c r="L49" s="26"/>
      <c r="M49" s="26"/>
      <c r="N49">
        <f>G49</f>
        <v>2.2391400001652073E-2</v>
      </c>
      <c r="P49" s="38">
        <f t="shared" si="7"/>
        <v>2.2282572191831551E-2</v>
      </c>
      <c r="Q49" s="10">
        <f t="shared" si="3"/>
        <v>36267.192000000003</v>
      </c>
      <c r="R49" s="9">
        <f t="shared" si="4"/>
        <v>1.18434921903317E-8</v>
      </c>
      <c r="S49" s="9">
        <v>1</v>
      </c>
      <c r="T49" s="9">
        <f t="shared" si="5"/>
        <v>1.18434921903317E-8</v>
      </c>
      <c r="U49" s="71">
        <f t="shared" si="6"/>
        <v>1.0882780982052198E-4</v>
      </c>
      <c r="V49" s="25"/>
      <c r="W49" s="33"/>
      <c r="BC49">
        <v>16946.5</v>
      </c>
      <c r="BD49">
        <v>7.0517050000489689E-2</v>
      </c>
      <c r="BE49">
        <v>1</v>
      </c>
      <c r="BI49">
        <v>16887</v>
      </c>
      <c r="BJ49">
        <v>7.0951899993815459E-2</v>
      </c>
      <c r="BK49">
        <v>1</v>
      </c>
    </row>
    <row r="50" spans="1:63" x14ac:dyDescent="0.2">
      <c r="A50" s="40" t="s">
        <v>42</v>
      </c>
      <c r="B50" s="30" t="s">
        <v>60</v>
      </c>
      <c r="C50" s="46">
        <v>51305.722000000002</v>
      </c>
      <c r="D50" s="48">
        <v>8.0000000000000004E-4</v>
      </c>
      <c r="E50" s="40">
        <f t="shared" si="1"/>
        <v>9242.5474706139321</v>
      </c>
      <c r="F50" s="44">
        <f t="shared" si="2"/>
        <v>9242.5</v>
      </c>
      <c r="G50" s="44">
        <v>2.2730025004420895E-2</v>
      </c>
      <c r="H50" s="40"/>
      <c r="I50" s="26"/>
      <c r="J50" s="26"/>
      <c r="K50" s="26"/>
      <c r="L50" s="26"/>
      <c r="M50" s="26"/>
      <c r="N50">
        <f>G50</f>
        <v>2.2730025004420895E-2</v>
      </c>
      <c r="P50" s="38">
        <f t="shared" si="7"/>
        <v>2.2480949490864155E-2</v>
      </c>
      <c r="Q50" s="10">
        <f t="shared" si="3"/>
        <v>36287.222000000002</v>
      </c>
      <c r="R50" s="9">
        <f t="shared" si="4"/>
        <v>6.2038611453553859E-8</v>
      </c>
      <c r="S50" s="9">
        <v>1</v>
      </c>
      <c r="T50" s="9">
        <f t="shared" si="5"/>
        <v>6.2038611453553859E-8</v>
      </c>
      <c r="U50" s="71">
        <f t="shared" si="6"/>
        <v>2.4907551355674018E-4</v>
      </c>
      <c r="V50" s="25"/>
      <c r="W50" s="33"/>
      <c r="BC50">
        <v>16950.5</v>
      </c>
      <c r="BD50">
        <v>7.0871849995455705E-2</v>
      </c>
      <c r="BE50">
        <v>1</v>
      </c>
      <c r="BI50">
        <v>16902.5</v>
      </c>
      <c r="BJ50">
        <v>7.3814249997667503E-2</v>
      </c>
      <c r="BK50">
        <v>1</v>
      </c>
    </row>
    <row r="51" spans="1:63" x14ac:dyDescent="0.2">
      <c r="A51" s="44" t="s">
        <v>37</v>
      </c>
      <c r="B51" s="30"/>
      <c r="C51" s="56">
        <v>51308.784699999997</v>
      </c>
      <c r="D51" s="48"/>
      <c r="E51" s="40">
        <f t="shared" si="1"/>
        <v>9249.0460681755303</v>
      </c>
      <c r="F51" s="44">
        <f t="shared" si="2"/>
        <v>9249</v>
      </c>
      <c r="G51" s="44">
        <v>2.2070049999456387E-2</v>
      </c>
      <c r="H51" s="44"/>
      <c r="I51" s="9"/>
      <c r="J51" s="9"/>
      <c r="K51" s="9"/>
      <c r="L51" s="9">
        <f>G51</f>
        <v>2.2070049999456387E-2</v>
      </c>
      <c r="M51" s="26"/>
      <c r="N51" s="25"/>
      <c r="P51" s="38">
        <f t="shared" si="7"/>
        <v>2.2511364947431556E-2</v>
      </c>
      <c r="Q51" s="10">
        <f t="shared" si="3"/>
        <v>36290.284699999997</v>
      </c>
      <c r="R51" s="9">
        <f t="shared" si="4"/>
        <v>1.9475888330632595E-7</v>
      </c>
      <c r="S51" s="9">
        <v>1</v>
      </c>
      <c r="T51" s="9">
        <f t="shared" si="5"/>
        <v>1.9475888330632595E-7</v>
      </c>
      <c r="U51" s="71">
        <f t="shared" si="6"/>
        <v>-4.4131494797516879E-4</v>
      </c>
      <c r="V51" s="25"/>
      <c r="W51" s="33"/>
      <c r="BC51">
        <v>16959</v>
      </c>
      <c r="BD51">
        <v>7.1538299998792354E-2</v>
      </c>
      <c r="BE51">
        <v>1</v>
      </c>
      <c r="BI51">
        <v>16946.5</v>
      </c>
      <c r="BJ51">
        <v>7.0517050000489689E-2</v>
      </c>
      <c r="BK51">
        <v>1</v>
      </c>
    </row>
    <row r="52" spans="1:63" x14ac:dyDescent="0.2">
      <c r="A52" s="46" t="s">
        <v>80</v>
      </c>
      <c r="B52" s="47" t="s">
        <v>60</v>
      </c>
      <c r="C52" s="46">
        <v>51663.4257</v>
      </c>
      <c r="D52" s="48" t="s">
        <v>81</v>
      </c>
      <c r="E52" s="40">
        <f t="shared" si="1"/>
        <v>10001.541950190356</v>
      </c>
      <c r="F52" s="44">
        <f t="shared" si="2"/>
        <v>10001.5</v>
      </c>
      <c r="G52" s="40">
        <f>C52-(C$7+F52*C$8)</f>
        <v>1.9770549995882902E-2</v>
      </c>
      <c r="H52" s="40"/>
      <c r="I52" s="26"/>
      <c r="J52" s="26"/>
      <c r="K52" s="26"/>
      <c r="L52" s="26"/>
      <c r="M52" s="26"/>
      <c r="N52">
        <f>G52</f>
        <v>1.9770549995882902E-2</v>
      </c>
      <c r="O52">
        <f ca="1">+C$11+C$12*F52</f>
        <v>2.319458818103054E-3</v>
      </c>
      <c r="P52" s="38">
        <f t="shared" si="7"/>
        <v>2.61673910065503E-2</v>
      </c>
      <c r="Q52" s="10">
        <f t="shared" si="3"/>
        <v>36644.9257</v>
      </c>
      <c r="R52" s="9">
        <f t="shared" si="4"/>
        <v>4.0919574915756297E-5</v>
      </c>
      <c r="S52" s="9">
        <v>0.5</v>
      </c>
      <c r="T52" s="9">
        <f t="shared" si="5"/>
        <v>2.0459787457878149E-5</v>
      </c>
      <c r="U52" s="71">
        <f t="shared" si="6"/>
        <v>-6.3968410106673979E-3</v>
      </c>
      <c r="V52" s="25"/>
      <c r="W52" s="33"/>
      <c r="BC52">
        <v>16995</v>
      </c>
      <c r="BD52">
        <v>7.1431500000471715E-2</v>
      </c>
      <c r="BE52">
        <v>1</v>
      </c>
      <c r="BI52">
        <v>16950.5</v>
      </c>
      <c r="BJ52">
        <v>7.0871849995455705E-2</v>
      </c>
      <c r="BK52">
        <v>1</v>
      </c>
    </row>
    <row r="53" spans="1:63" x14ac:dyDescent="0.2">
      <c r="A53" s="44" t="s">
        <v>38</v>
      </c>
      <c r="B53" s="30"/>
      <c r="C53" s="56">
        <v>51676.862849061843</v>
      </c>
      <c r="D53" s="48"/>
      <c r="E53" s="40">
        <f t="shared" ref="E53:E84" si="9">(C53-C$7)/C$8</f>
        <v>10030.053598124623</v>
      </c>
      <c r="F53" s="44">
        <f t="shared" ref="F53:F84" si="10">ROUND(2*E53,0)/2</f>
        <v>10030</v>
      </c>
      <c r="G53" s="44">
        <v>2.5735961840837263E-2</v>
      </c>
      <c r="H53" s="44"/>
      <c r="I53" s="9"/>
      <c r="J53" s="9"/>
      <c r="K53" s="9"/>
      <c r="L53" s="9">
        <f>G53</f>
        <v>2.5735961840837263E-2</v>
      </c>
      <c r="M53" s="26"/>
      <c r="N53" s="25"/>
      <c r="P53" s="38">
        <f t="shared" si="7"/>
        <v>2.6311099891736911E-2</v>
      </c>
      <c r="Q53" s="10">
        <f t="shared" si="3"/>
        <v>36658.362849061843</v>
      </c>
      <c r="R53" s="9">
        <f t="shared" si="4"/>
        <v>3.307837775926466E-7</v>
      </c>
      <c r="S53" s="9">
        <v>1</v>
      </c>
      <c r="T53" s="9">
        <f t="shared" si="5"/>
        <v>3.307837775926466E-7</v>
      </c>
      <c r="U53" s="71">
        <f t="shared" si="6"/>
        <v>-5.7513805089964842E-4</v>
      </c>
      <c r="V53" s="25"/>
      <c r="W53" s="33"/>
      <c r="BC53">
        <v>17042.5</v>
      </c>
      <c r="BD53">
        <v>7.3532249996787868E-2</v>
      </c>
      <c r="BE53">
        <v>1</v>
      </c>
      <c r="BI53">
        <v>16959</v>
      </c>
      <c r="BJ53">
        <v>7.1538299998792354E-2</v>
      </c>
      <c r="BK53">
        <v>1</v>
      </c>
    </row>
    <row r="54" spans="1:63" x14ac:dyDescent="0.2">
      <c r="A54" s="131" t="s">
        <v>201</v>
      </c>
      <c r="B54" s="60" t="s">
        <v>64</v>
      </c>
      <c r="C54" s="132">
        <v>51704.671699999999</v>
      </c>
      <c r="D54" s="59">
        <v>4.0000000000000002E-4</v>
      </c>
      <c r="E54" s="40">
        <f t="shared" si="9"/>
        <v>10089.059877191414</v>
      </c>
      <c r="F54" s="44">
        <f t="shared" si="10"/>
        <v>10089</v>
      </c>
      <c r="G54" s="40">
        <f>C54-(C$7+F54*C$8)</f>
        <v>2.8219299994816538E-2</v>
      </c>
      <c r="H54" s="40"/>
      <c r="I54" s="26"/>
      <c r="J54" s="26"/>
      <c r="K54" s="26"/>
      <c r="L54" s="26"/>
      <c r="M54" s="26"/>
      <c r="N54">
        <f>G54</f>
        <v>2.8219299994816538E-2</v>
      </c>
      <c r="O54">
        <f ca="1">+C$11+C$12*F54</f>
        <v>3.1792404859857792E-3</v>
      </c>
      <c r="P54" s="38">
        <f t="shared" si="7"/>
        <v>2.6609814647319763E-2</v>
      </c>
      <c r="Q54" s="10">
        <f t="shared" ref="Q54:Q85" si="11">C54-15018.5</f>
        <v>36686.171699999999</v>
      </c>
      <c r="R54" s="9">
        <f t="shared" ref="R54:R85" si="12">(G54-P54)^2</f>
        <v>2.5904430838068153E-6</v>
      </c>
      <c r="S54" s="9">
        <v>1</v>
      </c>
      <c r="T54" s="9">
        <f t="shared" ref="T54:T85" si="13">R54*S54</f>
        <v>2.5904430838068153E-6</v>
      </c>
      <c r="U54" s="71">
        <f t="shared" ref="U54:U85" si="14">+G54-P54</f>
        <v>1.6094853474967752E-3</v>
      </c>
      <c r="V54" s="25"/>
      <c r="W54" s="33"/>
      <c r="BC54">
        <v>17044.5</v>
      </c>
      <c r="BD54">
        <v>7.3459649996948428E-2</v>
      </c>
      <c r="BE54">
        <v>1</v>
      </c>
      <c r="BI54">
        <v>16995</v>
      </c>
      <c r="BJ54">
        <v>7.1431500000471715E-2</v>
      </c>
      <c r="BK54">
        <v>1</v>
      </c>
    </row>
    <row r="55" spans="1:63" x14ac:dyDescent="0.2">
      <c r="A55" s="45" t="s">
        <v>41</v>
      </c>
      <c r="B55" s="30"/>
      <c r="C55" s="56">
        <v>51983.912900000003</v>
      </c>
      <c r="D55" s="48">
        <v>2.0000000000000001E-4</v>
      </c>
      <c r="E55" s="40">
        <f t="shared" si="9"/>
        <v>10681.568507295884</v>
      </c>
      <c r="F55" s="44">
        <f t="shared" si="10"/>
        <v>10681.5</v>
      </c>
      <c r="G55" s="44">
        <v>3.2860175000678282E-2</v>
      </c>
      <c r="H55" s="44"/>
      <c r="I55" s="9"/>
      <c r="J55" s="9"/>
      <c r="K55" s="9"/>
      <c r="L55" s="9">
        <f>G55</f>
        <v>3.2860175000678282E-2</v>
      </c>
      <c r="M55" s="26"/>
      <c r="N55" s="25"/>
      <c r="P55" s="38">
        <f t="shared" si="7"/>
        <v>2.9700035100598821E-2</v>
      </c>
      <c r="Q55" s="10">
        <f t="shared" si="11"/>
        <v>36965.412900000003</v>
      </c>
      <c r="R55" s="9">
        <f t="shared" si="12"/>
        <v>9.9864841880742296E-6</v>
      </c>
      <c r="S55" s="9">
        <v>1</v>
      </c>
      <c r="T55" s="9">
        <f t="shared" si="13"/>
        <v>9.9864841880742296E-6</v>
      </c>
      <c r="U55" s="71">
        <f t="shared" si="14"/>
        <v>3.1601399000794617E-3</v>
      </c>
      <c r="V55" s="9"/>
      <c r="W55" s="29"/>
      <c r="BC55">
        <v>17078.5</v>
      </c>
      <c r="BD55">
        <v>7.7425449999282137E-2</v>
      </c>
      <c r="BE55">
        <v>1</v>
      </c>
      <c r="BI55">
        <v>17042.5</v>
      </c>
      <c r="BJ55">
        <v>7.3532249996787868E-2</v>
      </c>
      <c r="BK55">
        <v>1</v>
      </c>
    </row>
    <row r="56" spans="1:63" x14ac:dyDescent="0.2">
      <c r="A56" s="46" t="s">
        <v>61</v>
      </c>
      <c r="B56" s="47" t="s">
        <v>60</v>
      </c>
      <c r="C56" s="46">
        <v>52032.453999999998</v>
      </c>
      <c r="D56" s="48">
        <v>6.9999999999999999E-4</v>
      </c>
      <c r="E56" s="40">
        <f t="shared" si="9"/>
        <v>10784.565560254976</v>
      </c>
      <c r="F56" s="44">
        <f t="shared" si="10"/>
        <v>10784.5</v>
      </c>
      <c r="G56" s="40">
        <f t="shared" ref="G56:G103" si="15">C56-(C$7+F56*C$8)</f>
        <v>3.0897649994585663E-2</v>
      </c>
      <c r="H56" s="40"/>
      <c r="I56" s="26"/>
      <c r="J56" s="26"/>
      <c r="K56" s="26">
        <f>G56</f>
        <v>3.0897649994585663E-2</v>
      </c>
      <c r="L56" s="26"/>
      <c r="M56" s="26"/>
      <c r="P56" s="38">
        <f t="shared" si="7"/>
        <v>3.0253971141876557E-2</v>
      </c>
      <c r="Q56" s="10">
        <f t="shared" si="11"/>
        <v>37013.953999999998</v>
      </c>
      <c r="R56" s="9">
        <f t="shared" si="12"/>
        <v>4.143224654249115E-7</v>
      </c>
      <c r="S56" s="9">
        <v>1</v>
      </c>
      <c r="T56" s="9">
        <f t="shared" si="13"/>
        <v>4.143224654249115E-7</v>
      </c>
      <c r="U56" s="71">
        <f t="shared" si="14"/>
        <v>6.4367885270910641E-4</v>
      </c>
      <c r="V56" s="9"/>
      <c r="W56" s="29"/>
      <c r="BC56">
        <v>17188</v>
      </c>
      <c r="BD56">
        <v>7.3755600002186839E-2</v>
      </c>
      <c r="BE56">
        <v>1</v>
      </c>
      <c r="BI56">
        <v>17044.5</v>
      </c>
      <c r="BJ56">
        <v>7.3459649996948428E-2</v>
      </c>
      <c r="BK56">
        <v>1</v>
      </c>
    </row>
    <row r="57" spans="1:63" x14ac:dyDescent="0.2">
      <c r="A57" s="40" t="s">
        <v>59</v>
      </c>
      <c r="B57" s="48"/>
      <c r="C57" s="46">
        <v>52100.557800000002</v>
      </c>
      <c r="D57" s="48">
        <v>1E-3</v>
      </c>
      <c r="E57" s="40">
        <f t="shared" si="9"/>
        <v>10929.071776540077</v>
      </c>
      <c r="F57" s="44">
        <f t="shared" si="10"/>
        <v>10929</v>
      </c>
      <c r="G57" s="40">
        <f t="shared" si="15"/>
        <v>3.3827300001576077E-2</v>
      </c>
      <c r="H57" s="40"/>
      <c r="I57" s="26"/>
      <c r="J57" s="26"/>
      <c r="K57" s="26"/>
      <c r="L57" s="26"/>
      <c r="M57" s="26"/>
      <c r="N57">
        <f>G57</f>
        <v>3.3827300001576077E-2</v>
      </c>
      <c r="P57" s="38">
        <f t="shared" si="7"/>
        <v>3.103942268194998E-2</v>
      </c>
      <c r="Q57" s="10">
        <f t="shared" si="11"/>
        <v>37082.057800000002</v>
      </c>
      <c r="R57" s="9">
        <f t="shared" si="12"/>
        <v>7.7722599492855937E-6</v>
      </c>
      <c r="S57" s="9">
        <v>0.5</v>
      </c>
      <c r="T57" s="9">
        <f t="shared" si="13"/>
        <v>3.8861299746427968E-6</v>
      </c>
      <c r="U57" s="71">
        <f t="shared" si="14"/>
        <v>2.7878773196260975E-3</v>
      </c>
      <c r="V57" s="9"/>
      <c r="W57" s="29"/>
      <c r="BC57">
        <v>17188</v>
      </c>
      <c r="BD57">
        <v>7.3855599999660626E-2</v>
      </c>
      <c r="BE57">
        <v>1</v>
      </c>
      <c r="BI57">
        <v>17078.5</v>
      </c>
      <c r="BJ57">
        <v>7.7425449999282137E-2</v>
      </c>
      <c r="BK57">
        <v>1</v>
      </c>
    </row>
    <row r="58" spans="1:63" x14ac:dyDescent="0.2">
      <c r="A58" s="40" t="s">
        <v>59</v>
      </c>
      <c r="B58" s="49" t="s">
        <v>60</v>
      </c>
      <c r="C58" s="46">
        <v>52366.599199999997</v>
      </c>
      <c r="D58" s="48">
        <v>2.9999999999999997E-4</v>
      </c>
      <c r="E58" s="40">
        <f t="shared" si="9"/>
        <v>11493.572378403518</v>
      </c>
      <c r="F58" s="44">
        <f t="shared" si="10"/>
        <v>11493.5</v>
      </c>
      <c r="G58" s="40">
        <f t="shared" si="15"/>
        <v>3.4110949993191753E-2</v>
      </c>
      <c r="H58" s="40"/>
      <c r="I58" s="26"/>
      <c r="J58" s="26"/>
      <c r="K58" s="26"/>
      <c r="L58" s="26"/>
      <c r="M58" s="26"/>
      <c r="N58">
        <f>G58</f>
        <v>3.4110949993191753E-2</v>
      </c>
      <c r="P58" s="38">
        <f t="shared" si="7"/>
        <v>3.4200750364739685E-2</v>
      </c>
      <c r="Q58" s="10">
        <f t="shared" si="11"/>
        <v>37348.099199999997</v>
      </c>
      <c r="R58" s="9">
        <f t="shared" si="12"/>
        <v>8.0641067301466896E-9</v>
      </c>
      <c r="S58" s="9">
        <v>1</v>
      </c>
      <c r="T58" s="9">
        <f t="shared" si="13"/>
        <v>8.0641067301466896E-9</v>
      </c>
      <c r="U58" s="71">
        <f t="shared" si="14"/>
        <v>-8.9800371547932301E-5</v>
      </c>
      <c r="V58" s="9"/>
      <c r="W58" s="29"/>
      <c r="BC58">
        <v>17188</v>
      </c>
      <c r="BD58">
        <v>7.4255600004107691E-2</v>
      </c>
      <c r="BE58">
        <v>1</v>
      </c>
      <c r="BI58">
        <v>17188</v>
      </c>
      <c r="BJ58">
        <v>7.3755600002186839E-2</v>
      </c>
      <c r="BK58">
        <v>1</v>
      </c>
    </row>
    <row r="59" spans="1:63" x14ac:dyDescent="0.2">
      <c r="A59" s="50" t="s">
        <v>57</v>
      </c>
      <c r="B59" s="30"/>
      <c r="C59" s="46">
        <v>52701.922667654537</v>
      </c>
      <c r="D59" s="48">
        <v>1E-4</v>
      </c>
      <c r="E59" s="40">
        <f t="shared" si="9"/>
        <v>12205.079306685839</v>
      </c>
      <c r="F59" s="44">
        <f t="shared" si="10"/>
        <v>12205</v>
      </c>
      <c r="G59" s="40">
        <f t="shared" si="15"/>
        <v>3.7376154534285888E-2</v>
      </c>
      <c r="H59" s="40"/>
      <c r="I59" s="26"/>
      <c r="J59" s="26"/>
      <c r="K59" s="26"/>
      <c r="L59" s="26">
        <f>G59</f>
        <v>3.7376154534285888E-2</v>
      </c>
      <c r="M59" s="26"/>
      <c r="P59" s="38">
        <f t="shared" si="7"/>
        <v>3.8394854636766229E-2</v>
      </c>
      <c r="Q59" s="10">
        <f t="shared" si="11"/>
        <v>37683.422667654537</v>
      </c>
      <c r="R59" s="9">
        <f t="shared" si="12"/>
        <v>1.0377498987934573E-6</v>
      </c>
      <c r="S59" s="9">
        <v>1</v>
      </c>
      <c r="T59" s="9">
        <f t="shared" si="13"/>
        <v>1.0377498987934573E-6</v>
      </c>
      <c r="U59" s="71">
        <f t="shared" si="14"/>
        <v>-1.018700102480341E-3</v>
      </c>
      <c r="V59" s="9"/>
      <c r="W59" s="29"/>
      <c r="Y59" s="71"/>
      <c r="BI59">
        <v>17188</v>
      </c>
      <c r="BJ59">
        <v>7.3855599999660626E-2</v>
      </c>
      <c r="BK59">
        <v>1</v>
      </c>
    </row>
    <row r="60" spans="1:63" x14ac:dyDescent="0.2">
      <c r="A60" s="40" t="s">
        <v>59</v>
      </c>
      <c r="B60" s="49"/>
      <c r="C60" s="46">
        <v>52741.510999999999</v>
      </c>
      <c r="D60" s="48">
        <v>1E-3</v>
      </c>
      <c r="E60" s="40">
        <f t="shared" si="9"/>
        <v>12289.079907478736</v>
      </c>
      <c r="F60" s="44">
        <f t="shared" si="10"/>
        <v>12289</v>
      </c>
      <c r="G60" s="40">
        <f t="shared" si="15"/>
        <v>3.7659299996448681E-2</v>
      </c>
      <c r="H60" s="40"/>
      <c r="I60" s="26"/>
      <c r="J60" s="26"/>
      <c r="K60" s="26"/>
      <c r="L60" s="26"/>
      <c r="M60" s="26"/>
      <c r="N60">
        <f>G60</f>
        <v>3.7659299996448681E-2</v>
      </c>
      <c r="O60">
        <f t="shared" ref="O60:O103" ca="1" si="16">+C$11+C$12*F60</f>
        <v>2.4796608135608522E-2</v>
      </c>
      <c r="P60" s="38">
        <f t="shared" si="7"/>
        <v>3.8905348561260544E-2</v>
      </c>
      <c r="Q60" s="10">
        <f t="shared" si="11"/>
        <v>37723.010999999999</v>
      </c>
      <c r="R60" s="9">
        <f t="shared" si="12"/>
        <v>1.552637025869705E-6</v>
      </c>
      <c r="S60" s="9">
        <v>0.5</v>
      </c>
      <c r="T60" s="9">
        <f t="shared" si="13"/>
        <v>7.7631851293485248E-7</v>
      </c>
      <c r="U60" s="71">
        <f t="shared" si="14"/>
        <v>-1.2460485648118635E-3</v>
      </c>
      <c r="V60" s="9"/>
      <c r="W60" s="26"/>
      <c r="BC60">
        <v>17243</v>
      </c>
      <c r="BD60">
        <v>7.5029099993116688E-2</v>
      </c>
      <c r="BE60">
        <v>1</v>
      </c>
      <c r="BI60">
        <v>17188</v>
      </c>
      <c r="BJ60">
        <v>7.4255600004107691E-2</v>
      </c>
      <c r="BK60">
        <v>1</v>
      </c>
    </row>
    <row r="61" spans="1:63" x14ac:dyDescent="0.2">
      <c r="A61" s="131" t="s">
        <v>201</v>
      </c>
      <c r="B61" s="60" t="s">
        <v>64</v>
      </c>
      <c r="C61" s="132">
        <v>52752.824399999998</v>
      </c>
      <c r="D61" s="59">
        <v>4.0000000000000002E-4</v>
      </c>
      <c r="E61" s="40">
        <f t="shared" si="9"/>
        <v>12313.085273219262</v>
      </c>
      <c r="F61" s="44">
        <f t="shared" si="10"/>
        <v>12313</v>
      </c>
      <c r="G61" s="40">
        <f t="shared" si="15"/>
        <v>4.018809999251971E-2</v>
      </c>
      <c r="H61" s="40"/>
      <c r="I61" s="26"/>
      <c r="J61" s="26"/>
      <c r="K61" s="26"/>
      <c r="L61" s="26"/>
      <c r="M61" s="26"/>
      <c r="N61">
        <f>G61</f>
        <v>4.018809999251971E-2</v>
      </c>
      <c r="O61">
        <f t="shared" ca="1" si="16"/>
        <v>2.5032433964513504E-2</v>
      </c>
      <c r="P61" s="38">
        <f t="shared" si="7"/>
        <v>3.9051796767119784E-2</v>
      </c>
      <c r="Q61" s="10">
        <f t="shared" si="11"/>
        <v>37734.324399999998</v>
      </c>
      <c r="R61" s="9">
        <f t="shared" si="12"/>
        <v>1.2911850200542752E-6</v>
      </c>
      <c r="S61" s="9">
        <v>1</v>
      </c>
      <c r="T61" s="9">
        <f t="shared" si="13"/>
        <v>1.2911850200542752E-6</v>
      </c>
      <c r="U61" s="71">
        <f t="shared" si="14"/>
        <v>1.1363032253999261E-3</v>
      </c>
      <c r="V61" s="9"/>
      <c r="W61" s="29"/>
      <c r="BC61">
        <v>17258</v>
      </c>
      <c r="BD61">
        <v>7.4734599998919293E-2</v>
      </c>
      <c r="BE61">
        <v>1</v>
      </c>
      <c r="BI61">
        <v>17243</v>
      </c>
      <c r="BJ61">
        <v>7.5029099993116688E-2</v>
      </c>
      <c r="BK61">
        <v>1</v>
      </c>
    </row>
    <row r="62" spans="1:63" x14ac:dyDescent="0.2">
      <c r="A62" s="50" t="s">
        <v>57</v>
      </c>
      <c r="B62" s="30"/>
      <c r="C62" s="46">
        <v>52760.834699999999</v>
      </c>
      <c r="D62" s="57">
        <v>1E-4</v>
      </c>
      <c r="E62" s="40">
        <f t="shared" si="9"/>
        <v>12330.081948064259</v>
      </c>
      <c r="F62" s="44">
        <f t="shared" si="10"/>
        <v>12330</v>
      </c>
      <c r="G62" s="40">
        <f t="shared" si="15"/>
        <v>3.8620999999693595E-2</v>
      </c>
      <c r="H62" s="40"/>
      <c r="I62" s="26"/>
      <c r="J62" s="26"/>
      <c r="K62" s="26"/>
      <c r="L62" s="26">
        <f>G62</f>
        <v>3.8620999999693595E-2</v>
      </c>
      <c r="M62" s="26"/>
      <c r="O62">
        <f t="shared" ca="1" si="16"/>
        <v>2.5199477259987849E-2</v>
      </c>
      <c r="P62" s="38">
        <f t="shared" si="7"/>
        <v>3.915569023224913E-2</v>
      </c>
      <c r="Q62" s="10">
        <f t="shared" si="11"/>
        <v>37742.334699999999</v>
      </c>
      <c r="R62" s="9">
        <f t="shared" si="12"/>
        <v>2.8589364479029181E-7</v>
      </c>
      <c r="S62" s="9">
        <v>1</v>
      </c>
      <c r="T62" s="9">
        <f t="shared" si="13"/>
        <v>2.8589364479029181E-7</v>
      </c>
      <c r="U62" s="71">
        <f t="shared" si="14"/>
        <v>-5.3469023255553472E-4</v>
      </c>
      <c r="V62" s="9"/>
      <c r="W62" s="29"/>
      <c r="BC62">
        <v>17287.5</v>
      </c>
      <c r="BD62">
        <v>7.4888749993988313E-2</v>
      </c>
      <c r="BE62">
        <v>1</v>
      </c>
      <c r="BI62">
        <v>17258</v>
      </c>
      <c r="BJ62">
        <v>7.4734599998919293E-2</v>
      </c>
      <c r="BK62">
        <v>1</v>
      </c>
    </row>
    <row r="63" spans="1:63" x14ac:dyDescent="0.2">
      <c r="A63" s="50" t="s">
        <v>57</v>
      </c>
      <c r="B63" s="30"/>
      <c r="C63" s="46">
        <v>52760.834799999997</v>
      </c>
      <c r="D63" s="57">
        <v>1E-4</v>
      </c>
      <c r="E63" s="40">
        <f t="shared" si="9"/>
        <v>12330.0821602495</v>
      </c>
      <c r="F63" s="44">
        <f t="shared" si="10"/>
        <v>12330</v>
      </c>
      <c r="G63" s="40">
        <f t="shared" si="15"/>
        <v>3.8720999997167382E-2</v>
      </c>
      <c r="H63" s="40"/>
      <c r="I63" s="26"/>
      <c r="J63" s="26"/>
      <c r="K63" s="26"/>
      <c r="L63" s="26">
        <f>G63</f>
        <v>3.8720999997167382E-2</v>
      </c>
      <c r="M63" s="26"/>
      <c r="O63">
        <f t="shared" ca="1" si="16"/>
        <v>2.5199477259987849E-2</v>
      </c>
      <c r="P63" s="38">
        <f t="shared" si="7"/>
        <v>3.915569023224913E-2</v>
      </c>
      <c r="Q63" s="10">
        <f t="shared" si="11"/>
        <v>37742.334799999997</v>
      </c>
      <c r="R63" s="9">
        <f t="shared" si="12"/>
        <v>1.8895560047542466E-7</v>
      </c>
      <c r="S63" s="9">
        <v>1</v>
      </c>
      <c r="T63" s="9">
        <f t="shared" si="13"/>
        <v>1.8895560047542466E-7</v>
      </c>
      <c r="U63" s="71">
        <f t="shared" si="14"/>
        <v>-4.346902350817472E-4</v>
      </c>
      <c r="V63" s="9"/>
      <c r="W63" s="29"/>
      <c r="BC63">
        <v>17829</v>
      </c>
      <c r="BD63">
        <v>7.6237300003413111E-2</v>
      </c>
      <c r="BE63">
        <v>0.5</v>
      </c>
      <c r="BI63">
        <v>17287.5</v>
      </c>
      <c r="BJ63">
        <v>7.4888749993988313E-2</v>
      </c>
      <c r="BK63">
        <v>1</v>
      </c>
    </row>
    <row r="64" spans="1:63" x14ac:dyDescent="0.2">
      <c r="A64" s="51" t="s">
        <v>68</v>
      </c>
      <c r="B64" s="47" t="s">
        <v>60</v>
      </c>
      <c r="C64" s="46">
        <v>53117.365299999998</v>
      </c>
      <c r="D64" s="48">
        <v>1.6000000000000001E-3</v>
      </c>
      <c r="E64" s="40">
        <f t="shared" si="9"/>
        <v>13086.587282507458</v>
      </c>
      <c r="F64" s="44">
        <f t="shared" si="10"/>
        <v>13086.5</v>
      </c>
      <c r="G64" s="40">
        <f t="shared" si="15"/>
        <v>4.1135049992590211E-2</v>
      </c>
      <c r="H64" s="40"/>
      <c r="I64" s="26"/>
      <c r="J64" s="26"/>
      <c r="K64" s="26">
        <f>G64</f>
        <v>4.1135049992590211E-2</v>
      </c>
      <c r="L64" s="26"/>
      <c r="M64" s="26"/>
      <c r="O64">
        <f t="shared" ca="1" si="16"/>
        <v>3.2632903908596758E-2</v>
      </c>
      <c r="P64" s="38">
        <f t="shared" si="7"/>
        <v>4.3912229918830203E-2</v>
      </c>
      <c r="Q64" s="10">
        <f t="shared" si="11"/>
        <v>38098.865299999998</v>
      </c>
      <c r="R64" s="9">
        <f t="shared" si="12"/>
        <v>7.7127283427103688E-6</v>
      </c>
      <c r="S64" s="9">
        <v>0.5</v>
      </c>
      <c r="T64" s="9">
        <f t="shared" si="13"/>
        <v>3.8563641713551844E-6</v>
      </c>
      <c r="U64" s="71">
        <f t="shared" si="14"/>
        <v>-2.7771799262399921E-3</v>
      </c>
      <c r="V64" s="9"/>
      <c r="W64" s="29"/>
      <c r="BC64">
        <v>17829</v>
      </c>
      <c r="BD64">
        <v>7.7537299999676179E-2</v>
      </c>
      <c r="BE64">
        <v>0.5</v>
      </c>
      <c r="BI64">
        <v>17829</v>
      </c>
      <c r="BJ64">
        <v>7.6237300003413111E-2</v>
      </c>
      <c r="BK64">
        <v>0.5</v>
      </c>
    </row>
    <row r="65" spans="1:63" x14ac:dyDescent="0.2">
      <c r="A65" s="51" t="s">
        <v>68</v>
      </c>
      <c r="B65" s="52"/>
      <c r="C65" s="46">
        <v>53145.4107</v>
      </c>
      <c r="D65" s="48">
        <v>5.0000000000000001E-4</v>
      </c>
      <c r="E65" s="40">
        <f t="shared" si="9"/>
        <v>13146.095483785541</v>
      </c>
      <c r="F65" s="44">
        <f t="shared" si="10"/>
        <v>13146</v>
      </c>
      <c r="G65" s="40">
        <f t="shared" si="15"/>
        <v>4.5000199999776669E-2</v>
      </c>
      <c r="H65" s="40"/>
      <c r="I65" s="26"/>
      <c r="J65" s="26"/>
      <c r="K65" s="26">
        <f>G65</f>
        <v>4.5000199999776669E-2</v>
      </c>
      <c r="L65" s="26"/>
      <c r="M65" s="26"/>
      <c r="O65">
        <f t="shared" ca="1" si="16"/>
        <v>3.3217555442757021E-2</v>
      </c>
      <c r="P65" s="38">
        <f t="shared" si="7"/>
        <v>4.4297356858618187E-2</v>
      </c>
      <c r="Q65" s="10">
        <f t="shared" si="11"/>
        <v>38126.9107</v>
      </c>
      <c r="R65" s="9">
        <f t="shared" si="12"/>
        <v>4.9398848107352234E-7</v>
      </c>
      <c r="S65" s="9">
        <v>1</v>
      </c>
      <c r="T65" s="9">
        <f t="shared" si="13"/>
        <v>4.9398848107352234E-7</v>
      </c>
      <c r="U65" s="71">
        <f t="shared" si="14"/>
        <v>7.0284314115848234E-4</v>
      </c>
      <c r="V65" s="9"/>
      <c r="W65" s="29"/>
      <c r="BC65">
        <v>17829</v>
      </c>
      <c r="BD65">
        <v>7.8137299999070819E-2</v>
      </c>
      <c r="BE65">
        <v>1</v>
      </c>
      <c r="BI65">
        <v>17829</v>
      </c>
      <c r="BJ65">
        <v>7.7537299999676179E-2</v>
      </c>
      <c r="BK65">
        <v>0.5</v>
      </c>
    </row>
    <row r="66" spans="1:63" x14ac:dyDescent="0.2">
      <c r="A66" s="51" t="s">
        <v>68</v>
      </c>
      <c r="B66" s="52"/>
      <c r="C66" s="46">
        <v>53151.536200000002</v>
      </c>
      <c r="D66" s="48">
        <v>2E-3</v>
      </c>
      <c r="E66" s="40">
        <f t="shared" si="9"/>
        <v>13159.092891094011</v>
      </c>
      <c r="F66" s="44">
        <f t="shared" si="10"/>
        <v>13159</v>
      </c>
      <c r="G66" s="40">
        <f t="shared" si="15"/>
        <v>4.3778300001577009E-2</v>
      </c>
      <c r="H66" s="40"/>
      <c r="I66" s="26"/>
      <c r="J66" s="26"/>
      <c r="K66" s="26">
        <f>G66</f>
        <v>4.3778300001577009E-2</v>
      </c>
      <c r="L66" s="26"/>
      <c r="M66" s="26"/>
      <c r="O66">
        <f t="shared" ca="1" si="16"/>
        <v>3.3345294433413872E-2</v>
      </c>
      <c r="P66" s="38">
        <f t="shared" si="7"/>
        <v>4.4381715289284474E-2</v>
      </c>
      <c r="Q66" s="10">
        <f t="shared" si="11"/>
        <v>38133.036200000002</v>
      </c>
      <c r="R66" s="9">
        <f t="shared" si="12"/>
        <v>3.6411000943908274E-7</v>
      </c>
      <c r="S66" s="9">
        <v>0.5</v>
      </c>
      <c r="T66" s="9">
        <f t="shared" si="13"/>
        <v>1.8205500471954137E-7</v>
      </c>
      <c r="U66" s="71">
        <f t="shared" si="14"/>
        <v>-6.03415287707465E-4</v>
      </c>
      <c r="V66" s="9"/>
      <c r="W66" s="29"/>
      <c r="Y66" s="71"/>
      <c r="BI66">
        <v>17829</v>
      </c>
      <c r="BJ66">
        <v>7.8137299999070819E-2</v>
      </c>
      <c r="BK66">
        <v>1</v>
      </c>
    </row>
    <row r="67" spans="1:63" x14ac:dyDescent="0.2">
      <c r="A67" s="50" t="s">
        <v>66</v>
      </c>
      <c r="B67" s="30"/>
      <c r="C67" s="46">
        <v>53439.967700000001</v>
      </c>
      <c r="D67" s="57">
        <v>1E-4</v>
      </c>
      <c r="E67" s="40">
        <f t="shared" si="9"/>
        <v>13771.101981958733</v>
      </c>
      <c r="F67" s="44">
        <f t="shared" si="10"/>
        <v>13771</v>
      </c>
      <c r="G67" s="40">
        <f t="shared" si="15"/>
        <v>4.8062699999718461E-2</v>
      </c>
      <c r="H67" s="40"/>
      <c r="I67" s="26"/>
      <c r="J67" s="26"/>
      <c r="K67" s="26"/>
      <c r="L67" s="26">
        <f>G67</f>
        <v>4.8062699999718461E-2</v>
      </c>
      <c r="M67" s="26"/>
      <c r="O67">
        <f t="shared" ca="1" si="16"/>
        <v>3.9358853070490765E-2</v>
      </c>
      <c r="P67" s="38">
        <f t="shared" si="7"/>
        <v>4.8439232831671508E-2</v>
      </c>
      <c r="Q67" s="10">
        <f t="shared" si="11"/>
        <v>38421.467700000001</v>
      </c>
      <c r="R67" s="9">
        <f t="shared" si="12"/>
        <v>1.4177697353858153E-7</v>
      </c>
      <c r="S67" s="9">
        <v>1</v>
      </c>
      <c r="T67" s="9">
        <f t="shared" si="13"/>
        <v>1.4177697353858153E-7</v>
      </c>
      <c r="U67" s="71">
        <f t="shared" si="14"/>
        <v>-3.7653283195304699E-4</v>
      </c>
      <c r="V67" s="9"/>
      <c r="W67" s="26"/>
      <c r="BC67">
        <v>17880</v>
      </c>
      <c r="BD67">
        <v>8.1055999995442107E-2</v>
      </c>
      <c r="BE67">
        <v>0.5</v>
      </c>
      <c r="BI67">
        <v>17880</v>
      </c>
      <c r="BJ67">
        <v>8.1055999995442107E-2</v>
      </c>
      <c r="BK67">
        <v>0.5</v>
      </c>
    </row>
    <row r="68" spans="1:63" x14ac:dyDescent="0.2">
      <c r="A68" s="46" t="s">
        <v>80</v>
      </c>
      <c r="B68" s="47" t="s">
        <v>64</v>
      </c>
      <c r="C68" s="46">
        <v>53546.481480000002</v>
      </c>
      <c r="D68" s="48">
        <v>2.9999999999999997E-4</v>
      </c>
      <c r="E68" s="40">
        <f t="shared" si="9"/>
        <v>13997.108509201305</v>
      </c>
      <c r="F68" s="44">
        <f t="shared" si="10"/>
        <v>13997</v>
      </c>
      <c r="G68" s="40">
        <f t="shared" si="15"/>
        <v>5.1138900002115406E-2</v>
      </c>
      <c r="H68" s="40"/>
      <c r="I68" s="26"/>
      <c r="J68" s="26"/>
      <c r="K68" s="26"/>
      <c r="L68" s="26"/>
      <c r="M68" s="26"/>
      <c r="N68">
        <f>G68</f>
        <v>5.1138900002115406E-2</v>
      </c>
      <c r="O68">
        <f t="shared" ca="1" si="16"/>
        <v>4.1579546292679279E-2</v>
      </c>
      <c r="P68" s="38">
        <f t="shared" si="7"/>
        <v>4.998009327887204E-2</v>
      </c>
      <c r="Q68" s="10">
        <f t="shared" si="11"/>
        <v>38527.981480000002</v>
      </c>
      <c r="R68" s="9">
        <f t="shared" si="12"/>
        <v>1.3428330218340277E-6</v>
      </c>
      <c r="S68" s="13">
        <v>1</v>
      </c>
      <c r="T68" s="9">
        <f t="shared" si="13"/>
        <v>1.3428330218340277E-6</v>
      </c>
      <c r="U68" s="71">
        <f t="shared" si="14"/>
        <v>1.1588067232433663E-3</v>
      </c>
      <c r="V68" s="9"/>
      <c r="W68" s="29"/>
      <c r="BC68">
        <v>17916</v>
      </c>
      <c r="BD68">
        <v>8.0549199992674403E-2</v>
      </c>
      <c r="BE68">
        <v>1</v>
      </c>
      <c r="BI68">
        <v>17916</v>
      </c>
      <c r="BJ68">
        <v>8.0549199992674403E-2</v>
      </c>
      <c r="BK68">
        <v>1</v>
      </c>
    </row>
    <row r="69" spans="1:63" x14ac:dyDescent="0.2">
      <c r="A69" s="50" t="s">
        <v>74</v>
      </c>
      <c r="B69" s="30"/>
      <c r="C69" s="46">
        <v>53784.01154</v>
      </c>
      <c r="D69" s="57">
        <v>6.0000000000000002E-5</v>
      </c>
      <c r="E69" s="40">
        <f t="shared" si="9"/>
        <v>14501.112253846541</v>
      </c>
      <c r="F69" s="44">
        <f t="shared" si="10"/>
        <v>14501</v>
      </c>
      <c r="G69" s="40">
        <f t="shared" si="15"/>
        <v>5.2903699994203635E-2</v>
      </c>
      <c r="H69" s="40"/>
      <c r="I69" s="26"/>
      <c r="J69" s="26"/>
      <c r="K69" s="26"/>
      <c r="L69" s="26">
        <f>G69</f>
        <v>5.2903699994203635E-2</v>
      </c>
      <c r="M69" s="26"/>
      <c r="O69">
        <f t="shared" ca="1" si="16"/>
        <v>4.6531888699683763E-2</v>
      </c>
      <c r="P69" s="38">
        <f t="shared" si="7"/>
        <v>5.3498355022254029E-2</v>
      </c>
      <c r="Q69" s="10">
        <f t="shared" si="11"/>
        <v>38765.51154</v>
      </c>
      <c r="R69" s="9">
        <f t="shared" si="12"/>
        <v>3.5361460238561584E-7</v>
      </c>
      <c r="S69" s="13">
        <v>1</v>
      </c>
      <c r="T69" s="9">
        <f t="shared" si="13"/>
        <v>3.5361460238561584E-7</v>
      </c>
      <c r="U69" s="71">
        <f t="shared" si="14"/>
        <v>-5.9465502805039483E-4</v>
      </c>
      <c r="V69" s="9"/>
      <c r="W69" s="29"/>
      <c r="BC69">
        <v>18024</v>
      </c>
      <c r="BD69">
        <v>8.1428799996501766E-2</v>
      </c>
      <c r="BE69">
        <v>1</v>
      </c>
      <c r="BI69">
        <v>18024</v>
      </c>
      <c r="BJ69">
        <v>8.1428799996501766E-2</v>
      </c>
      <c r="BK69">
        <v>1</v>
      </c>
    </row>
    <row r="70" spans="1:63" x14ac:dyDescent="0.2">
      <c r="A70" s="44" t="s">
        <v>71</v>
      </c>
      <c r="B70" s="49"/>
      <c r="C70" s="46">
        <v>53817.473299999998</v>
      </c>
      <c r="D70" s="48">
        <v>2.9999999999999997E-4</v>
      </c>
      <c r="E70" s="40">
        <f t="shared" si="9"/>
        <v>14572.1131719721</v>
      </c>
      <c r="F70" s="44">
        <f t="shared" si="10"/>
        <v>14572</v>
      </c>
      <c r="G70" s="40">
        <f t="shared" si="15"/>
        <v>5.3336399992986117E-2</v>
      </c>
      <c r="H70" s="40"/>
      <c r="I70" s="26"/>
      <c r="J70" s="26"/>
      <c r="K70" s="26">
        <f>G70</f>
        <v>5.3336399992986117E-2</v>
      </c>
      <c r="L70" s="26"/>
      <c r="M70" s="26"/>
      <c r="O70">
        <f t="shared" ca="1" si="16"/>
        <v>4.7229540110194299E-2</v>
      </c>
      <c r="P70" s="38">
        <f t="shared" si="7"/>
        <v>5.4003045496922419E-2</v>
      </c>
      <c r="Q70" s="10">
        <f t="shared" si="11"/>
        <v>38798.973299999998</v>
      </c>
      <c r="R70" s="9">
        <f t="shared" si="12"/>
        <v>4.4441622791848714E-7</v>
      </c>
      <c r="S70" s="9">
        <v>1</v>
      </c>
      <c r="T70" s="9">
        <f t="shared" si="13"/>
        <v>4.4441622791848714E-7</v>
      </c>
      <c r="U70" s="71">
        <f t="shared" si="14"/>
        <v>-6.6664550393630284E-4</v>
      </c>
      <c r="V70" s="9"/>
      <c r="W70" s="26"/>
      <c r="BC70">
        <v>18557.5</v>
      </c>
      <c r="BD70">
        <v>8.5387749997607898E-2</v>
      </c>
      <c r="BE70">
        <v>1</v>
      </c>
      <c r="BI70">
        <v>18557.5</v>
      </c>
      <c r="BJ70">
        <v>8.5387749997607898E-2</v>
      </c>
      <c r="BK70">
        <v>1</v>
      </c>
    </row>
    <row r="71" spans="1:63" x14ac:dyDescent="0.2">
      <c r="A71" s="44" t="s">
        <v>71</v>
      </c>
      <c r="B71" s="49"/>
      <c r="C71" s="46">
        <v>53849.519800000002</v>
      </c>
      <c r="D71" s="48">
        <v>2.0999999999999999E-3</v>
      </c>
      <c r="E71" s="40">
        <f t="shared" si="9"/>
        <v>14640.111117170176</v>
      </c>
      <c r="F71" s="44">
        <f t="shared" si="10"/>
        <v>14640</v>
      </c>
      <c r="G71" s="40">
        <f t="shared" si="15"/>
        <v>5.2367999996931758E-2</v>
      </c>
      <c r="H71" s="40"/>
      <c r="I71" s="26"/>
      <c r="J71" s="26"/>
      <c r="K71" s="26">
        <f>G71</f>
        <v>5.2367999996931758E-2</v>
      </c>
      <c r="L71" s="26"/>
      <c r="M71" s="26"/>
      <c r="O71">
        <f t="shared" ca="1" si="16"/>
        <v>4.7897713292091734E-2</v>
      </c>
      <c r="P71" s="38">
        <f t="shared" si="7"/>
        <v>5.4488502157208851E-2</v>
      </c>
      <c r="Q71" s="10">
        <f t="shared" si="11"/>
        <v>38831.019800000002</v>
      </c>
      <c r="R71" s="9">
        <f t="shared" si="12"/>
        <v>4.4965294117398199E-6</v>
      </c>
      <c r="S71" s="13">
        <v>0.5</v>
      </c>
      <c r="T71" s="9">
        <f t="shared" si="13"/>
        <v>2.2482647058699099E-6</v>
      </c>
      <c r="U71" s="71">
        <f t="shared" si="14"/>
        <v>-2.1205021602770935E-3</v>
      </c>
      <c r="V71" s="9"/>
      <c r="W71" s="26"/>
      <c r="BC71">
        <v>18588.5</v>
      </c>
      <c r="BD71">
        <v>8.6412449993076734E-2</v>
      </c>
      <c r="BE71">
        <v>0.5</v>
      </c>
      <c r="BI71">
        <v>18588.5</v>
      </c>
      <c r="BJ71">
        <v>8.6412449993076734E-2</v>
      </c>
      <c r="BK71">
        <v>0.5</v>
      </c>
    </row>
    <row r="72" spans="1:63" x14ac:dyDescent="0.2">
      <c r="A72" s="46" t="s">
        <v>75</v>
      </c>
      <c r="B72" s="52"/>
      <c r="C72" s="46">
        <v>53858.476600000002</v>
      </c>
      <c r="D72" s="48">
        <v>2.9999999999999997E-4</v>
      </c>
      <c r="E72" s="40">
        <f t="shared" si="9"/>
        <v>14659.116125378563</v>
      </c>
      <c r="F72" s="44">
        <f t="shared" si="10"/>
        <v>14659</v>
      </c>
      <c r="G72" s="40">
        <f t="shared" si="15"/>
        <v>5.4728299997805152E-2</v>
      </c>
      <c r="H72" s="40"/>
      <c r="I72" s="26"/>
      <c r="J72" s="26"/>
      <c r="K72" s="26">
        <f>G72</f>
        <v>5.4728299997805152E-2</v>
      </c>
      <c r="L72" s="26"/>
      <c r="M72" s="26"/>
      <c r="O72">
        <f t="shared" ca="1" si="16"/>
        <v>4.808440873997484E-2</v>
      </c>
      <c r="P72" s="38">
        <f t="shared" si="7"/>
        <v>5.4624509859877157E-2</v>
      </c>
      <c r="Q72" s="10">
        <f t="shared" si="11"/>
        <v>38839.976600000002</v>
      </c>
      <c r="R72" s="9">
        <f t="shared" si="12"/>
        <v>1.0772392731112195E-8</v>
      </c>
      <c r="S72" s="13">
        <v>1</v>
      </c>
      <c r="T72" s="9">
        <f t="shared" si="13"/>
        <v>1.0772392731112195E-8</v>
      </c>
      <c r="U72" s="71">
        <f t="shared" si="14"/>
        <v>1.0379013792799485E-4</v>
      </c>
      <c r="V72" s="9"/>
      <c r="W72" s="26"/>
      <c r="BC72">
        <v>18646.5</v>
      </c>
      <c r="BD72">
        <v>8.7807049996627029E-2</v>
      </c>
      <c r="BE72">
        <v>1</v>
      </c>
      <c r="BI72">
        <v>18646.5</v>
      </c>
      <c r="BJ72">
        <v>8.7807049996627029E-2</v>
      </c>
      <c r="BK72">
        <v>1</v>
      </c>
    </row>
    <row r="73" spans="1:63" x14ac:dyDescent="0.2">
      <c r="A73" s="44" t="s">
        <v>73</v>
      </c>
      <c r="B73" s="47" t="s">
        <v>64</v>
      </c>
      <c r="C73" s="46">
        <v>53899.475299999998</v>
      </c>
      <c r="D73" s="48">
        <v>5.9999999999999995E-4</v>
      </c>
      <c r="E73" s="40">
        <f t="shared" si="9"/>
        <v>14746.109318263645</v>
      </c>
      <c r="F73" s="44">
        <f t="shared" si="10"/>
        <v>14746</v>
      </c>
      <c r="G73" s="40">
        <f t="shared" si="15"/>
        <v>5.1520199995138682E-2</v>
      </c>
      <c r="H73" s="40"/>
      <c r="I73" s="26"/>
      <c r="J73" s="26"/>
      <c r="K73" s="26">
        <f>G73</f>
        <v>5.1520199995138682E-2</v>
      </c>
      <c r="L73" s="26"/>
      <c r="M73" s="26"/>
      <c r="O73">
        <f t="shared" ca="1" si="16"/>
        <v>4.8939277369755382E-2</v>
      </c>
      <c r="P73" s="38">
        <f t="shared" si="7"/>
        <v>5.5249318642776157E-2</v>
      </c>
      <c r="Q73" s="10">
        <f t="shared" si="11"/>
        <v>38880.975299999998</v>
      </c>
      <c r="R73" s="9">
        <f t="shared" si="12"/>
        <v>1.390632588815755E-5</v>
      </c>
      <c r="S73" s="13">
        <v>1</v>
      </c>
      <c r="T73" s="9">
        <f t="shared" si="13"/>
        <v>1.390632588815755E-5</v>
      </c>
      <c r="U73" s="71">
        <f t="shared" si="14"/>
        <v>-3.7291186476374749E-3</v>
      </c>
      <c r="V73" s="9"/>
      <c r="W73" s="26"/>
    </row>
    <row r="74" spans="1:63" x14ac:dyDescent="0.2">
      <c r="A74" s="122" t="s">
        <v>195</v>
      </c>
      <c r="B74" s="123" t="s">
        <v>60</v>
      </c>
      <c r="C74" s="122">
        <v>54233.861299999997</v>
      </c>
      <c r="D74" s="125">
        <v>1E-4</v>
      </c>
      <c r="E74" s="40">
        <f t="shared" si="9"/>
        <v>15455.627078487098</v>
      </c>
      <c r="F74" s="44">
        <f t="shared" si="10"/>
        <v>15455.5</v>
      </c>
      <c r="G74" s="40">
        <f t="shared" si="15"/>
        <v>5.9890349992201664E-2</v>
      </c>
      <c r="H74" s="40"/>
      <c r="I74" s="26"/>
      <c r="J74" s="26"/>
      <c r="K74" s="26"/>
      <c r="L74" s="26"/>
      <c r="M74" s="26"/>
      <c r="N74">
        <f>G74</f>
        <v>5.9890349992201664E-2</v>
      </c>
      <c r="O74">
        <f t="shared" ca="1" si="16"/>
        <v>5.5910878436758724E-2</v>
      </c>
      <c r="P74" s="38">
        <f t="shared" si="7"/>
        <v>6.0469000359590741E-2</v>
      </c>
      <c r="Q74" s="10">
        <f t="shared" si="11"/>
        <v>39215.361299999997</v>
      </c>
      <c r="R74" s="9">
        <f t="shared" si="12"/>
        <v>3.3483624767951433E-7</v>
      </c>
      <c r="S74" s="13">
        <v>1</v>
      </c>
      <c r="T74" s="25">
        <f t="shared" si="13"/>
        <v>3.3483624767951433E-7</v>
      </c>
      <c r="U74" s="71">
        <f t="shared" si="14"/>
        <v>-5.7865036738907749E-4</v>
      </c>
      <c r="V74" s="25"/>
      <c r="W74" s="26"/>
    </row>
    <row r="75" spans="1:63" x14ac:dyDescent="0.2">
      <c r="A75" s="48" t="s">
        <v>75</v>
      </c>
      <c r="B75" s="47" t="s">
        <v>60</v>
      </c>
      <c r="C75" s="48">
        <v>54240.460400000004</v>
      </c>
      <c r="D75" s="48">
        <v>1.1000000000000001E-3</v>
      </c>
      <c r="E75" s="40">
        <f t="shared" si="9"/>
        <v>15469.629395125639</v>
      </c>
      <c r="F75" s="44">
        <f t="shared" si="10"/>
        <v>15469.5</v>
      </c>
      <c r="G75" s="40">
        <f t="shared" si="15"/>
        <v>6.0982150003837887E-2</v>
      </c>
      <c r="H75" s="40"/>
      <c r="I75" s="26"/>
      <c r="J75" s="26"/>
      <c r="K75" s="26">
        <f>G75</f>
        <v>6.0982150003837887E-2</v>
      </c>
      <c r="L75" s="26"/>
      <c r="M75" s="26"/>
      <c r="O75">
        <f t="shared" ca="1" si="16"/>
        <v>5.6048443503619941E-2</v>
      </c>
      <c r="P75" s="38">
        <f t="shared" si="7"/>
        <v>6.0574213497024909E-2</v>
      </c>
      <c r="Q75" s="10">
        <f t="shared" si="11"/>
        <v>39221.960400000004</v>
      </c>
      <c r="R75" s="9">
        <f t="shared" si="12"/>
        <v>1.6641219359077494E-7</v>
      </c>
      <c r="S75" s="13">
        <v>0.5</v>
      </c>
      <c r="T75" s="25">
        <f t="shared" si="13"/>
        <v>8.3206096795387471E-8</v>
      </c>
      <c r="U75" s="71">
        <f t="shared" si="14"/>
        <v>4.0793650681297811E-4</v>
      </c>
      <c r="V75" s="25"/>
      <c r="W75" s="26"/>
    </row>
    <row r="76" spans="1:63" x14ac:dyDescent="0.2">
      <c r="A76" s="128" t="s">
        <v>76</v>
      </c>
      <c r="B76" s="30"/>
      <c r="C76" s="120">
        <v>54539.025999999998</v>
      </c>
      <c r="D76" s="48">
        <v>1E-3</v>
      </c>
      <c r="E76" s="40">
        <f t="shared" si="9"/>
        <v>16103.14155111234</v>
      </c>
      <c r="F76" s="44">
        <f t="shared" si="10"/>
        <v>16103</v>
      </c>
      <c r="G76" s="40">
        <f t="shared" si="15"/>
        <v>6.6711099992971867E-2</v>
      </c>
      <c r="H76" s="40"/>
      <c r="I76" s="26"/>
      <c r="J76" s="26"/>
      <c r="K76" s="26"/>
      <c r="L76" s="26">
        <f>G76</f>
        <v>6.6711099992971867E-2</v>
      </c>
      <c r="M76" s="26"/>
      <c r="O76">
        <f t="shared" ca="1" si="16"/>
        <v>6.2273262779090857E-2</v>
      </c>
      <c r="P76" s="38">
        <f t="shared" si="7"/>
        <v>6.5424217918003957E-2</v>
      </c>
      <c r="Q76" s="10">
        <f t="shared" si="11"/>
        <v>39520.525999999998</v>
      </c>
      <c r="R76" s="9">
        <f t="shared" si="12"/>
        <v>1.6560654748737135E-6</v>
      </c>
      <c r="S76" s="13">
        <v>0.5</v>
      </c>
      <c r="T76" s="25">
        <f t="shared" si="13"/>
        <v>8.2803273743685673E-7</v>
      </c>
      <c r="U76" s="71">
        <f t="shared" si="14"/>
        <v>1.28688207496791E-3</v>
      </c>
      <c r="V76" s="25"/>
      <c r="W76" s="26"/>
    </row>
    <row r="77" spans="1:63" x14ac:dyDescent="0.2">
      <c r="A77" s="125" t="s">
        <v>197</v>
      </c>
      <c r="B77" s="123" t="s">
        <v>60</v>
      </c>
      <c r="C77" s="125">
        <v>54718.352400000003</v>
      </c>
      <c r="D77" s="125">
        <v>2.0000000000000001E-4</v>
      </c>
      <c r="E77" s="40">
        <f t="shared" si="9"/>
        <v>16483.645715990471</v>
      </c>
      <c r="F77" s="44">
        <f t="shared" si="10"/>
        <v>16483.5</v>
      </c>
      <c r="G77" s="40">
        <f t="shared" si="15"/>
        <v>6.8673950001539197E-2</v>
      </c>
      <c r="H77" s="40"/>
      <c r="I77" s="26"/>
      <c r="J77" s="26"/>
      <c r="K77" s="26"/>
      <c r="L77" s="26"/>
      <c r="M77" s="26"/>
      <c r="N77">
        <f>G77</f>
        <v>6.8673950001539197E-2</v>
      </c>
      <c r="O77">
        <f t="shared" ca="1" si="16"/>
        <v>6.6012084774855165E-2</v>
      </c>
      <c r="P77" s="38">
        <f t="shared" si="7"/>
        <v>6.8420600655107244E-2</v>
      </c>
      <c r="Q77" s="10">
        <f t="shared" si="11"/>
        <v>39699.852400000003</v>
      </c>
      <c r="R77" s="9">
        <f t="shared" si="12"/>
        <v>6.418589133749749E-8</v>
      </c>
      <c r="S77" s="13">
        <v>1</v>
      </c>
      <c r="T77" s="25">
        <f t="shared" si="13"/>
        <v>6.418589133749749E-8</v>
      </c>
      <c r="U77" s="71">
        <f t="shared" si="14"/>
        <v>2.533493464319525E-4</v>
      </c>
      <c r="V77" s="25"/>
      <c r="W77" s="26"/>
    </row>
    <row r="78" spans="1:63" x14ac:dyDescent="0.2">
      <c r="A78" s="125" t="s">
        <v>164</v>
      </c>
      <c r="B78" s="123" t="s">
        <v>60</v>
      </c>
      <c r="C78" s="125">
        <v>54897.913800000002</v>
      </c>
      <c r="D78" s="125">
        <v>1E-4</v>
      </c>
      <c r="E78" s="40">
        <f t="shared" si="9"/>
        <v>16864.648516199177</v>
      </c>
      <c r="F78" s="44">
        <f t="shared" si="10"/>
        <v>16864.5</v>
      </c>
      <c r="G78" s="40">
        <f t="shared" si="15"/>
        <v>6.9993650002288632E-2</v>
      </c>
      <c r="H78" s="40"/>
      <c r="I78" s="26"/>
      <c r="J78" s="26"/>
      <c r="K78" s="26">
        <f>G78</f>
        <v>6.9993650002288632E-2</v>
      </c>
      <c r="L78" s="26"/>
      <c r="M78" s="26"/>
      <c r="O78">
        <f t="shared" ca="1" si="16"/>
        <v>6.9755819808721656E-2</v>
      </c>
      <c r="P78" s="38">
        <f t="shared" si="7"/>
        <v>7.1483053909459748E-2</v>
      </c>
      <c r="Q78" s="10">
        <f t="shared" si="11"/>
        <v>39879.413800000002</v>
      </c>
      <c r="R78" s="9">
        <f t="shared" si="12"/>
        <v>2.2183239986965872E-6</v>
      </c>
      <c r="S78" s="13">
        <v>1</v>
      </c>
      <c r="T78" s="25">
        <f t="shared" si="13"/>
        <v>2.2183239986965872E-6</v>
      </c>
      <c r="U78" s="71">
        <f t="shared" si="14"/>
        <v>-1.4894039071711163E-3</v>
      </c>
      <c r="V78" s="25"/>
      <c r="W78" s="26"/>
    </row>
    <row r="79" spans="1:63" x14ac:dyDescent="0.2">
      <c r="A79" s="125" t="s">
        <v>197</v>
      </c>
      <c r="B79" s="123" t="s">
        <v>64</v>
      </c>
      <c r="C79" s="125">
        <v>54908.518700000001</v>
      </c>
      <c r="D79" s="125">
        <v>8.0000000000000004E-4</v>
      </c>
      <c r="E79" s="40">
        <f t="shared" si="9"/>
        <v>16887.150549464302</v>
      </c>
      <c r="F79" s="44">
        <f t="shared" si="10"/>
        <v>16887</v>
      </c>
      <c r="G79" s="40">
        <f t="shared" si="15"/>
        <v>7.0951899993815459E-2</v>
      </c>
      <c r="H79" s="40"/>
      <c r="I79" s="26"/>
      <c r="J79" s="26"/>
      <c r="L79" s="26"/>
      <c r="M79" s="26"/>
      <c r="N79">
        <f>G79</f>
        <v>7.0951899993815459E-2</v>
      </c>
      <c r="O79">
        <f t="shared" ca="1" si="16"/>
        <v>6.9976906523320073E-2</v>
      </c>
      <c r="P79" s="38">
        <f t="shared" si="7"/>
        <v>7.1665842392232781E-2</v>
      </c>
      <c r="Q79" s="10">
        <f t="shared" si="11"/>
        <v>39890.018700000001</v>
      </c>
      <c r="R79" s="9">
        <f t="shared" si="12"/>
        <v>5.097137482578783E-7</v>
      </c>
      <c r="S79" s="13">
        <v>1</v>
      </c>
      <c r="T79" s="25">
        <f t="shared" si="13"/>
        <v>5.097137482578783E-7</v>
      </c>
      <c r="U79" s="71">
        <f t="shared" si="14"/>
        <v>-7.139423984173221E-4</v>
      </c>
      <c r="V79" s="25"/>
      <c r="W79" s="26"/>
    </row>
    <row r="80" spans="1:63" x14ac:dyDescent="0.2">
      <c r="A80" s="125" t="s">
        <v>164</v>
      </c>
      <c r="B80" s="123" t="s">
        <v>60</v>
      </c>
      <c r="C80" s="125">
        <v>54915.826500000003</v>
      </c>
      <c r="D80" s="125">
        <v>1E-4</v>
      </c>
      <c r="E80" s="40">
        <f t="shared" si="9"/>
        <v>16902.656622948725</v>
      </c>
      <c r="F80" s="44">
        <f t="shared" si="10"/>
        <v>16902.5</v>
      </c>
      <c r="G80" s="40">
        <f t="shared" si="15"/>
        <v>7.3814249997667503E-2</v>
      </c>
      <c r="H80" s="40"/>
      <c r="I80" s="26"/>
      <c r="J80" s="26"/>
      <c r="K80" s="26">
        <f>G80</f>
        <v>7.3814249997667503E-2</v>
      </c>
      <c r="L80" s="26"/>
      <c r="M80" s="26"/>
      <c r="O80">
        <f t="shared" ca="1" si="16"/>
        <v>7.0129210704487868E-2</v>
      </c>
      <c r="P80" s="38">
        <f t="shared" si="7"/>
        <v>7.1791888553544791E-2</v>
      </c>
      <c r="Q80" s="10">
        <f t="shared" si="11"/>
        <v>39897.326500000003</v>
      </c>
      <c r="R80" s="9">
        <f t="shared" si="12"/>
        <v>4.089945810674098E-6</v>
      </c>
      <c r="S80" s="13">
        <v>1</v>
      </c>
      <c r="T80" s="25">
        <f t="shared" si="13"/>
        <v>4.089945810674098E-6</v>
      </c>
      <c r="U80" s="71">
        <f t="shared" si="14"/>
        <v>2.0223614441227111E-3</v>
      </c>
      <c r="V80" s="25"/>
      <c r="W80" s="26"/>
    </row>
    <row r="81" spans="1:22" x14ac:dyDescent="0.2">
      <c r="A81" s="125" t="s">
        <v>196</v>
      </c>
      <c r="B81" s="123" t="s">
        <v>60</v>
      </c>
      <c r="C81" s="125">
        <v>54936.559800000003</v>
      </c>
      <c r="D81" s="125">
        <v>2.0000000000000001E-4</v>
      </c>
      <c r="E81" s="40">
        <f t="shared" si="9"/>
        <v>16946.649626776758</v>
      </c>
      <c r="F81" s="44">
        <f t="shared" si="10"/>
        <v>16946.5</v>
      </c>
      <c r="G81" s="40">
        <f t="shared" si="15"/>
        <v>7.0517050000489689E-2</v>
      </c>
      <c r="H81" s="40"/>
      <c r="I81" s="26"/>
      <c r="J81" s="26"/>
      <c r="K81" s="26"/>
      <c r="L81" s="26"/>
      <c r="M81" s="26"/>
      <c r="N81">
        <f>G81</f>
        <v>7.0517050000489689E-2</v>
      </c>
      <c r="O81">
        <f t="shared" ca="1" si="16"/>
        <v>7.0561558057480309E-2</v>
      </c>
      <c r="P81" s="38">
        <f t="shared" si="7"/>
        <v>7.2150253246420715E-2</v>
      </c>
      <c r="Q81" s="10">
        <f t="shared" si="11"/>
        <v>39918.059800000003</v>
      </c>
      <c r="R81" s="9">
        <f t="shared" si="12"/>
        <v>2.6673528425196372E-6</v>
      </c>
      <c r="S81" s="13">
        <v>1</v>
      </c>
      <c r="T81" s="25">
        <f t="shared" si="13"/>
        <v>2.6673528425196372E-6</v>
      </c>
      <c r="U81" s="71">
        <f t="shared" si="14"/>
        <v>-1.6332032459310253E-3</v>
      </c>
      <c r="V81" s="25"/>
    </row>
    <row r="82" spans="1:22" x14ac:dyDescent="0.2">
      <c r="A82" s="125" t="s">
        <v>196</v>
      </c>
      <c r="B82" s="123" t="s">
        <v>60</v>
      </c>
      <c r="C82" s="125">
        <v>54938.445299999999</v>
      </c>
      <c r="D82" s="125">
        <v>2.0000000000000001E-4</v>
      </c>
      <c r="E82" s="40">
        <f t="shared" si="9"/>
        <v>16950.650379610008</v>
      </c>
      <c r="F82" s="44">
        <f t="shared" si="10"/>
        <v>16950.5</v>
      </c>
      <c r="G82" s="40">
        <f t="shared" si="15"/>
        <v>7.0871849995455705E-2</v>
      </c>
      <c r="H82" s="40"/>
      <c r="I82" s="26"/>
      <c r="J82" s="26"/>
      <c r="K82" s="26"/>
      <c r="L82" s="26"/>
      <c r="M82" s="26"/>
      <c r="N82">
        <f>G82</f>
        <v>7.0871849995455705E-2</v>
      </c>
      <c r="O82">
        <f t="shared" ca="1" si="16"/>
        <v>7.0600862362297803E-2</v>
      </c>
      <c r="P82" s="38">
        <f t="shared" si="7"/>
        <v>7.2182872632018114E-2</v>
      </c>
      <c r="Q82" s="10">
        <f t="shared" si="11"/>
        <v>39919.945299999999</v>
      </c>
      <c r="R82" s="9">
        <f t="shared" si="12"/>
        <v>1.7187803535790501E-6</v>
      </c>
      <c r="S82" s="13">
        <v>1</v>
      </c>
      <c r="T82" s="25">
        <f t="shared" si="13"/>
        <v>1.7187803535790501E-6</v>
      </c>
      <c r="U82" s="71">
        <f t="shared" si="14"/>
        <v>-1.3110226365624089E-3</v>
      </c>
      <c r="V82" s="25"/>
    </row>
    <row r="83" spans="1:22" x14ac:dyDescent="0.2">
      <c r="A83" s="125" t="s">
        <v>197</v>
      </c>
      <c r="B83" s="123" t="s">
        <v>64</v>
      </c>
      <c r="C83" s="125">
        <v>54942.4519</v>
      </c>
      <c r="D83" s="125">
        <v>4.0000000000000002E-4</v>
      </c>
      <c r="E83" s="40">
        <f t="shared" si="9"/>
        <v>16959.151793718589</v>
      </c>
      <c r="F83" s="44">
        <f t="shared" si="10"/>
        <v>16959</v>
      </c>
      <c r="G83" s="40">
        <f t="shared" si="15"/>
        <v>7.1538299998792354E-2</v>
      </c>
      <c r="H83" s="40"/>
      <c r="I83" s="26"/>
      <c r="J83" s="26"/>
      <c r="K83" s="26"/>
      <c r="L83" s="26"/>
      <c r="M83" s="26"/>
      <c r="N83">
        <f>G83</f>
        <v>7.1538299998792354E-2</v>
      </c>
      <c r="O83">
        <f t="shared" ca="1" si="16"/>
        <v>7.0684384010035003E-2</v>
      </c>
      <c r="P83" s="38">
        <f t="shared" si="7"/>
        <v>7.2252211383890375E-2</v>
      </c>
      <c r="Q83" s="10">
        <f t="shared" si="11"/>
        <v>39923.9519</v>
      </c>
      <c r="R83" s="9">
        <f t="shared" si="12"/>
        <v>5.0966946577257415E-7</v>
      </c>
      <c r="S83" s="13">
        <v>1</v>
      </c>
      <c r="T83" s="25">
        <f t="shared" si="13"/>
        <v>5.0966946577257415E-7</v>
      </c>
      <c r="U83" s="71">
        <f t="shared" si="14"/>
        <v>-7.1391138509802055E-4</v>
      </c>
      <c r="V83" s="25"/>
    </row>
    <row r="84" spans="1:22" x14ac:dyDescent="0.2">
      <c r="A84" s="125" t="s">
        <v>196</v>
      </c>
      <c r="B84" s="123" t="s">
        <v>64</v>
      </c>
      <c r="C84" s="125">
        <v>54959.418100000003</v>
      </c>
      <c r="D84" s="125">
        <v>1E-4</v>
      </c>
      <c r="E84" s="40">
        <f t="shared" si="9"/>
        <v>16995.151567104749</v>
      </c>
      <c r="F84" s="44">
        <f t="shared" si="10"/>
        <v>16995</v>
      </c>
      <c r="G84" s="40">
        <f t="shared" si="15"/>
        <v>7.1431500000471715E-2</v>
      </c>
      <c r="H84" s="40"/>
      <c r="I84" s="26"/>
      <c r="J84" s="26"/>
      <c r="K84" s="26"/>
      <c r="L84" s="26"/>
      <c r="M84" s="26"/>
      <c r="N84">
        <f>G84</f>
        <v>7.1431500000471715E-2</v>
      </c>
      <c r="O84">
        <f t="shared" ca="1" si="16"/>
        <v>7.1038122753392455E-2</v>
      </c>
      <c r="P84" s="38">
        <f t="shared" si="7"/>
        <v>7.2546221401775524E-2</v>
      </c>
      <c r="Q84" s="10">
        <f t="shared" si="11"/>
        <v>39940.918100000003</v>
      </c>
      <c r="R84" s="9">
        <f t="shared" si="12"/>
        <v>1.242603802524727E-6</v>
      </c>
      <c r="S84" s="13">
        <v>1</v>
      </c>
      <c r="T84" s="25">
        <f t="shared" si="13"/>
        <v>1.242603802524727E-6</v>
      </c>
      <c r="U84" s="71">
        <f t="shared" si="14"/>
        <v>-1.1147214013038087E-3</v>
      </c>
      <c r="V84" s="25"/>
    </row>
    <row r="85" spans="1:22" x14ac:dyDescent="0.2">
      <c r="A85" s="125" t="s">
        <v>164</v>
      </c>
      <c r="B85" s="123" t="s">
        <v>60</v>
      </c>
      <c r="C85" s="125">
        <v>54981.806299999997</v>
      </c>
      <c r="D85" s="125">
        <v>2.0000000000000001E-4</v>
      </c>
      <c r="E85" s="40">
        <f t="shared" ref="E85:E103" si="17">(C85-C$7)/C$8</f>
        <v>17042.656024586315</v>
      </c>
      <c r="F85" s="44">
        <f t="shared" ref="F85:F103" si="18">ROUND(2*E85,0)/2</f>
        <v>17042.5</v>
      </c>
      <c r="G85" s="40">
        <f t="shared" si="15"/>
        <v>7.3532249996787868E-2</v>
      </c>
      <c r="H85" s="40"/>
      <c r="I85" s="26"/>
      <c r="J85" s="26"/>
      <c r="K85" s="26">
        <f>G85</f>
        <v>7.3532249996787868E-2</v>
      </c>
      <c r="L85" s="26"/>
      <c r="M85" s="26"/>
      <c r="O85">
        <f t="shared" ca="1" si="16"/>
        <v>7.1504861373100206E-2</v>
      </c>
      <c r="P85" s="38">
        <f t="shared" si="7"/>
        <v>7.2934992599272719E-2</v>
      </c>
      <c r="Q85" s="10">
        <f t="shared" si="11"/>
        <v>39963.306299999997</v>
      </c>
      <c r="R85" s="9">
        <f t="shared" si="12"/>
        <v>3.5671639888656942E-7</v>
      </c>
      <c r="S85" s="13">
        <v>1</v>
      </c>
      <c r="T85" s="25">
        <f t="shared" si="13"/>
        <v>3.5671639888656942E-7</v>
      </c>
      <c r="U85" s="71">
        <f t="shared" si="14"/>
        <v>5.9725739751514961E-4</v>
      </c>
      <c r="V85" s="25"/>
    </row>
    <row r="86" spans="1:22" x14ac:dyDescent="0.2">
      <c r="A86" s="125" t="s">
        <v>164</v>
      </c>
      <c r="B86" s="123" t="s">
        <v>60</v>
      </c>
      <c r="C86" s="125">
        <v>54982.748800000001</v>
      </c>
      <c r="D86" s="125">
        <v>1E-4</v>
      </c>
      <c r="E86" s="40">
        <f t="shared" si="17"/>
        <v>17044.655870539835</v>
      </c>
      <c r="F86" s="44">
        <f t="shared" si="18"/>
        <v>17044.5</v>
      </c>
      <c r="G86" s="40">
        <f t="shared" si="15"/>
        <v>7.3459649996948428E-2</v>
      </c>
      <c r="H86" s="40"/>
      <c r="I86" s="26"/>
      <c r="J86" s="26"/>
      <c r="K86" s="26">
        <f>G86</f>
        <v>7.3459649996948428E-2</v>
      </c>
      <c r="L86" s="26"/>
      <c r="M86" s="26"/>
      <c r="O86">
        <f t="shared" ca="1" si="16"/>
        <v>7.1524513525508968E-2</v>
      </c>
      <c r="P86" s="38">
        <f t="shared" si="7"/>
        <v>7.2951382901199346E-2</v>
      </c>
      <c r="Q86" s="10">
        <f t="shared" ref="Q86:Q103" si="19">C86-15018.5</f>
        <v>39964.248800000001</v>
      </c>
      <c r="R86" s="9">
        <f t="shared" ref="R86:R103" si="20">(G86-P86)^2</f>
        <v>2.583354406212065E-7</v>
      </c>
      <c r="S86" s="13">
        <v>1</v>
      </c>
      <c r="T86" s="25">
        <f t="shared" ref="T86:T103" si="21">R86*S86</f>
        <v>2.583354406212065E-7</v>
      </c>
      <c r="U86" s="71">
        <f t="shared" ref="U86:U103" si="22">+G86-P86</f>
        <v>5.0826709574908202E-4</v>
      </c>
      <c r="V86" s="25"/>
    </row>
    <row r="87" spans="1:22" x14ac:dyDescent="0.2">
      <c r="A87" s="48" t="s">
        <v>79</v>
      </c>
      <c r="B87" s="47" t="s">
        <v>60</v>
      </c>
      <c r="C87" s="48">
        <v>54998.7765</v>
      </c>
      <c r="D87" s="48">
        <v>2.9999999999999997E-4</v>
      </c>
      <c r="E87" s="40">
        <f t="shared" si="17"/>
        <v>17078.664285382361</v>
      </c>
      <c r="F87" s="44">
        <f t="shared" si="18"/>
        <v>17078.5</v>
      </c>
      <c r="G87" s="40">
        <f t="shared" si="15"/>
        <v>7.7425449999282137E-2</v>
      </c>
      <c r="H87" s="40"/>
      <c r="I87" s="26"/>
      <c r="J87" s="26"/>
      <c r="K87" s="26">
        <f>G87</f>
        <v>7.7425449999282137E-2</v>
      </c>
      <c r="L87" s="26"/>
      <c r="M87" s="26"/>
      <c r="O87">
        <f t="shared" ca="1" si="16"/>
        <v>7.1858600116457685E-2</v>
      </c>
      <c r="P87" s="38">
        <f t="shared" ref="P87:P103" si="23">T$2+T$3*SIN(RADIANS(T$4*F87+T$5))</f>
        <v>7.3230277389252973E-2</v>
      </c>
      <c r="Q87" s="10">
        <f t="shared" si="19"/>
        <v>39980.2765</v>
      </c>
      <c r="R87" s="9">
        <f t="shared" si="20"/>
        <v>1.75994732279389E-5</v>
      </c>
      <c r="S87" s="9">
        <v>1</v>
      </c>
      <c r="T87" s="25">
        <f t="shared" si="21"/>
        <v>1.75994732279389E-5</v>
      </c>
      <c r="U87" s="71">
        <f t="shared" si="22"/>
        <v>4.1951726100291631E-3</v>
      </c>
      <c r="V87" s="25"/>
    </row>
    <row r="88" spans="1:22" x14ac:dyDescent="0.2">
      <c r="A88" s="127" t="s">
        <v>192</v>
      </c>
      <c r="B88" s="47" t="s">
        <v>64</v>
      </c>
      <c r="C88" s="48">
        <v>55050.378680000002</v>
      </c>
      <c r="D88" s="48">
        <v>5.0000000000000001E-4</v>
      </c>
      <c r="E88" s="40">
        <f t="shared" si="17"/>
        <v>17188.156498502074</v>
      </c>
      <c r="F88" s="44">
        <f t="shared" si="18"/>
        <v>17188</v>
      </c>
      <c r="G88" s="40">
        <f t="shared" si="15"/>
        <v>7.3755600002186839E-2</v>
      </c>
      <c r="H88" s="40"/>
      <c r="I88" s="26"/>
      <c r="J88" s="26"/>
      <c r="K88" s="26"/>
      <c r="L88" s="26"/>
      <c r="M88" s="26"/>
      <c r="N88">
        <f t="shared" ref="N88:N100" si="24">G88</f>
        <v>7.3755600002186839E-2</v>
      </c>
      <c r="O88">
        <f t="shared" ca="1" si="16"/>
        <v>7.2934555460836645E-2</v>
      </c>
      <c r="P88" s="38">
        <f t="shared" si="23"/>
        <v>7.4131808129596855E-2</v>
      </c>
      <c r="Q88" s="10">
        <f t="shared" si="19"/>
        <v>40031.878680000002</v>
      </c>
      <c r="R88" s="9">
        <f t="shared" si="20"/>
        <v>1.415325551293508E-7</v>
      </c>
      <c r="S88" s="25">
        <v>1</v>
      </c>
      <c r="T88" s="25">
        <f t="shared" si="21"/>
        <v>1.415325551293508E-7</v>
      </c>
      <c r="U88" s="71">
        <f t="shared" si="22"/>
        <v>-3.7620812741001597E-4</v>
      </c>
      <c r="V88" s="25"/>
    </row>
    <row r="89" spans="1:22" x14ac:dyDescent="0.2">
      <c r="A89" s="127" t="s">
        <v>192</v>
      </c>
      <c r="B89" s="47" t="s">
        <v>64</v>
      </c>
      <c r="C89" s="48">
        <v>55050.378779999999</v>
      </c>
      <c r="D89" s="48">
        <v>5.0000000000000001E-4</v>
      </c>
      <c r="E89" s="40">
        <f t="shared" si="17"/>
        <v>17188.156710687319</v>
      </c>
      <c r="F89" s="44">
        <f t="shared" si="18"/>
        <v>17188</v>
      </c>
      <c r="G89" s="40">
        <f t="shared" si="15"/>
        <v>7.3855599999660626E-2</v>
      </c>
      <c r="H89" s="40"/>
      <c r="I89" s="26"/>
      <c r="J89" s="26"/>
      <c r="K89" s="26"/>
      <c r="L89" s="26"/>
      <c r="M89" s="26"/>
      <c r="N89">
        <f t="shared" si="24"/>
        <v>7.3855599999660626E-2</v>
      </c>
      <c r="O89">
        <f t="shared" ca="1" si="16"/>
        <v>7.2934555460836645E-2</v>
      </c>
      <c r="P89" s="38">
        <f t="shared" si="23"/>
        <v>7.4131808129596855E-2</v>
      </c>
      <c r="Q89" s="10">
        <f t="shared" si="19"/>
        <v>40031.878779999999</v>
      </c>
      <c r="R89" s="9">
        <f t="shared" si="20"/>
        <v>7.6290931042868462E-8</v>
      </c>
      <c r="S89" s="25">
        <v>1</v>
      </c>
      <c r="T89" s="25">
        <f t="shared" si="21"/>
        <v>7.6290931042868462E-8</v>
      </c>
      <c r="U89" s="71">
        <f t="shared" si="22"/>
        <v>-2.7620812993622845E-4</v>
      </c>
      <c r="V89" s="25"/>
    </row>
    <row r="90" spans="1:22" x14ac:dyDescent="0.2">
      <c r="A90" s="127" t="s">
        <v>192</v>
      </c>
      <c r="B90" s="47" t="s">
        <v>64</v>
      </c>
      <c r="C90" s="48">
        <v>55050.379180000004</v>
      </c>
      <c r="D90" s="48">
        <v>8.9999999999999998E-4</v>
      </c>
      <c r="E90" s="40">
        <f t="shared" si="17"/>
        <v>17188.157559428317</v>
      </c>
      <c r="F90" s="44">
        <f t="shared" si="18"/>
        <v>17188</v>
      </c>
      <c r="G90" s="40">
        <f t="shared" si="15"/>
        <v>7.4255600004107691E-2</v>
      </c>
      <c r="H90" s="40"/>
      <c r="I90" s="26"/>
      <c r="J90" s="26"/>
      <c r="K90" s="26"/>
      <c r="L90" s="26"/>
      <c r="M90" s="26"/>
      <c r="N90">
        <f t="shared" si="24"/>
        <v>7.4255600004107691E-2</v>
      </c>
      <c r="O90">
        <f t="shared" ca="1" si="16"/>
        <v>7.2934555460836645E-2</v>
      </c>
      <c r="P90" s="38">
        <f t="shared" si="23"/>
        <v>7.4131808129596855E-2</v>
      </c>
      <c r="Q90" s="10">
        <f t="shared" si="19"/>
        <v>40031.879180000004</v>
      </c>
      <c r="R90" s="9">
        <f t="shared" si="20"/>
        <v>1.5324428194906777E-8</v>
      </c>
      <c r="S90" s="25">
        <v>1</v>
      </c>
      <c r="T90" s="25">
        <f t="shared" si="21"/>
        <v>1.5324428194906777E-8</v>
      </c>
      <c r="U90" s="71">
        <f t="shared" si="22"/>
        <v>1.2379187451083684E-4</v>
      </c>
      <c r="V90" s="25"/>
    </row>
    <row r="91" spans="1:22" x14ac:dyDescent="0.2">
      <c r="A91" s="49" t="s">
        <v>191</v>
      </c>
      <c r="B91" s="52" t="s">
        <v>64</v>
      </c>
      <c r="C91" s="129">
        <v>55076.3007</v>
      </c>
      <c r="D91" s="129">
        <v>1E-4</v>
      </c>
      <c r="E91" s="40">
        <f t="shared" si="17"/>
        <v>17243.159200681192</v>
      </c>
      <c r="F91" s="44">
        <f t="shared" si="18"/>
        <v>17243</v>
      </c>
      <c r="G91" s="40">
        <f t="shared" si="15"/>
        <v>7.5029099993116688E-2</v>
      </c>
      <c r="H91" s="40"/>
      <c r="I91" s="26"/>
      <c r="J91" s="26"/>
      <c r="K91" s="26"/>
      <c r="L91" s="26"/>
      <c r="M91" s="26"/>
      <c r="N91">
        <f t="shared" si="24"/>
        <v>7.5029099993116688E-2</v>
      </c>
      <c r="O91">
        <f t="shared" ca="1" si="16"/>
        <v>7.3474989652077202E-2</v>
      </c>
      <c r="P91" s="38">
        <f t="shared" si="23"/>
        <v>7.4586544689742906E-2</v>
      </c>
      <c r="Q91" s="10">
        <f t="shared" si="19"/>
        <v>40057.8007</v>
      </c>
      <c r="R91" s="9">
        <f t="shared" si="20"/>
        <v>1.9585519654425993E-7</v>
      </c>
      <c r="S91" s="25">
        <v>1</v>
      </c>
      <c r="T91" s="25">
        <f t="shared" si="21"/>
        <v>1.9585519654425993E-7</v>
      </c>
      <c r="U91" s="71">
        <f t="shared" si="22"/>
        <v>4.4255530337378168E-4</v>
      </c>
      <c r="V91" s="25"/>
    </row>
    <row r="92" spans="1:22" x14ac:dyDescent="0.2">
      <c r="A92" s="125" t="s">
        <v>198</v>
      </c>
      <c r="B92" s="123" t="s">
        <v>64</v>
      </c>
      <c r="C92" s="125">
        <v>55083.369700000003</v>
      </c>
      <c r="D92" s="125">
        <v>2.9999999999999997E-4</v>
      </c>
      <c r="E92" s="40">
        <f t="shared" si="17"/>
        <v>17258.158575795645</v>
      </c>
      <c r="F92" s="44">
        <f t="shared" si="18"/>
        <v>17258</v>
      </c>
      <c r="G92" s="40">
        <f t="shared" si="15"/>
        <v>7.4734599998919293E-2</v>
      </c>
      <c r="H92" s="40"/>
      <c r="I92" s="26"/>
      <c r="J92" s="26"/>
      <c r="K92" s="26"/>
      <c r="L92" s="26"/>
      <c r="M92" s="26"/>
      <c r="N92">
        <f t="shared" si="24"/>
        <v>7.4734599998919293E-2</v>
      </c>
      <c r="O92">
        <f t="shared" ca="1" si="16"/>
        <v>7.3622380795142814E-2</v>
      </c>
      <c r="P92" s="38">
        <f t="shared" si="23"/>
        <v>7.4710785497054066E-2</v>
      </c>
      <c r="Q92" s="10">
        <f t="shared" si="19"/>
        <v>40064.869700000003</v>
      </c>
      <c r="R92" s="9">
        <f t="shared" si="20"/>
        <v>5.671304990888971E-10</v>
      </c>
      <c r="S92" s="25">
        <v>1</v>
      </c>
      <c r="T92" s="25">
        <f t="shared" si="21"/>
        <v>5.671304990888971E-10</v>
      </c>
      <c r="U92" s="71">
        <f t="shared" si="22"/>
        <v>2.3814501865226934E-5</v>
      </c>
      <c r="V92" s="25"/>
    </row>
    <row r="93" spans="1:22" x14ac:dyDescent="0.2">
      <c r="A93" s="49" t="s">
        <v>191</v>
      </c>
      <c r="B93" s="52" t="s">
        <v>60</v>
      </c>
      <c r="C93" s="129">
        <v>55097.272799999999</v>
      </c>
      <c r="D93" s="129">
        <v>2.9999999999999997E-4</v>
      </c>
      <c r="E93" s="40">
        <f t="shared" si="17"/>
        <v>17287.658902879197</v>
      </c>
      <c r="F93" s="44">
        <f t="shared" si="18"/>
        <v>17287.5</v>
      </c>
      <c r="G93" s="40">
        <f t="shared" si="15"/>
        <v>7.4888749993988313E-2</v>
      </c>
      <c r="H93" s="40"/>
      <c r="I93" s="26"/>
      <c r="J93" s="26"/>
      <c r="K93" s="26"/>
      <c r="L93" s="26"/>
      <c r="M93" s="26"/>
      <c r="N93">
        <f t="shared" si="24"/>
        <v>7.4888749993988313E-2</v>
      </c>
      <c r="O93">
        <f t="shared" ca="1" si="16"/>
        <v>7.3912250043171854E-2</v>
      </c>
      <c r="P93" s="38">
        <f t="shared" si="23"/>
        <v>7.4955402809115612E-2</v>
      </c>
      <c r="Q93" s="10">
        <f t="shared" si="19"/>
        <v>40078.772799999999</v>
      </c>
      <c r="R93" s="9">
        <f t="shared" si="20"/>
        <v>4.4425977643939473E-9</v>
      </c>
      <c r="S93" s="25">
        <v>1</v>
      </c>
      <c r="T93" s="25">
        <f t="shared" si="21"/>
        <v>4.4425977643939473E-9</v>
      </c>
      <c r="U93" s="71">
        <f t="shared" si="22"/>
        <v>-6.665281512729937E-5</v>
      </c>
      <c r="V93" s="25"/>
    </row>
    <row r="94" spans="1:22" x14ac:dyDescent="0.2">
      <c r="A94" s="127" t="s">
        <v>192</v>
      </c>
      <c r="B94" s="47" t="s">
        <v>64</v>
      </c>
      <c r="C94" s="48">
        <v>55352.475680000003</v>
      </c>
      <c r="D94" s="48">
        <v>2.2000000000000001E-3</v>
      </c>
      <c r="E94" s="40">
        <f t="shared" si="17"/>
        <v>17829.161764303357</v>
      </c>
      <c r="F94" s="44">
        <f t="shared" si="18"/>
        <v>17829</v>
      </c>
      <c r="G94" s="40">
        <f t="shared" si="15"/>
        <v>7.6237300003413111E-2</v>
      </c>
      <c r="H94" s="40"/>
      <c r="I94" s="26"/>
      <c r="J94" s="26"/>
      <c r="K94" s="26"/>
      <c r="L94" s="26"/>
      <c r="M94" s="26"/>
      <c r="N94">
        <f t="shared" si="24"/>
        <v>7.6237300003413111E-2</v>
      </c>
      <c r="O94">
        <f t="shared" ca="1" si="16"/>
        <v>7.9233070307840339E-2</v>
      </c>
      <c r="P94" s="38">
        <f t="shared" si="23"/>
        <v>7.9510590518512447E-2</v>
      </c>
      <c r="Q94" s="10">
        <f t="shared" si="19"/>
        <v>40333.975680000003</v>
      </c>
      <c r="R94" s="9">
        <f t="shared" si="20"/>
        <v>1.0714430796239279E-5</v>
      </c>
      <c r="S94" s="25">
        <v>0.5</v>
      </c>
      <c r="T94" s="25">
        <f t="shared" si="21"/>
        <v>5.3572153981196395E-6</v>
      </c>
      <c r="U94" s="71">
        <f t="shared" si="22"/>
        <v>-3.2732905150993363E-3</v>
      </c>
      <c r="V94" s="25"/>
    </row>
    <row r="95" spans="1:22" x14ac:dyDescent="0.2">
      <c r="A95" s="127" t="s">
        <v>192</v>
      </c>
      <c r="B95" s="47" t="s">
        <v>64</v>
      </c>
      <c r="C95" s="48">
        <v>55352.476979999999</v>
      </c>
      <c r="D95" s="48">
        <v>1.6000000000000001E-3</v>
      </c>
      <c r="E95" s="40">
        <f t="shared" si="17"/>
        <v>17829.164522711559</v>
      </c>
      <c r="F95" s="44">
        <f t="shared" si="18"/>
        <v>17829</v>
      </c>
      <c r="G95" s="40">
        <f t="shared" si="15"/>
        <v>7.7537299999676179E-2</v>
      </c>
      <c r="H95" s="40"/>
      <c r="I95" s="26"/>
      <c r="J95" s="26"/>
      <c r="K95" s="26"/>
      <c r="L95" s="26"/>
      <c r="M95" s="26"/>
      <c r="N95">
        <f t="shared" si="24"/>
        <v>7.7537299999676179E-2</v>
      </c>
      <c r="O95">
        <f t="shared" ca="1" si="16"/>
        <v>7.9233070307840339E-2</v>
      </c>
      <c r="P95" s="38">
        <f t="shared" si="23"/>
        <v>7.9510590518512447E-2</v>
      </c>
      <c r="Q95" s="10">
        <f t="shared" si="19"/>
        <v>40333.976979999999</v>
      </c>
      <c r="R95" s="9">
        <f t="shared" si="20"/>
        <v>3.8938754717291088E-6</v>
      </c>
      <c r="S95" s="25">
        <v>0.5</v>
      </c>
      <c r="T95" s="25">
        <f t="shared" si="21"/>
        <v>1.9469377358645544E-6</v>
      </c>
      <c r="U95" s="71">
        <f t="shared" si="22"/>
        <v>-1.9732905188362682E-3</v>
      </c>
      <c r="V95" s="25"/>
    </row>
    <row r="96" spans="1:22" x14ac:dyDescent="0.2">
      <c r="A96" s="127" t="s">
        <v>192</v>
      </c>
      <c r="B96" s="47" t="s">
        <v>64</v>
      </c>
      <c r="C96" s="48">
        <v>55352.477579999999</v>
      </c>
      <c r="D96" s="48">
        <v>8.0000000000000004E-4</v>
      </c>
      <c r="E96" s="40">
        <f t="shared" si="17"/>
        <v>17829.165795823039</v>
      </c>
      <c r="F96" s="44">
        <f t="shared" si="18"/>
        <v>17829</v>
      </c>
      <c r="G96" s="40">
        <f t="shared" si="15"/>
        <v>7.8137299999070819E-2</v>
      </c>
      <c r="H96" s="40"/>
      <c r="I96" s="26"/>
      <c r="J96" s="26"/>
      <c r="K96" s="26"/>
      <c r="L96" s="26"/>
      <c r="M96" s="26"/>
      <c r="N96">
        <f t="shared" si="24"/>
        <v>7.8137299999070819E-2</v>
      </c>
      <c r="O96">
        <f t="shared" ca="1" si="16"/>
        <v>7.9233070307840339E-2</v>
      </c>
      <c r="P96" s="38">
        <f t="shared" si="23"/>
        <v>7.9510590518512447E-2</v>
      </c>
      <c r="Q96" s="10">
        <f t="shared" si="19"/>
        <v>40333.977579999999</v>
      </c>
      <c r="R96" s="9">
        <f t="shared" si="20"/>
        <v>1.8859268507882561E-6</v>
      </c>
      <c r="S96" s="25">
        <v>1</v>
      </c>
      <c r="T96" s="25">
        <f t="shared" si="21"/>
        <v>1.8859268507882561E-6</v>
      </c>
      <c r="U96" s="71">
        <f t="shared" si="22"/>
        <v>-1.3732905194416278E-3</v>
      </c>
      <c r="V96" s="25"/>
    </row>
    <row r="97" spans="1:25" x14ac:dyDescent="0.2">
      <c r="A97" s="125" t="s">
        <v>198</v>
      </c>
      <c r="B97" s="123" t="s">
        <v>64</v>
      </c>
      <c r="C97" s="125">
        <v>55376.516100000001</v>
      </c>
      <c r="D97" s="125">
        <v>3.0999999999999999E-3</v>
      </c>
      <c r="E97" s="40">
        <f t="shared" si="17"/>
        <v>17880.171988873852</v>
      </c>
      <c r="F97" s="44">
        <f t="shared" si="18"/>
        <v>17880</v>
      </c>
      <c r="G97" s="40">
        <f t="shared" si="15"/>
        <v>8.1055999995442107E-2</v>
      </c>
      <c r="H97" s="40"/>
      <c r="I97" s="26"/>
      <c r="J97" s="26"/>
      <c r="K97" s="26"/>
      <c r="L97" s="26"/>
      <c r="M97" s="26"/>
      <c r="N97">
        <f t="shared" si="24"/>
        <v>8.1055999995442107E-2</v>
      </c>
      <c r="O97">
        <f t="shared" ca="1" si="16"/>
        <v>7.973420019426343E-2</v>
      </c>
      <c r="P97" s="38">
        <f t="shared" si="23"/>
        <v>7.9945938358635504E-2</v>
      </c>
      <c r="Q97" s="10">
        <f t="shared" si="19"/>
        <v>40358.016100000001</v>
      </c>
      <c r="R97" s="9">
        <f t="shared" si="20"/>
        <v>1.2322368375097545E-6</v>
      </c>
      <c r="S97" s="25">
        <v>0.5</v>
      </c>
      <c r="T97" s="25">
        <f t="shared" si="21"/>
        <v>6.1611841875487726E-7</v>
      </c>
      <c r="U97" s="71">
        <f t="shared" si="22"/>
        <v>1.110061636806603E-3</v>
      </c>
      <c r="V97" s="25"/>
    </row>
    <row r="98" spans="1:25" x14ac:dyDescent="0.2">
      <c r="A98" s="92" t="s">
        <v>204</v>
      </c>
      <c r="B98" s="30"/>
      <c r="C98" s="120">
        <v>55388.537300000004</v>
      </c>
      <c r="D98" s="48">
        <v>2.3E-3</v>
      </c>
      <c r="E98" s="40">
        <f t="shared" si="17"/>
        <v>17905.679201793053</v>
      </c>
      <c r="F98" s="44">
        <f t="shared" si="18"/>
        <v>17905.5</v>
      </c>
      <c r="G98" s="40">
        <f t="shared" si="15"/>
        <v>8.4455349999188911E-2</v>
      </c>
      <c r="H98" s="40"/>
      <c r="I98" s="26"/>
      <c r="J98" s="26"/>
      <c r="K98" s="26"/>
      <c r="L98" s="26"/>
      <c r="M98" s="26"/>
      <c r="N98">
        <f t="shared" si="24"/>
        <v>8.4455349999188911E-2</v>
      </c>
      <c r="O98">
        <f t="shared" ca="1" si="16"/>
        <v>7.9984765137474947E-2</v>
      </c>
      <c r="P98" s="38">
        <f t="shared" si="23"/>
        <v>8.0164019082953952E-2</v>
      </c>
      <c r="Q98" s="10">
        <f t="shared" si="19"/>
        <v>40370.037300000004</v>
      </c>
      <c r="R98" s="9">
        <f t="shared" si="20"/>
        <v>1.8415521032633971E-5</v>
      </c>
      <c r="S98" s="25">
        <v>1</v>
      </c>
      <c r="T98" s="25">
        <f t="shared" si="21"/>
        <v>1.8415521032633971E-5</v>
      </c>
      <c r="U98" s="71">
        <f t="shared" si="22"/>
        <v>4.2913309162349589E-3</v>
      </c>
      <c r="V98" s="25"/>
    </row>
    <row r="99" spans="1:25" x14ac:dyDescent="0.2">
      <c r="A99" s="125" t="s">
        <v>200</v>
      </c>
      <c r="B99" s="123" t="s">
        <v>64</v>
      </c>
      <c r="C99" s="125">
        <v>55393.481899999999</v>
      </c>
      <c r="D99" s="125">
        <v>2.0000000000000001E-4</v>
      </c>
      <c r="E99" s="40">
        <f t="shared" si="17"/>
        <v>17916.170913519014</v>
      </c>
      <c r="F99" s="44">
        <f t="shared" si="18"/>
        <v>17916</v>
      </c>
      <c r="G99" s="40">
        <f t="shared" si="15"/>
        <v>8.0549199992674403E-2</v>
      </c>
      <c r="H99" s="40"/>
      <c r="I99" s="26"/>
      <c r="J99" s="26"/>
      <c r="K99" s="26"/>
      <c r="L99" s="26"/>
      <c r="M99" s="26"/>
      <c r="N99">
        <f t="shared" si="24"/>
        <v>8.0549199992674403E-2</v>
      </c>
      <c r="O99">
        <f t="shared" ca="1" si="16"/>
        <v>8.0087938937620881E-2</v>
      </c>
      <c r="P99" s="38">
        <f t="shared" si="23"/>
        <v>8.0253895809396902E-2</v>
      </c>
      <c r="Q99" s="10">
        <f t="shared" si="19"/>
        <v>40374.981899999999</v>
      </c>
      <c r="R99" s="9">
        <f t="shared" si="20"/>
        <v>8.7204560661191613E-8</v>
      </c>
      <c r="S99" s="25">
        <v>1</v>
      </c>
      <c r="T99" s="25">
        <f t="shared" si="21"/>
        <v>8.7204560661191613E-8</v>
      </c>
      <c r="U99" s="71">
        <f t="shared" si="22"/>
        <v>2.9530418327750052E-4</v>
      </c>
      <c r="V99" s="25"/>
    </row>
    <row r="100" spans="1:25" x14ac:dyDescent="0.2">
      <c r="A100" s="125" t="s">
        <v>200</v>
      </c>
      <c r="B100" s="123" t="s">
        <v>64</v>
      </c>
      <c r="C100" s="125">
        <v>55444.381699999998</v>
      </c>
      <c r="D100" s="125">
        <v>1E-4</v>
      </c>
      <c r="E100" s="40">
        <f t="shared" si="17"/>
        <v>18024.172779900444</v>
      </c>
      <c r="F100" s="44">
        <f t="shared" si="18"/>
        <v>18024</v>
      </c>
      <c r="G100" s="40">
        <f t="shared" si="15"/>
        <v>8.1428799996501766E-2</v>
      </c>
      <c r="H100" s="40"/>
      <c r="I100" s="26"/>
      <c r="J100" s="26"/>
      <c r="K100" s="26"/>
      <c r="L100" s="26"/>
      <c r="M100" s="26"/>
      <c r="N100">
        <f t="shared" si="24"/>
        <v>8.1428799996501766E-2</v>
      </c>
      <c r="O100">
        <f t="shared" ca="1" si="16"/>
        <v>8.114915516769329E-2</v>
      </c>
      <c r="P100" s="38">
        <f t="shared" si="23"/>
        <v>8.118100685945645E-2</v>
      </c>
      <c r="Q100" s="10">
        <f t="shared" si="19"/>
        <v>40425.881699999998</v>
      </c>
      <c r="R100" s="9">
        <f t="shared" si="20"/>
        <v>6.1401438766758598E-8</v>
      </c>
      <c r="S100" s="25">
        <v>1</v>
      </c>
      <c r="T100" s="25">
        <f t="shared" si="21"/>
        <v>6.1401438766758598E-8</v>
      </c>
      <c r="U100" s="71">
        <f t="shared" si="22"/>
        <v>2.4779313704531569E-4</v>
      </c>
      <c r="V100" s="25"/>
    </row>
    <row r="101" spans="1:25" x14ac:dyDescent="0.2">
      <c r="A101" s="130" t="s">
        <v>193</v>
      </c>
      <c r="B101" s="30"/>
      <c r="C101" s="120">
        <v>55695.816899999998</v>
      </c>
      <c r="D101" s="48">
        <v>2.9999999999999997E-4</v>
      </c>
      <c r="E101" s="40">
        <f t="shared" si="17"/>
        <v>18557.681180208285</v>
      </c>
      <c r="F101" s="44">
        <f t="shared" si="18"/>
        <v>18557.5</v>
      </c>
      <c r="G101" s="40">
        <f t="shared" si="15"/>
        <v>8.5387749997607898E-2</v>
      </c>
      <c r="H101" s="40"/>
      <c r="I101" s="26"/>
      <c r="J101" s="26"/>
      <c r="K101" s="26"/>
      <c r="L101" s="26">
        <f>G101</f>
        <v>8.5387749997607898E-2</v>
      </c>
      <c r="M101" s="26"/>
      <c r="O101">
        <f t="shared" ca="1" si="16"/>
        <v>8.6391366822726787E-2</v>
      </c>
      <c r="P101" s="38">
        <f t="shared" si="23"/>
        <v>8.5831707575176941E-2</v>
      </c>
      <c r="Q101" s="10">
        <f t="shared" si="19"/>
        <v>40677.316899999998</v>
      </c>
      <c r="R101" s="9">
        <f t="shared" si="20"/>
        <v>1.9709833068097281E-7</v>
      </c>
      <c r="S101" s="25">
        <v>1</v>
      </c>
      <c r="T101" s="25">
        <f t="shared" si="21"/>
        <v>1.9709833068097281E-7</v>
      </c>
      <c r="U101" s="71">
        <f t="shared" si="22"/>
        <v>-4.4395757756904297E-4</v>
      </c>
      <c r="V101" s="25"/>
    </row>
    <row r="102" spans="1:25" x14ac:dyDescent="0.2">
      <c r="A102" s="125" t="s">
        <v>200</v>
      </c>
      <c r="B102" s="123" t="s">
        <v>60</v>
      </c>
      <c r="C102" s="125">
        <v>55710.427799999998</v>
      </c>
      <c r="D102" s="125">
        <v>3.0999999999999999E-3</v>
      </c>
      <c r="E102" s="40">
        <f t="shared" si="17"/>
        <v>18588.683354470508</v>
      </c>
      <c r="F102" s="44">
        <f t="shared" si="18"/>
        <v>18588.5</v>
      </c>
      <c r="G102" s="40">
        <f t="shared" si="15"/>
        <v>8.6412449993076734E-2</v>
      </c>
      <c r="H102" s="40"/>
      <c r="I102" s="26"/>
      <c r="J102" s="26"/>
      <c r="K102" s="26"/>
      <c r="L102" s="26"/>
      <c r="M102" s="26"/>
      <c r="N102">
        <f>G102</f>
        <v>8.6412449993076734E-2</v>
      </c>
      <c r="O102">
        <f t="shared" ca="1" si="16"/>
        <v>8.6695975185062377E-2</v>
      </c>
      <c r="P102" s="38">
        <f t="shared" si="23"/>
        <v>8.6105555851521132E-2</v>
      </c>
      <c r="Q102" s="10">
        <f t="shared" si="19"/>
        <v>40691.927799999998</v>
      </c>
      <c r="R102" s="9">
        <f t="shared" si="20"/>
        <v>9.4184014121150225E-8</v>
      </c>
      <c r="S102" s="25">
        <v>0.5</v>
      </c>
      <c r="T102" s="25">
        <f t="shared" si="21"/>
        <v>4.7092007060575113E-8</v>
      </c>
      <c r="U102" s="71">
        <f t="shared" si="22"/>
        <v>3.0689414155560257E-4</v>
      </c>
      <c r="V102" s="25"/>
    </row>
    <row r="103" spans="1:25" x14ac:dyDescent="0.2">
      <c r="A103" s="125" t="s">
        <v>199</v>
      </c>
      <c r="B103" s="123" t="s">
        <v>60</v>
      </c>
      <c r="C103" s="125">
        <v>55737.763800000001</v>
      </c>
      <c r="D103" s="125">
        <v>4.0000000000000002E-4</v>
      </c>
      <c r="E103" s="40">
        <f t="shared" si="17"/>
        <v>18646.686313605973</v>
      </c>
      <c r="F103" s="44">
        <f t="shared" si="18"/>
        <v>18646.5</v>
      </c>
      <c r="G103" s="40">
        <f t="shared" si="15"/>
        <v>8.7807049996627029E-2</v>
      </c>
      <c r="H103" s="40"/>
      <c r="I103" s="26"/>
      <c r="J103" s="26"/>
      <c r="K103" s="26"/>
      <c r="L103" s="26"/>
      <c r="M103" s="26"/>
      <c r="N103">
        <f>G103</f>
        <v>8.7807049996627029E-2</v>
      </c>
      <c r="O103">
        <f t="shared" ca="1" si="16"/>
        <v>8.726588760491609E-2</v>
      </c>
      <c r="P103" s="38">
        <f t="shared" si="23"/>
        <v>8.6618977622221482E-2</v>
      </c>
      <c r="Q103" s="10">
        <f t="shared" si="19"/>
        <v>40719.263800000001</v>
      </c>
      <c r="R103" s="9">
        <f t="shared" si="20"/>
        <v>1.4115159668256334E-6</v>
      </c>
      <c r="S103" s="25">
        <v>1</v>
      </c>
      <c r="T103" s="25">
        <f t="shared" si="21"/>
        <v>1.4115159668256334E-6</v>
      </c>
      <c r="U103" s="71">
        <f t="shared" si="22"/>
        <v>1.1880723744055466E-3</v>
      </c>
      <c r="V103" s="25"/>
    </row>
    <row r="104" spans="1:25" x14ac:dyDescent="0.2">
      <c r="A104" s="92"/>
      <c r="B104" s="30"/>
      <c r="C104" s="120"/>
      <c r="D104" s="48"/>
      <c r="E104" s="40"/>
      <c r="F104" s="44"/>
      <c r="G104" s="40"/>
      <c r="H104" s="40"/>
      <c r="I104" s="26"/>
      <c r="J104" s="26"/>
      <c r="K104" s="26"/>
      <c r="L104" s="26"/>
      <c r="M104" s="26"/>
      <c r="P104" s="38"/>
      <c r="Q104" s="10"/>
      <c r="R104" s="9"/>
      <c r="S104" s="25"/>
      <c r="T104" s="25"/>
      <c r="U104" s="25"/>
      <c r="V104" s="25"/>
      <c r="Y104" s="71"/>
    </row>
    <row r="105" spans="1:25" x14ac:dyDescent="0.2">
      <c r="A105" s="125"/>
      <c r="B105" s="123"/>
      <c r="C105" s="125"/>
      <c r="D105" s="125"/>
      <c r="E105" s="40"/>
      <c r="F105" s="44"/>
      <c r="G105" s="40"/>
      <c r="H105" s="40"/>
      <c r="I105" s="26"/>
      <c r="J105" s="26"/>
      <c r="K105" s="26"/>
      <c r="L105" s="26"/>
      <c r="M105" s="26"/>
      <c r="P105" s="38"/>
      <c r="Q105" s="10"/>
      <c r="R105" s="9"/>
      <c r="S105" s="25"/>
      <c r="T105" s="25"/>
      <c r="U105" s="25"/>
      <c r="V105" s="25"/>
    </row>
    <row r="106" spans="1:25" x14ac:dyDescent="0.2">
      <c r="A106" s="125"/>
      <c r="B106" s="123"/>
      <c r="C106" s="125"/>
      <c r="D106" s="125"/>
      <c r="E106" s="40"/>
      <c r="F106" s="44"/>
      <c r="G106" s="40"/>
      <c r="H106" s="40"/>
      <c r="I106" s="26"/>
      <c r="J106" s="26"/>
      <c r="K106" s="26"/>
      <c r="L106" s="26"/>
      <c r="M106" s="26"/>
      <c r="P106" s="38"/>
      <c r="Q106" s="10"/>
      <c r="R106" s="9"/>
      <c r="S106" s="25"/>
      <c r="T106" s="25"/>
      <c r="U106" s="25"/>
      <c r="V106" s="25"/>
    </row>
    <row r="107" spans="1:25" x14ac:dyDescent="0.2">
      <c r="A107" s="130"/>
      <c r="B107" s="30"/>
      <c r="C107" s="120"/>
      <c r="D107" s="48"/>
      <c r="E107" s="40"/>
      <c r="F107" s="44"/>
      <c r="G107" s="40"/>
      <c r="H107" s="40"/>
      <c r="I107" s="26"/>
      <c r="J107" s="26"/>
      <c r="K107" s="26"/>
      <c r="L107" s="26"/>
      <c r="M107" s="26"/>
      <c r="P107" s="38"/>
      <c r="Q107" s="10"/>
      <c r="R107" s="9"/>
      <c r="S107" s="25"/>
      <c r="T107" s="25"/>
      <c r="U107" s="25"/>
      <c r="V107" s="25"/>
    </row>
    <row r="108" spans="1:25" x14ac:dyDescent="0.2">
      <c r="A108" s="125"/>
      <c r="B108" s="123"/>
      <c r="C108" s="125"/>
      <c r="D108" s="125"/>
      <c r="E108" s="40"/>
      <c r="F108" s="44"/>
      <c r="G108" s="40"/>
      <c r="H108" s="40"/>
      <c r="I108" s="26"/>
      <c r="J108" s="26"/>
      <c r="K108" s="26"/>
      <c r="L108" s="26"/>
      <c r="M108" s="26"/>
      <c r="P108" s="38"/>
      <c r="Q108" s="10"/>
      <c r="R108" s="9"/>
      <c r="S108" s="25"/>
      <c r="T108" s="25"/>
      <c r="U108" s="25"/>
      <c r="V108" s="25"/>
    </row>
    <row r="109" spans="1:25" x14ac:dyDescent="0.2">
      <c r="A109" s="125"/>
      <c r="B109" s="123"/>
      <c r="C109" s="125"/>
      <c r="D109" s="125"/>
      <c r="E109" s="40"/>
      <c r="F109" s="44"/>
      <c r="G109" s="40"/>
      <c r="H109" s="40"/>
      <c r="I109" s="26"/>
      <c r="J109" s="26"/>
      <c r="K109" s="26"/>
      <c r="L109" s="26"/>
      <c r="M109" s="26"/>
      <c r="P109" s="38"/>
      <c r="Q109" s="10"/>
      <c r="R109" s="9"/>
      <c r="S109" s="25"/>
      <c r="T109" s="25"/>
      <c r="U109" s="25"/>
      <c r="V109" s="25"/>
    </row>
    <row r="110" spans="1:25" x14ac:dyDescent="0.2">
      <c r="A110" s="125"/>
      <c r="B110" s="123"/>
      <c r="C110" s="125"/>
      <c r="D110" s="125"/>
      <c r="E110" s="40"/>
      <c r="F110" s="44"/>
      <c r="G110" s="40"/>
      <c r="H110" s="40"/>
      <c r="I110" s="26"/>
      <c r="J110" s="26"/>
      <c r="K110" s="26"/>
      <c r="L110" s="26"/>
      <c r="M110" s="26"/>
      <c r="P110" s="38"/>
      <c r="Q110" s="10"/>
      <c r="R110" s="9"/>
    </row>
    <row r="111" spans="1:25" x14ac:dyDescent="0.2">
      <c r="A111" s="30"/>
      <c r="B111" s="30"/>
      <c r="C111" s="30"/>
      <c r="D111" s="30"/>
    </row>
    <row r="112" spans="1:25" x14ac:dyDescent="0.2">
      <c r="A112" s="30"/>
      <c r="B112" s="30"/>
      <c r="C112" s="30"/>
      <c r="D112" s="30"/>
    </row>
    <row r="113" spans="1:4" x14ac:dyDescent="0.2">
      <c r="A113" s="30"/>
      <c r="B113" s="30"/>
      <c r="C113" s="30"/>
      <c r="D113" s="30"/>
    </row>
    <row r="114" spans="1:4" x14ac:dyDescent="0.2">
      <c r="A114" s="30"/>
      <c r="B114" s="30"/>
      <c r="C114" s="30"/>
      <c r="D114" s="30"/>
    </row>
    <row r="115" spans="1:4" x14ac:dyDescent="0.2">
      <c r="A115" s="30"/>
      <c r="B115" s="30"/>
      <c r="C115" s="30"/>
      <c r="D115" s="30"/>
    </row>
    <row r="116" spans="1:4" x14ac:dyDescent="0.2">
      <c r="A116" s="30"/>
      <c r="B116" s="30"/>
      <c r="C116" s="30"/>
      <c r="D116" s="30"/>
    </row>
    <row r="117" spans="1:4" x14ac:dyDescent="0.2">
      <c r="A117" s="30"/>
      <c r="B117" s="30"/>
      <c r="C117" s="30"/>
      <c r="D117" s="30"/>
    </row>
    <row r="118" spans="1:4" x14ac:dyDescent="0.2">
      <c r="A118" s="30"/>
      <c r="B118" s="30"/>
      <c r="C118" s="30"/>
      <c r="D118" s="30"/>
    </row>
    <row r="119" spans="1:4" x14ac:dyDescent="0.2">
      <c r="A119" s="30"/>
      <c r="B119" s="30"/>
      <c r="C119" s="30"/>
      <c r="D119" s="30"/>
    </row>
    <row r="120" spans="1:4" x14ac:dyDescent="0.2">
      <c r="A120" s="30"/>
      <c r="B120" s="30"/>
      <c r="C120" s="30"/>
      <c r="D120" s="30"/>
    </row>
    <row r="121" spans="1:4" x14ac:dyDescent="0.2">
      <c r="A121" s="30"/>
      <c r="B121" s="30"/>
      <c r="C121" s="30"/>
      <c r="D121" s="30"/>
    </row>
    <row r="122" spans="1:4" x14ac:dyDescent="0.2">
      <c r="A122" s="30"/>
      <c r="B122" s="30"/>
      <c r="C122" s="30"/>
      <c r="D122" s="30"/>
    </row>
    <row r="123" spans="1:4" x14ac:dyDescent="0.2">
      <c r="A123" s="30"/>
      <c r="B123" s="30"/>
      <c r="C123" s="30"/>
      <c r="D123" s="30"/>
    </row>
    <row r="124" spans="1:4" x14ac:dyDescent="0.2">
      <c r="A124" s="30"/>
      <c r="B124" s="30"/>
      <c r="C124" s="30"/>
      <c r="D124" s="30"/>
    </row>
    <row r="125" spans="1:4" x14ac:dyDescent="0.2">
      <c r="A125" s="30"/>
      <c r="B125" s="30"/>
      <c r="C125" s="30"/>
      <c r="D125" s="30"/>
    </row>
    <row r="126" spans="1:4" x14ac:dyDescent="0.2">
      <c r="A126" s="30"/>
      <c r="B126" s="30"/>
      <c r="C126" s="30"/>
      <c r="D126" s="30"/>
    </row>
    <row r="127" spans="1:4" x14ac:dyDescent="0.2">
      <c r="A127" s="30"/>
      <c r="B127" s="30"/>
      <c r="C127" s="30"/>
      <c r="D127" s="30"/>
    </row>
    <row r="128" spans="1:4" x14ac:dyDescent="0.2">
      <c r="A128" s="30"/>
      <c r="B128" s="30"/>
      <c r="C128" s="30"/>
      <c r="D128" s="30"/>
    </row>
    <row r="129" spans="1:4" x14ac:dyDescent="0.2">
      <c r="A129" s="30"/>
      <c r="B129" s="30"/>
      <c r="C129" s="30"/>
      <c r="D129" s="30"/>
    </row>
    <row r="130" spans="1:4" x14ac:dyDescent="0.2">
      <c r="A130" s="30"/>
      <c r="B130" s="30"/>
      <c r="C130" s="30"/>
      <c r="D130" s="30"/>
    </row>
    <row r="131" spans="1:4" x14ac:dyDescent="0.2">
      <c r="A131" s="30"/>
      <c r="B131" s="30"/>
      <c r="C131" s="30"/>
      <c r="D131" s="30"/>
    </row>
    <row r="132" spans="1:4" x14ac:dyDescent="0.2">
      <c r="A132" s="30"/>
      <c r="B132" s="30"/>
      <c r="C132" s="30"/>
      <c r="D132" s="30"/>
    </row>
    <row r="133" spans="1:4" x14ac:dyDescent="0.2">
      <c r="A133" s="30"/>
      <c r="B133" s="30"/>
      <c r="C133" s="30"/>
      <c r="D133" s="30"/>
    </row>
    <row r="134" spans="1:4" x14ac:dyDescent="0.2">
      <c r="A134" s="30"/>
      <c r="B134" s="30"/>
      <c r="C134" s="30"/>
      <c r="D134" s="30"/>
    </row>
    <row r="135" spans="1:4" x14ac:dyDescent="0.2">
      <c r="A135" s="30"/>
      <c r="B135" s="30"/>
      <c r="C135" s="30"/>
      <c r="D135" s="30"/>
    </row>
    <row r="136" spans="1:4" x14ac:dyDescent="0.2">
      <c r="A136" s="30"/>
      <c r="B136" s="30"/>
      <c r="C136" s="30"/>
      <c r="D136" s="30"/>
    </row>
    <row r="137" spans="1:4" x14ac:dyDescent="0.2">
      <c r="A137" s="30"/>
      <c r="B137" s="30"/>
      <c r="C137" s="30"/>
      <c r="D137" s="30"/>
    </row>
    <row r="138" spans="1:4" x14ac:dyDescent="0.2">
      <c r="A138" s="30"/>
      <c r="B138" s="30"/>
      <c r="C138" s="30"/>
      <c r="D138" s="30"/>
    </row>
    <row r="139" spans="1:4" x14ac:dyDescent="0.2">
      <c r="A139" s="30"/>
      <c r="B139" s="30"/>
      <c r="C139" s="30"/>
      <c r="D139" s="30"/>
    </row>
    <row r="140" spans="1:4" x14ac:dyDescent="0.2">
      <c r="A140" s="30"/>
      <c r="B140" s="30"/>
      <c r="C140" s="30"/>
      <c r="D140" s="30"/>
    </row>
    <row r="141" spans="1:4" x14ac:dyDescent="0.2">
      <c r="A141" s="30"/>
      <c r="B141" s="30"/>
      <c r="C141" s="30"/>
      <c r="D141" s="30"/>
    </row>
    <row r="142" spans="1:4" x14ac:dyDescent="0.2">
      <c r="A142" s="30"/>
      <c r="B142" s="30"/>
      <c r="C142" s="30"/>
      <c r="D142" s="30"/>
    </row>
    <row r="143" spans="1:4" x14ac:dyDescent="0.2">
      <c r="A143" s="30"/>
      <c r="B143" s="30"/>
      <c r="C143" s="30"/>
      <c r="D143" s="30"/>
    </row>
    <row r="144" spans="1:4" x14ac:dyDescent="0.2">
      <c r="A144" s="30"/>
      <c r="B144" s="30"/>
      <c r="C144" s="30"/>
      <c r="D144" s="30"/>
    </row>
    <row r="145" spans="1:4" x14ac:dyDescent="0.2">
      <c r="A145" s="30"/>
      <c r="B145" s="30"/>
      <c r="C145" s="30"/>
      <c r="D145" s="30"/>
    </row>
    <row r="146" spans="1:4" x14ac:dyDescent="0.2">
      <c r="A146" s="30"/>
      <c r="B146" s="30"/>
      <c r="C146" s="30"/>
      <c r="D146" s="30"/>
    </row>
    <row r="147" spans="1:4" x14ac:dyDescent="0.2">
      <c r="A147" s="30"/>
      <c r="B147" s="30"/>
      <c r="C147" s="30"/>
      <c r="D147" s="30"/>
    </row>
    <row r="148" spans="1:4" x14ac:dyDescent="0.2">
      <c r="A148" s="30"/>
      <c r="B148" s="30"/>
      <c r="C148" s="30"/>
      <c r="D148" s="30"/>
    </row>
    <row r="149" spans="1:4" x14ac:dyDescent="0.2">
      <c r="A149" s="30"/>
      <c r="B149" s="30"/>
      <c r="C149" s="30"/>
      <c r="D149" s="30"/>
    </row>
    <row r="150" spans="1:4" x14ac:dyDescent="0.2">
      <c r="A150" s="30"/>
      <c r="B150" s="30"/>
      <c r="C150" s="30"/>
      <c r="D150" s="30"/>
    </row>
    <row r="151" spans="1:4" x14ac:dyDescent="0.2">
      <c r="A151" s="30"/>
      <c r="B151" s="30"/>
      <c r="C151" s="30"/>
      <c r="D151" s="30"/>
    </row>
    <row r="152" spans="1:4" x14ac:dyDescent="0.2">
      <c r="A152" s="30"/>
      <c r="B152" s="30"/>
      <c r="C152" s="30"/>
      <c r="D152" s="30"/>
    </row>
    <row r="153" spans="1:4" x14ac:dyDescent="0.2">
      <c r="A153" s="30"/>
      <c r="B153" s="30"/>
      <c r="C153" s="30"/>
      <c r="D153" s="30"/>
    </row>
    <row r="154" spans="1:4" x14ac:dyDescent="0.2">
      <c r="A154" s="30"/>
      <c r="B154" s="30"/>
      <c r="C154" s="30"/>
      <c r="D154" s="30"/>
    </row>
    <row r="155" spans="1:4" x14ac:dyDescent="0.2">
      <c r="A155" s="30"/>
      <c r="B155" s="30"/>
      <c r="C155" s="30"/>
      <c r="D155" s="30"/>
    </row>
    <row r="156" spans="1:4" x14ac:dyDescent="0.2">
      <c r="A156" s="30"/>
      <c r="B156" s="30"/>
      <c r="C156" s="30"/>
      <c r="D156" s="30"/>
    </row>
    <row r="157" spans="1:4" x14ac:dyDescent="0.2">
      <c r="A157" s="30"/>
      <c r="B157" s="30"/>
      <c r="C157" s="30"/>
      <c r="D157" s="30"/>
    </row>
    <row r="158" spans="1:4" x14ac:dyDescent="0.2">
      <c r="A158" s="30"/>
      <c r="B158" s="30"/>
      <c r="C158" s="30"/>
      <c r="D158" s="30"/>
    </row>
    <row r="159" spans="1:4" x14ac:dyDescent="0.2">
      <c r="A159" s="30"/>
      <c r="B159" s="30"/>
      <c r="C159" s="30"/>
      <c r="D159" s="30"/>
    </row>
    <row r="160" spans="1:4" x14ac:dyDescent="0.2">
      <c r="A160" s="30"/>
      <c r="B160" s="30"/>
      <c r="C160" s="30"/>
      <c r="D160" s="30"/>
    </row>
    <row r="161" spans="1:4" x14ac:dyDescent="0.2">
      <c r="A161" s="30"/>
      <c r="B161" s="30"/>
      <c r="C161" s="30"/>
      <c r="D161" s="30"/>
    </row>
    <row r="162" spans="1:4" x14ac:dyDescent="0.2">
      <c r="A162" s="30"/>
      <c r="B162" s="30"/>
      <c r="C162" s="30"/>
      <c r="D162" s="30"/>
    </row>
    <row r="163" spans="1:4" x14ac:dyDescent="0.2">
      <c r="A163" s="30"/>
      <c r="B163" s="30"/>
      <c r="C163" s="30"/>
      <c r="D163" s="30"/>
    </row>
    <row r="164" spans="1:4" x14ac:dyDescent="0.2">
      <c r="A164" s="30"/>
      <c r="B164" s="30"/>
      <c r="C164" s="30"/>
      <c r="D164" s="30"/>
    </row>
    <row r="165" spans="1:4" x14ac:dyDescent="0.2">
      <c r="A165" s="30"/>
      <c r="B165" s="30"/>
      <c r="C165" s="30"/>
      <c r="D165" s="30"/>
    </row>
    <row r="166" spans="1:4" x14ac:dyDescent="0.2">
      <c r="A166" s="30"/>
      <c r="B166" s="30"/>
      <c r="C166" s="30"/>
      <c r="D166" s="30"/>
    </row>
    <row r="167" spans="1:4" x14ac:dyDescent="0.2">
      <c r="A167" s="30"/>
      <c r="B167" s="30"/>
      <c r="C167" s="30"/>
      <c r="D167" s="30"/>
    </row>
    <row r="168" spans="1:4" x14ac:dyDescent="0.2">
      <c r="A168" s="30"/>
      <c r="B168" s="30"/>
      <c r="C168" s="30"/>
      <c r="D168" s="30"/>
    </row>
    <row r="169" spans="1:4" x14ac:dyDescent="0.2">
      <c r="A169" s="30"/>
      <c r="B169" s="30"/>
      <c r="C169" s="30"/>
      <c r="D169" s="30"/>
    </row>
    <row r="170" spans="1:4" x14ac:dyDescent="0.2">
      <c r="A170" s="30"/>
      <c r="B170" s="30"/>
      <c r="C170" s="30"/>
      <c r="D170" s="30"/>
    </row>
    <row r="171" spans="1:4" x14ac:dyDescent="0.2">
      <c r="A171" s="30"/>
      <c r="B171" s="30"/>
      <c r="C171" s="30"/>
      <c r="D171" s="30"/>
    </row>
    <row r="172" spans="1:4" x14ac:dyDescent="0.2">
      <c r="A172" s="30"/>
      <c r="B172" s="30"/>
      <c r="C172" s="30"/>
      <c r="D172" s="30"/>
    </row>
    <row r="173" spans="1:4" x14ac:dyDescent="0.2">
      <c r="A173" s="30"/>
      <c r="B173" s="30"/>
      <c r="C173" s="30"/>
      <c r="D173" s="30"/>
    </row>
    <row r="174" spans="1:4" x14ac:dyDescent="0.2">
      <c r="A174" s="30"/>
      <c r="B174" s="30"/>
      <c r="C174" s="30"/>
      <c r="D174" s="30"/>
    </row>
    <row r="175" spans="1:4" x14ac:dyDescent="0.2">
      <c r="A175" s="30"/>
      <c r="B175" s="30"/>
      <c r="C175" s="30"/>
      <c r="D175" s="30"/>
    </row>
    <row r="176" spans="1:4" x14ac:dyDescent="0.2">
      <c r="A176" s="30"/>
      <c r="B176" s="30"/>
      <c r="C176" s="30"/>
      <c r="D176" s="30"/>
    </row>
    <row r="177" spans="1:4" x14ac:dyDescent="0.2">
      <c r="A177" s="30"/>
      <c r="B177" s="30"/>
      <c r="C177" s="30"/>
      <c r="D177" s="30"/>
    </row>
    <row r="178" spans="1:4" x14ac:dyDescent="0.2">
      <c r="A178" s="30"/>
      <c r="B178" s="30"/>
      <c r="C178" s="30"/>
      <c r="D178" s="30"/>
    </row>
    <row r="179" spans="1:4" x14ac:dyDescent="0.2">
      <c r="A179" s="30"/>
      <c r="B179" s="30"/>
      <c r="C179" s="30"/>
      <c r="D179" s="30"/>
    </row>
    <row r="180" spans="1:4" x14ac:dyDescent="0.2">
      <c r="A180" s="30"/>
      <c r="B180" s="30"/>
      <c r="C180" s="30"/>
      <c r="D180" s="30"/>
    </row>
    <row r="181" spans="1:4" x14ac:dyDescent="0.2">
      <c r="A181" s="30"/>
      <c r="B181" s="30"/>
      <c r="C181" s="30"/>
      <c r="D181" s="30"/>
    </row>
    <row r="182" spans="1:4" x14ac:dyDescent="0.2">
      <c r="A182" s="30"/>
      <c r="B182" s="30"/>
      <c r="C182" s="30"/>
      <c r="D182" s="30"/>
    </row>
    <row r="183" spans="1:4" x14ac:dyDescent="0.2">
      <c r="A183" s="30"/>
      <c r="B183" s="30"/>
      <c r="C183" s="30"/>
      <c r="D183" s="30"/>
    </row>
    <row r="184" spans="1:4" x14ac:dyDescent="0.2">
      <c r="A184" s="30"/>
      <c r="B184" s="30"/>
      <c r="C184" s="30"/>
      <c r="D184" s="30"/>
    </row>
    <row r="185" spans="1:4" x14ac:dyDescent="0.2">
      <c r="A185" s="30"/>
      <c r="B185" s="30"/>
      <c r="C185" s="30"/>
      <c r="D185" s="30"/>
    </row>
    <row r="186" spans="1:4" x14ac:dyDescent="0.2">
      <c r="A186" s="30"/>
      <c r="B186" s="30"/>
      <c r="C186" s="30"/>
      <c r="D186" s="30"/>
    </row>
    <row r="187" spans="1:4" x14ac:dyDescent="0.2">
      <c r="A187" s="30"/>
      <c r="B187" s="30"/>
      <c r="C187" s="30"/>
      <c r="D187" s="30"/>
    </row>
    <row r="188" spans="1:4" x14ac:dyDescent="0.2">
      <c r="A188" s="30"/>
      <c r="B188" s="30"/>
      <c r="C188" s="30"/>
      <c r="D188" s="30"/>
    </row>
    <row r="189" spans="1:4" x14ac:dyDescent="0.2">
      <c r="A189" s="30"/>
      <c r="B189" s="30"/>
      <c r="C189" s="30"/>
      <c r="D189" s="30"/>
    </row>
    <row r="190" spans="1:4" x14ac:dyDescent="0.2">
      <c r="A190" s="30"/>
      <c r="B190" s="30"/>
      <c r="C190" s="30"/>
      <c r="D190" s="30"/>
    </row>
    <row r="191" spans="1:4" x14ac:dyDescent="0.2">
      <c r="A191" s="30"/>
      <c r="B191" s="30"/>
      <c r="C191" s="30"/>
      <c r="D191" s="30"/>
    </row>
    <row r="192" spans="1:4" x14ac:dyDescent="0.2">
      <c r="A192" s="30"/>
      <c r="B192" s="30"/>
      <c r="C192" s="30"/>
      <c r="D192" s="30"/>
    </row>
    <row r="193" spans="1:4" x14ac:dyDescent="0.2">
      <c r="A193" s="30"/>
      <c r="B193" s="30"/>
      <c r="C193" s="30"/>
      <c r="D193" s="30"/>
    </row>
    <row r="194" spans="1:4" x14ac:dyDescent="0.2">
      <c r="A194" s="30"/>
      <c r="B194" s="30"/>
      <c r="C194" s="30"/>
      <c r="D194" s="30"/>
    </row>
    <row r="195" spans="1:4" x14ac:dyDescent="0.2">
      <c r="A195" s="30"/>
      <c r="B195" s="30"/>
      <c r="C195" s="30"/>
      <c r="D195" s="30"/>
    </row>
    <row r="196" spans="1:4" x14ac:dyDescent="0.2">
      <c r="A196" s="30"/>
      <c r="B196" s="30"/>
      <c r="C196" s="30"/>
      <c r="D196" s="30"/>
    </row>
    <row r="197" spans="1:4" x14ac:dyDescent="0.2">
      <c r="A197" s="30"/>
      <c r="B197" s="30"/>
      <c r="C197" s="30"/>
      <c r="D197" s="30"/>
    </row>
    <row r="198" spans="1:4" x14ac:dyDescent="0.2">
      <c r="A198" s="30"/>
      <c r="B198" s="30"/>
      <c r="C198" s="30"/>
      <c r="D198" s="30"/>
    </row>
    <row r="199" spans="1:4" x14ac:dyDescent="0.2">
      <c r="A199" s="30"/>
      <c r="B199" s="30"/>
      <c r="C199" s="30"/>
      <c r="D199" s="30"/>
    </row>
    <row r="200" spans="1:4" x14ac:dyDescent="0.2">
      <c r="A200" s="30"/>
      <c r="B200" s="30"/>
      <c r="C200" s="30"/>
      <c r="D200" s="30"/>
    </row>
    <row r="201" spans="1:4" x14ac:dyDescent="0.2">
      <c r="A201" s="30"/>
      <c r="B201" s="30"/>
      <c r="C201" s="30"/>
      <c r="D201" s="30"/>
    </row>
    <row r="202" spans="1:4" x14ac:dyDescent="0.2">
      <c r="A202" s="30"/>
      <c r="B202" s="30"/>
      <c r="C202" s="30"/>
      <c r="D202" s="30"/>
    </row>
    <row r="203" spans="1:4" x14ac:dyDescent="0.2">
      <c r="A203" s="30"/>
      <c r="B203" s="30"/>
      <c r="C203" s="30"/>
      <c r="D203" s="30"/>
    </row>
    <row r="204" spans="1:4" x14ac:dyDescent="0.2">
      <c r="A204" s="30"/>
      <c r="B204" s="30"/>
      <c r="C204" s="30"/>
      <c r="D204" s="30"/>
    </row>
    <row r="205" spans="1:4" x14ac:dyDescent="0.2">
      <c r="A205" s="30"/>
      <c r="B205" s="30"/>
      <c r="C205" s="30"/>
      <c r="D205" s="30"/>
    </row>
    <row r="206" spans="1:4" x14ac:dyDescent="0.2">
      <c r="A206" s="30"/>
      <c r="B206" s="30"/>
      <c r="C206" s="30"/>
      <c r="D206" s="30"/>
    </row>
    <row r="207" spans="1:4" x14ac:dyDescent="0.2">
      <c r="A207" s="30"/>
      <c r="B207" s="30"/>
      <c r="C207" s="30"/>
      <c r="D207" s="30"/>
    </row>
    <row r="208" spans="1:4" x14ac:dyDescent="0.2">
      <c r="A208" s="30"/>
      <c r="B208" s="30"/>
      <c r="C208" s="30"/>
      <c r="D208" s="30"/>
    </row>
    <row r="209" spans="1:4" x14ac:dyDescent="0.2">
      <c r="A209" s="30"/>
      <c r="B209" s="30"/>
      <c r="C209" s="30"/>
      <c r="D209" s="30"/>
    </row>
    <row r="210" spans="1:4" x14ac:dyDescent="0.2">
      <c r="A210" s="30"/>
      <c r="B210" s="30"/>
      <c r="C210" s="30"/>
      <c r="D210" s="30"/>
    </row>
    <row r="211" spans="1:4" x14ac:dyDescent="0.2">
      <c r="A211" s="30"/>
      <c r="B211" s="30"/>
      <c r="C211" s="30"/>
      <c r="D211" s="30"/>
    </row>
    <row r="212" spans="1:4" x14ac:dyDescent="0.2">
      <c r="A212" s="30"/>
      <c r="B212" s="30"/>
      <c r="C212" s="30"/>
      <c r="D212" s="30"/>
    </row>
    <row r="213" spans="1:4" x14ac:dyDescent="0.2">
      <c r="A213" s="30"/>
      <c r="B213" s="30"/>
      <c r="C213" s="30"/>
      <c r="D213" s="30"/>
    </row>
    <row r="214" spans="1:4" x14ac:dyDescent="0.2">
      <c r="A214" s="30"/>
      <c r="B214" s="30"/>
      <c r="C214" s="30"/>
      <c r="D214" s="30"/>
    </row>
    <row r="215" spans="1:4" x14ac:dyDescent="0.2">
      <c r="A215" s="30"/>
      <c r="B215" s="30"/>
      <c r="C215" s="30"/>
      <c r="D215" s="30"/>
    </row>
    <row r="216" spans="1:4" x14ac:dyDescent="0.2">
      <c r="A216" s="30"/>
      <c r="B216" s="30"/>
      <c r="C216" s="30"/>
      <c r="D216" s="30"/>
    </row>
    <row r="217" spans="1:4" x14ac:dyDescent="0.2">
      <c r="A217" s="30"/>
      <c r="B217" s="30"/>
      <c r="C217" s="30"/>
      <c r="D217" s="30"/>
    </row>
    <row r="218" spans="1:4" x14ac:dyDescent="0.2">
      <c r="A218" s="30"/>
      <c r="B218" s="30"/>
      <c r="C218" s="30"/>
      <c r="D218" s="30"/>
    </row>
    <row r="219" spans="1:4" x14ac:dyDescent="0.2">
      <c r="A219" s="30"/>
      <c r="B219" s="30"/>
      <c r="C219" s="30"/>
      <c r="D219" s="30"/>
    </row>
    <row r="220" spans="1:4" x14ac:dyDescent="0.2">
      <c r="A220" s="30"/>
      <c r="B220" s="30"/>
      <c r="C220" s="30"/>
      <c r="D220" s="30"/>
    </row>
    <row r="221" spans="1:4" x14ac:dyDescent="0.2">
      <c r="A221" s="30"/>
      <c r="B221" s="30"/>
      <c r="C221" s="30"/>
      <c r="D221" s="30"/>
    </row>
    <row r="222" spans="1:4" x14ac:dyDescent="0.2">
      <c r="A222" s="30"/>
      <c r="B222" s="30"/>
      <c r="C222" s="30"/>
      <c r="D222" s="30"/>
    </row>
    <row r="223" spans="1:4" x14ac:dyDescent="0.2">
      <c r="A223" s="30"/>
      <c r="B223" s="30"/>
      <c r="C223" s="30"/>
      <c r="D223" s="30"/>
    </row>
    <row r="224" spans="1:4" x14ac:dyDescent="0.2">
      <c r="A224" s="30"/>
      <c r="B224" s="30"/>
      <c r="C224" s="30"/>
      <c r="D224" s="30"/>
    </row>
    <row r="225" spans="1:4" x14ac:dyDescent="0.2">
      <c r="A225" s="30"/>
      <c r="B225" s="30"/>
      <c r="C225" s="30"/>
      <c r="D225" s="30"/>
    </row>
    <row r="226" spans="1:4" x14ac:dyDescent="0.2">
      <c r="A226" s="30"/>
      <c r="B226" s="30"/>
      <c r="C226" s="30"/>
      <c r="D226" s="30"/>
    </row>
    <row r="227" spans="1:4" x14ac:dyDescent="0.2">
      <c r="A227" s="30"/>
      <c r="B227" s="30"/>
      <c r="C227" s="30"/>
      <c r="D227" s="30"/>
    </row>
    <row r="228" spans="1:4" x14ac:dyDescent="0.2">
      <c r="A228" s="30"/>
      <c r="B228" s="30"/>
      <c r="C228" s="30"/>
      <c r="D228" s="30"/>
    </row>
    <row r="229" spans="1:4" x14ac:dyDescent="0.2">
      <c r="A229" s="30"/>
      <c r="B229" s="30"/>
      <c r="C229" s="30"/>
      <c r="D229" s="30"/>
    </row>
    <row r="230" spans="1:4" x14ac:dyDescent="0.2">
      <c r="A230" s="30"/>
      <c r="B230" s="30"/>
      <c r="C230" s="30"/>
      <c r="D230" s="30"/>
    </row>
    <row r="231" spans="1:4" x14ac:dyDescent="0.2">
      <c r="A231" s="30"/>
      <c r="B231" s="30"/>
      <c r="C231" s="30"/>
      <c r="D231" s="30"/>
    </row>
    <row r="232" spans="1:4" x14ac:dyDescent="0.2">
      <c r="A232" s="30"/>
      <c r="B232" s="30"/>
      <c r="C232" s="30"/>
      <c r="D232" s="30"/>
    </row>
    <row r="233" spans="1:4" x14ac:dyDescent="0.2">
      <c r="A233" s="30"/>
      <c r="B233" s="30"/>
      <c r="C233" s="30"/>
      <c r="D233" s="30"/>
    </row>
    <row r="234" spans="1:4" x14ac:dyDescent="0.2">
      <c r="A234" s="30"/>
      <c r="B234" s="30"/>
      <c r="C234" s="30"/>
      <c r="D234" s="30"/>
    </row>
    <row r="235" spans="1:4" x14ac:dyDescent="0.2">
      <c r="A235" s="30"/>
      <c r="B235" s="30"/>
      <c r="C235" s="30"/>
      <c r="D235" s="30"/>
    </row>
    <row r="236" spans="1:4" x14ac:dyDescent="0.2">
      <c r="A236" s="30"/>
      <c r="B236" s="30"/>
      <c r="C236" s="30"/>
      <c r="D236" s="30"/>
    </row>
    <row r="237" spans="1:4" x14ac:dyDescent="0.2">
      <c r="A237" s="30"/>
      <c r="B237" s="30"/>
      <c r="C237" s="30"/>
      <c r="D237" s="30"/>
    </row>
    <row r="238" spans="1:4" x14ac:dyDescent="0.2">
      <c r="A238" s="30"/>
      <c r="B238" s="30"/>
      <c r="C238" s="30"/>
      <c r="D238" s="30"/>
    </row>
    <row r="239" spans="1:4" x14ac:dyDescent="0.2">
      <c r="A239" s="30"/>
      <c r="B239" s="30"/>
      <c r="C239" s="30"/>
      <c r="D239" s="30"/>
    </row>
    <row r="240" spans="1:4" x14ac:dyDescent="0.2">
      <c r="A240" s="30"/>
      <c r="B240" s="30"/>
      <c r="C240" s="30"/>
      <c r="D240" s="30"/>
    </row>
    <row r="241" spans="1:4" x14ac:dyDescent="0.2">
      <c r="A241" s="30"/>
      <c r="B241" s="30"/>
      <c r="C241" s="30"/>
      <c r="D241" s="30"/>
    </row>
    <row r="242" spans="1:4" x14ac:dyDescent="0.2">
      <c r="A242" s="30"/>
      <c r="B242" s="30"/>
      <c r="C242" s="30"/>
      <c r="D242" s="30"/>
    </row>
    <row r="243" spans="1:4" x14ac:dyDescent="0.2">
      <c r="A243" s="30"/>
      <c r="B243" s="30"/>
      <c r="C243" s="30"/>
      <c r="D243" s="30"/>
    </row>
    <row r="244" spans="1:4" x14ac:dyDescent="0.2">
      <c r="A244" s="30"/>
      <c r="B244" s="30"/>
      <c r="C244" s="30"/>
      <c r="D244" s="30"/>
    </row>
    <row r="245" spans="1:4" x14ac:dyDescent="0.2">
      <c r="A245" s="30"/>
      <c r="B245" s="30"/>
      <c r="C245" s="30"/>
      <c r="D245" s="30"/>
    </row>
    <row r="246" spans="1:4" x14ac:dyDescent="0.2">
      <c r="A246" s="30"/>
      <c r="B246" s="30"/>
      <c r="C246" s="30"/>
      <c r="D246" s="30"/>
    </row>
    <row r="247" spans="1:4" x14ac:dyDescent="0.2">
      <c r="A247" s="30"/>
      <c r="B247" s="30"/>
      <c r="C247" s="30"/>
      <c r="D247" s="30"/>
    </row>
    <row r="248" spans="1:4" x14ac:dyDescent="0.2">
      <c r="A248" s="30"/>
      <c r="B248" s="30"/>
      <c r="C248" s="30"/>
      <c r="D248" s="30"/>
    </row>
    <row r="249" spans="1:4" x14ac:dyDescent="0.2">
      <c r="A249" s="30"/>
      <c r="B249" s="30"/>
      <c r="C249" s="30"/>
      <c r="D249" s="30"/>
    </row>
    <row r="250" spans="1:4" x14ac:dyDescent="0.2">
      <c r="A250" s="30"/>
      <c r="B250" s="30"/>
      <c r="C250" s="30"/>
      <c r="D250" s="30"/>
    </row>
    <row r="251" spans="1:4" x14ac:dyDescent="0.2">
      <c r="A251" s="30"/>
      <c r="B251" s="30"/>
      <c r="C251" s="30"/>
      <c r="D251" s="30"/>
    </row>
    <row r="252" spans="1:4" x14ac:dyDescent="0.2">
      <c r="A252" s="30"/>
      <c r="B252" s="30"/>
      <c r="C252" s="30"/>
      <c r="D252" s="30"/>
    </row>
    <row r="253" spans="1:4" x14ac:dyDescent="0.2">
      <c r="A253" s="30"/>
      <c r="B253" s="30"/>
      <c r="C253" s="30"/>
      <c r="D253" s="30"/>
    </row>
    <row r="254" spans="1:4" x14ac:dyDescent="0.2">
      <c r="A254" s="30"/>
      <c r="B254" s="30"/>
      <c r="C254" s="30"/>
      <c r="D254" s="30"/>
    </row>
    <row r="255" spans="1:4" x14ac:dyDescent="0.2">
      <c r="A255" s="30"/>
      <c r="B255" s="30"/>
      <c r="C255" s="30"/>
      <c r="D255" s="30"/>
    </row>
    <row r="256" spans="1:4" x14ac:dyDescent="0.2">
      <c r="A256" s="30"/>
      <c r="B256" s="30"/>
      <c r="C256" s="30"/>
      <c r="D256" s="30"/>
    </row>
    <row r="257" spans="1:4" x14ac:dyDescent="0.2">
      <c r="A257" s="30"/>
      <c r="B257" s="30"/>
      <c r="C257" s="30"/>
      <c r="D257" s="30"/>
    </row>
    <row r="258" spans="1:4" x14ac:dyDescent="0.2">
      <c r="A258" s="30"/>
      <c r="B258" s="30"/>
      <c r="C258" s="30"/>
      <c r="D258" s="30"/>
    </row>
    <row r="259" spans="1:4" x14ac:dyDescent="0.2">
      <c r="A259" s="30"/>
      <c r="B259" s="30"/>
      <c r="C259" s="30"/>
      <c r="D259" s="30"/>
    </row>
    <row r="260" spans="1:4" x14ac:dyDescent="0.2">
      <c r="A260" s="30"/>
      <c r="B260" s="30"/>
      <c r="C260" s="30"/>
      <c r="D260" s="30"/>
    </row>
    <row r="261" spans="1:4" x14ac:dyDescent="0.2">
      <c r="A261" s="30"/>
      <c r="B261" s="30"/>
      <c r="C261" s="30"/>
      <c r="D261" s="30"/>
    </row>
    <row r="262" spans="1:4" x14ac:dyDescent="0.2">
      <c r="A262" s="30"/>
      <c r="B262" s="30"/>
      <c r="C262" s="30"/>
      <c r="D262" s="30"/>
    </row>
    <row r="263" spans="1:4" x14ac:dyDescent="0.2">
      <c r="A263" s="30"/>
      <c r="B263" s="30"/>
      <c r="C263" s="30"/>
      <c r="D263" s="30"/>
    </row>
    <row r="264" spans="1:4" x14ac:dyDescent="0.2">
      <c r="A264" s="30"/>
      <c r="B264" s="30"/>
      <c r="C264" s="30"/>
      <c r="D264" s="30"/>
    </row>
    <row r="265" spans="1:4" x14ac:dyDescent="0.2">
      <c r="A265" s="30"/>
      <c r="B265" s="30"/>
      <c r="C265" s="30"/>
      <c r="D265" s="30"/>
    </row>
    <row r="266" spans="1:4" x14ac:dyDescent="0.2">
      <c r="A266" s="30"/>
      <c r="B266" s="30"/>
      <c r="C266" s="30"/>
      <c r="D266" s="30"/>
    </row>
    <row r="267" spans="1:4" x14ac:dyDescent="0.2">
      <c r="A267" s="30"/>
      <c r="B267" s="30"/>
      <c r="C267" s="30"/>
      <c r="D267" s="30"/>
    </row>
    <row r="268" spans="1:4" x14ac:dyDescent="0.2">
      <c r="A268" s="30"/>
      <c r="B268" s="30"/>
      <c r="C268" s="30"/>
      <c r="D268" s="30"/>
    </row>
    <row r="269" spans="1:4" x14ac:dyDescent="0.2">
      <c r="A269" s="30"/>
      <c r="B269" s="30"/>
      <c r="C269" s="30"/>
      <c r="D269" s="30"/>
    </row>
    <row r="270" spans="1:4" x14ac:dyDescent="0.2">
      <c r="A270" s="30"/>
      <c r="B270" s="30"/>
      <c r="C270" s="30"/>
      <c r="D270" s="30"/>
    </row>
    <row r="271" spans="1:4" x14ac:dyDescent="0.2">
      <c r="A271" s="30"/>
      <c r="B271" s="30"/>
      <c r="C271" s="30"/>
      <c r="D271" s="30"/>
    </row>
    <row r="272" spans="1:4" x14ac:dyDescent="0.2">
      <c r="A272" s="30"/>
      <c r="B272" s="30"/>
      <c r="C272" s="30"/>
      <c r="D272" s="30"/>
    </row>
    <row r="273" spans="1:4" x14ac:dyDescent="0.2">
      <c r="A273" s="30"/>
      <c r="B273" s="30"/>
      <c r="C273" s="30"/>
      <c r="D273" s="30"/>
    </row>
    <row r="274" spans="1:4" x14ac:dyDescent="0.2">
      <c r="A274" s="30"/>
      <c r="B274" s="30"/>
      <c r="C274" s="30"/>
      <c r="D274" s="30"/>
    </row>
    <row r="275" spans="1:4" x14ac:dyDescent="0.2">
      <c r="A275" s="30"/>
      <c r="B275" s="30"/>
      <c r="C275" s="30"/>
      <c r="D275" s="30"/>
    </row>
    <row r="276" spans="1:4" x14ac:dyDescent="0.2">
      <c r="A276" s="30"/>
      <c r="B276" s="30"/>
      <c r="C276" s="30"/>
      <c r="D276" s="30"/>
    </row>
    <row r="277" spans="1:4" x14ac:dyDescent="0.2">
      <c r="A277" s="30"/>
      <c r="B277" s="30"/>
      <c r="C277" s="30"/>
      <c r="D277" s="30"/>
    </row>
    <row r="278" spans="1:4" x14ac:dyDescent="0.2">
      <c r="A278" s="30"/>
      <c r="B278" s="30"/>
      <c r="C278" s="30"/>
      <c r="D278" s="30"/>
    </row>
    <row r="279" spans="1:4" x14ac:dyDescent="0.2">
      <c r="A279" s="30"/>
      <c r="B279" s="30"/>
      <c r="C279" s="30"/>
      <c r="D279" s="30"/>
    </row>
    <row r="280" spans="1:4" x14ac:dyDescent="0.2">
      <c r="A280" s="30"/>
      <c r="B280" s="30"/>
      <c r="C280" s="30"/>
      <c r="D280" s="30"/>
    </row>
    <row r="281" spans="1:4" x14ac:dyDescent="0.2">
      <c r="A281" s="30"/>
      <c r="B281" s="30"/>
      <c r="C281" s="30"/>
      <c r="D281" s="30"/>
    </row>
    <row r="282" spans="1:4" x14ac:dyDescent="0.2">
      <c r="A282" s="30"/>
      <c r="B282" s="30"/>
      <c r="C282" s="30"/>
      <c r="D282" s="30"/>
    </row>
    <row r="283" spans="1:4" x14ac:dyDescent="0.2">
      <c r="A283" s="30"/>
      <c r="B283" s="30"/>
      <c r="C283" s="30"/>
      <c r="D283" s="30"/>
    </row>
    <row r="284" spans="1:4" x14ac:dyDescent="0.2">
      <c r="A284" s="30"/>
      <c r="B284" s="30"/>
      <c r="C284" s="30"/>
      <c r="D284" s="30"/>
    </row>
    <row r="285" spans="1:4" x14ac:dyDescent="0.2">
      <c r="A285" s="30"/>
      <c r="B285" s="30"/>
      <c r="C285" s="30"/>
      <c r="D285" s="30"/>
    </row>
    <row r="286" spans="1:4" x14ac:dyDescent="0.2">
      <c r="A286" s="30"/>
      <c r="B286" s="30"/>
      <c r="C286" s="30"/>
      <c r="D286" s="30"/>
    </row>
    <row r="287" spans="1:4" x14ac:dyDescent="0.2">
      <c r="A287" s="30"/>
      <c r="B287" s="30"/>
      <c r="C287" s="30"/>
      <c r="D287" s="30"/>
    </row>
    <row r="288" spans="1:4" x14ac:dyDescent="0.2">
      <c r="A288" s="30"/>
      <c r="B288" s="30"/>
      <c r="C288" s="30"/>
      <c r="D288" s="30"/>
    </row>
    <row r="289" spans="1:4" x14ac:dyDescent="0.2">
      <c r="A289" s="30"/>
      <c r="B289" s="30"/>
      <c r="C289" s="30"/>
      <c r="D289" s="30"/>
    </row>
    <row r="290" spans="1:4" x14ac:dyDescent="0.2">
      <c r="A290" s="30"/>
      <c r="B290" s="30"/>
      <c r="C290" s="30"/>
      <c r="D290" s="30"/>
    </row>
    <row r="291" spans="1:4" x14ac:dyDescent="0.2">
      <c r="A291" s="30"/>
      <c r="B291" s="30"/>
      <c r="C291" s="30"/>
      <c r="D291" s="30"/>
    </row>
    <row r="292" spans="1:4" x14ac:dyDescent="0.2">
      <c r="A292" s="30"/>
      <c r="B292" s="30"/>
      <c r="C292" s="30"/>
      <c r="D292" s="30"/>
    </row>
    <row r="293" spans="1:4" x14ac:dyDescent="0.2">
      <c r="A293" s="30"/>
      <c r="B293" s="30"/>
      <c r="C293" s="30"/>
      <c r="D293" s="30"/>
    </row>
    <row r="294" spans="1:4" x14ac:dyDescent="0.2">
      <c r="A294" s="30"/>
      <c r="B294" s="30"/>
      <c r="C294" s="30"/>
      <c r="D294" s="30"/>
    </row>
    <row r="295" spans="1:4" x14ac:dyDescent="0.2">
      <c r="A295" s="30"/>
      <c r="B295" s="30"/>
      <c r="C295" s="30"/>
      <c r="D295" s="30"/>
    </row>
    <row r="296" spans="1:4" x14ac:dyDescent="0.2">
      <c r="A296" s="30"/>
      <c r="B296" s="30"/>
      <c r="C296" s="30"/>
      <c r="D296" s="30"/>
    </row>
    <row r="297" spans="1:4" x14ac:dyDescent="0.2">
      <c r="A297" s="30"/>
      <c r="B297" s="30"/>
      <c r="C297" s="30"/>
      <c r="D297" s="30"/>
    </row>
    <row r="298" spans="1:4" x14ac:dyDescent="0.2">
      <c r="A298" s="30"/>
      <c r="B298" s="30"/>
      <c r="C298" s="30"/>
      <c r="D298" s="30"/>
    </row>
    <row r="299" spans="1:4" x14ac:dyDescent="0.2">
      <c r="A299" s="30"/>
      <c r="B299" s="30"/>
      <c r="C299" s="30"/>
      <c r="D299" s="30"/>
    </row>
    <row r="300" spans="1:4" x14ac:dyDescent="0.2">
      <c r="A300" s="30"/>
      <c r="B300" s="30"/>
      <c r="C300" s="30"/>
      <c r="D300" s="30"/>
    </row>
    <row r="301" spans="1:4" x14ac:dyDescent="0.2">
      <c r="A301" s="30"/>
      <c r="B301" s="30"/>
      <c r="C301" s="30"/>
      <c r="D301" s="30"/>
    </row>
    <row r="302" spans="1:4" x14ac:dyDescent="0.2">
      <c r="A302" s="30"/>
      <c r="B302" s="30"/>
      <c r="C302" s="30"/>
      <c r="D302" s="30"/>
    </row>
    <row r="303" spans="1:4" x14ac:dyDescent="0.2">
      <c r="A303" s="30"/>
      <c r="B303" s="30"/>
      <c r="C303" s="30"/>
      <c r="D303" s="30"/>
    </row>
    <row r="304" spans="1:4" x14ac:dyDescent="0.2">
      <c r="A304" s="30"/>
      <c r="B304" s="30"/>
      <c r="C304" s="30"/>
      <c r="D304" s="30"/>
    </row>
    <row r="305" spans="1:4" x14ac:dyDescent="0.2">
      <c r="A305" s="30"/>
      <c r="B305" s="30"/>
      <c r="C305" s="30"/>
      <c r="D305" s="30"/>
    </row>
    <row r="306" spans="1:4" x14ac:dyDescent="0.2">
      <c r="A306" s="30"/>
      <c r="B306" s="30"/>
      <c r="C306" s="30"/>
      <c r="D306" s="30"/>
    </row>
    <row r="307" spans="1:4" x14ac:dyDescent="0.2">
      <c r="A307" s="30"/>
      <c r="B307" s="30"/>
      <c r="C307" s="30"/>
      <c r="D307" s="30"/>
    </row>
    <row r="308" spans="1:4" x14ac:dyDescent="0.2">
      <c r="A308" s="30"/>
      <c r="B308" s="30"/>
      <c r="C308" s="30"/>
      <c r="D308" s="30"/>
    </row>
    <row r="309" spans="1:4" x14ac:dyDescent="0.2">
      <c r="A309" s="30"/>
      <c r="B309" s="30"/>
      <c r="C309" s="30"/>
      <c r="D309" s="30"/>
    </row>
    <row r="310" spans="1:4" x14ac:dyDescent="0.2">
      <c r="A310" s="30"/>
      <c r="B310" s="30"/>
      <c r="C310" s="30"/>
      <c r="D310" s="30"/>
    </row>
    <row r="311" spans="1:4" x14ac:dyDescent="0.2">
      <c r="A311" s="30"/>
      <c r="B311" s="30"/>
      <c r="C311" s="30"/>
      <c r="D311" s="30"/>
    </row>
    <row r="312" spans="1:4" x14ac:dyDescent="0.2">
      <c r="A312" s="30"/>
      <c r="B312" s="30"/>
      <c r="C312" s="30"/>
      <c r="D312" s="30"/>
    </row>
    <row r="313" spans="1:4" x14ac:dyDescent="0.2">
      <c r="A313" s="30"/>
      <c r="B313" s="30"/>
      <c r="C313" s="30"/>
      <c r="D313" s="30"/>
    </row>
    <row r="314" spans="1:4" x14ac:dyDescent="0.2">
      <c r="A314" s="30"/>
      <c r="B314" s="30"/>
      <c r="C314" s="30"/>
      <c r="D314" s="30"/>
    </row>
    <row r="315" spans="1:4" x14ac:dyDescent="0.2">
      <c r="A315" s="30"/>
      <c r="B315" s="30"/>
      <c r="C315" s="30"/>
      <c r="D315" s="30"/>
    </row>
    <row r="316" spans="1:4" x14ac:dyDescent="0.2">
      <c r="A316" s="30"/>
      <c r="B316" s="30"/>
      <c r="C316" s="30"/>
      <c r="D316" s="30"/>
    </row>
    <row r="317" spans="1:4" x14ac:dyDescent="0.2">
      <c r="A317" s="30"/>
      <c r="B317" s="30"/>
      <c r="C317" s="30"/>
      <c r="D317" s="30"/>
    </row>
    <row r="318" spans="1:4" x14ac:dyDescent="0.2">
      <c r="A318" s="30"/>
      <c r="B318" s="30"/>
      <c r="C318" s="30"/>
      <c r="D318" s="30"/>
    </row>
    <row r="319" spans="1:4" x14ac:dyDescent="0.2">
      <c r="A319" s="30"/>
      <c r="B319" s="30"/>
      <c r="C319" s="30"/>
      <c r="D319" s="30"/>
    </row>
    <row r="320" spans="1:4" x14ac:dyDescent="0.2">
      <c r="A320" s="30"/>
      <c r="B320" s="30"/>
      <c r="C320" s="30"/>
      <c r="D320" s="30"/>
    </row>
    <row r="321" spans="1:4" x14ac:dyDescent="0.2">
      <c r="A321" s="30"/>
      <c r="B321" s="30"/>
      <c r="C321" s="30"/>
      <c r="D321" s="30"/>
    </row>
    <row r="322" spans="1:4" x14ac:dyDescent="0.2">
      <c r="A322" s="30"/>
      <c r="B322" s="30"/>
      <c r="C322" s="30"/>
      <c r="D322" s="30"/>
    </row>
    <row r="323" spans="1:4" x14ac:dyDescent="0.2">
      <c r="A323" s="30"/>
      <c r="B323" s="30"/>
      <c r="C323" s="30"/>
      <c r="D323" s="30"/>
    </row>
    <row r="324" spans="1:4" x14ac:dyDescent="0.2">
      <c r="A324" s="30"/>
      <c r="B324" s="30"/>
      <c r="C324" s="30"/>
      <c r="D324" s="30"/>
    </row>
    <row r="325" spans="1:4" x14ac:dyDescent="0.2">
      <c r="A325" s="30"/>
      <c r="B325" s="30"/>
      <c r="C325" s="30"/>
      <c r="D325" s="30"/>
    </row>
    <row r="326" spans="1:4" x14ac:dyDescent="0.2">
      <c r="A326" s="30"/>
      <c r="B326" s="30"/>
      <c r="C326" s="30"/>
      <c r="D326" s="30"/>
    </row>
    <row r="327" spans="1:4" x14ac:dyDescent="0.2">
      <c r="A327" s="30"/>
      <c r="B327" s="30"/>
      <c r="C327" s="30"/>
      <c r="D327" s="30"/>
    </row>
    <row r="328" spans="1:4" x14ac:dyDescent="0.2">
      <c r="A328" s="30"/>
      <c r="B328" s="30"/>
      <c r="C328" s="30"/>
      <c r="D328" s="30"/>
    </row>
    <row r="329" spans="1:4" x14ac:dyDescent="0.2">
      <c r="A329" s="30"/>
      <c r="B329" s="30"/>
      <c r="C329" s="30"/>
      <c r="D329" s="30"/>
    </row>
    <row r="330" spans="1:4" x14ac:dyDescent="0.2">
      <c r="A330" s="30"/>
      <c r="B330" s="30"/>
      <c r="C330" s="30"/>
      <c r="D330" s="30"/>
    </row>
    <row r="331" spans="1:4" x14ac:dyDescent="0.2">
      <c r="A331" s="30"/>
      <c r="B331" s="30"/>
      <c r="C331" s="30"/>
      <c r="D331" s="30"/>
    </row>
    <row r="332" spans="1:4" x14ac:dyDescent="0.2">
      <c r="A332" s="30"/>
      <c r="B332" s="30"/>
      <c r="C332" s="30"/>
      <c r="D332" s="30"/>
    </row>
    <row r="333" spans="1:4" x14ac:dyDescent="0.2">
      <c r="A333" s="30"/>
      <c r="B333" s="30"/>
      <c r="C333" s="30"/>
      <c r="D333" s="30"/>
    </row>
    <row r="334" spans="1:4" x14ac:dyDescent="0.2">
      <c r="A334" s="30"/>
      <c r="B334" s="30"/>
      <c r="C334" s="30"/>
      <c r="D334" s="30"/>
    </row>
    <row r="335" spans="1:4" x14ac:dyDescent="0.2">
      <c r="A335" s="30"/>
      <c r="B335" s="30"/>
      <c r="C335" s="30"/>
      <c r="D335" s="30"/>
    </row>
    <row r="336" spans="1:4" x14ac:dyDescent="0.2">
      <c r="A336" s="30"/>
      <c r="B336" s="30"/>
      <c r="C336" s="30"/>
      <c r="D336" s="30"/>
    </row>
    <row r="337" spans="1:4" x14ac:dyDescent="0.2">
      <c r="A337" s="30"/>
      <c r="B337" s="30"/>
      <c r="C337" s="30"/>
      <c r="D337" s="30"/>
    </row>
    <row r="338" spans="1:4" x14ac:dyDescent="0.2">
      <c r="A338" s="30"/>
      <c r="B338" s="30"/>
      <c r="C338" s="30"/>
      <c r="D338" s="30"/>
    </row>
    <row r="339" spans="1:4" x14ac:dyDescent="0.2">
      <c r="A339" s="30"/>
      <c r="B339" s="30"/>
      <c r="C339" s="30"/>
      <c r="D339" s="30"/>
    </row>
    <row r="340" spans="1:4" x14ac:dyDescent="0.2">
      <c r="A340" s="30"/>
      <c r="B340" s="30"/>
      <c r="C340" s="30"/>
      <c r="D340" s="30"/>
    </row>
    <row r="341" spans="1:4" x14ac:dyDescent="0.2">
      <c r="A341" s="30"/>
      <c r="B341" s="30"/>
      <c r="C341" s="30"/>
      <c r="D341" s="30"/>
    </row>
    <row r="342" spans="1:4" x14ac:dyDescent="0.2">
      <c r="A342" s="30"/>
      <c r="B342" s="30"/>
      <c r="C342" s="30"/>
      <c r="D342" s="30"/>
    </row>
    <row r="343" spans="1:4" x14ac:dyDescent="0.2">
      <c r="A343" s="30"/>
      <c r="B343" s="30"/>
      <c r="C343" s="30"/>
      <c r="D343" s="30"/>
    </row>
    <row r="344" spans="1:4" x14ac:dyDescent="0.2">
      <c r="A344" s="30"/>
      <c r="B344" s="30"/>
      <c r="C344" s="30"/>
      <c r="D344" s="30"/>
    </row>
    <row r="345" spans="1:4" x14ac:dyDescent="0.2">
      <c r="A345" s="30"/>
      <c r="B345" s="30"/>
      <c r="C345" s="30"/>
      <c r="D345" s="30"/>
    </row>
    <row r="346" spans="1:4" x14ac:dyDescent="0.2">
      <c r="A346" s="30"/>
      <c r="B346" s="30"/>
      <c r="C346" s="30"/>
      <c r="D346" s="30"/>
    </row>
    <row r="347" spans="1:4" x14ac:dyDescent="0.2">
      <c r="A347" s="30"/>
      <c r="B347" s="30"/>
      <c r="C347" s="30"/>
      <c r="D347" s="30"/>
    </row>
    <row r="348" spans="1:4" x14ac:dyDescent="0.2">
      <c r="A348" s="30"/>
      <c r="B348" s="30"/>
      <c r="C348" s="30"/>
      <c r="D348" s="30"/>
    </row>
    <row r="349" spans="1:4" x14ac:dyDescent="0.2">
      <c r="A349" s="30"/>
      <c r="B349" s="30"/>
      <c r="C349" s="30"/>
      <c r="D349" s="30"/>
    </row>
    <row r="350" spans="1:4" x14ac:dyDescent="0.2">
      <c r="A350" s="30"/>
      <c r="B350" s="30"/>
      <c r="C350" s="30"/>
      <c r="D350" s="30"/>
    </row>
    <row r="351" spans="1:4" x14ac:dyDescent="0.2">
      <c r="A351" s="30"/>
      <c r="B351" s="30"/>
      <c r="C351" s="30"/>
      <c r="D351" s="30"/>
    </row>
    <row r="352" spans="1:4" x14ac:dyDescent="0.2">
      <c r="A352" s="30"/>
      <c r="B352" s="30"/>
      <c r="C352" s="30"/>
      <c r="D352" s="30"/>
    </row>
    <row r="353" spans="1:4" x14ac:dyDescent="0.2">
      <c r="A353" s="30"/>
      <c r="B353" s="30"/>
      <c r="C353" s="30"/>
      <c r="D353" s="30"/>
    </row>
    <row r="354" spans="1:4" x14ac:dyDescent="0.2">
      <c r="A354" s="30"/>
      <c r="B354" s="30"/>
      <c r="C354" s="30"/>
      <c r="D354" s="30"/>
    </row>
    <row r="355" spans="1:4" x14ac:dyDescent="0.2">
      <c r="A355" s="30"/>
      <c r="B355" s="30"/>
      <c r="C355" s="30"/>
      <c r="D355" s="30"/>
    </row>
    <row r="356" spans="1:4" x14ac:dyDescent="0.2">
      <c r="A356" s="30"/>
      <c r="B356" s="30"/>
      <c r="C356" s="30"/>
      <c r="D356" s="30"/>
    </row>
    <row r="357" spans="1:4" x14ac:dyDescent="0.2">
      <c r="A357" s="30"/>
      <c r="B357" s="30"/>
      <c r="C357" s="30"/>
      <c r="D357" s="30"/>
    </row>
    <row r="358" spans="1:4" x14ac:dyDescent="0.2">
      <c r="A358" s="30"/>
      <c r="B358" s="30"/>
      <c r="C358" s="30"/>
      <c r="D358" s="30"/>
    </row>
    <row r="359" spans="1:4" x14ac:dyDescent="0.2">
      <c r="A359" s="30"/>
      <c r="B359" s="30"/>
      <c r="C359" s="30"/>
      <c r="D359" s="30"/>
    </row>
    <row r="360" spans="1:4" x14ac:dyDescent="0.2">
      <c r="A360" s="30"/>
      <c r="B360" s="30"/>
      <c r="C360" s="30"/>
      <c r="D360" s="30"/>
    </row>
    <row r="361" spans="1:4" x14ac:dyDescent="0.2">
      <c r="A361" s="30"/>
      <c r="B361" s="30"/>
      <c r="C361" s="30"/>
      <c r="D361" s="30"/>
    </row>
    <row r="362" spans="1:4" x14ac:dyDescent="0.2">
      <c r="A362" s="30"/>
      <c r="B362" s="30"/>
      <c r="C362" s="30"/>
      <c r="D362" s="30"/>
    </row>
    <row r="363" spans="1:4" x14ac:dyDescent="0.2">
      <c r="A363" s="30"/>
      <c r="B363" s="30"/>
      <c r="C363" s="30"/>
      <c r="D363" s="30"/>
    </row>
    <row r="364" spans="1:4" x14ac:dyDescent="0.2">
      <c r="A364" s="30"/>
      <c r="B364" s="30"/>
      <c r="C364" s="30"/>
      <c r="D364" s="30"/>
    </row>
    <row r="365" spans="1:4" x14ac:dyDescent="0.2">
      <c r="A365" s="30"/>
      <c r="B365" s="30"/>
      <c r="C365" s="30"/>
      <c r="D365" s="30"/>
    </row>
    <row r="366" spans="1:4" x14ac:dyDescent="0.2">
      <c r="A366" s="30"/>
      <c r="B366" s="30"/>
      <c r="C366" s="30"/>
      <c r="D366" s="30"/>
    </row>
    <row r="367" spans="1:4" x14ac:dyDescent="0.2">
      <c r="A367" s="30"/>
      <c r="B367" s="30"/>
      <c r="C367" s="30"/>
      <c r="D367" s="30"/>
    </row>
    <row r="368" spans="1:4" x14ac:dyDescent="0.2">
      <c r="A368" s="30"/>
      <c r="B368" s="30"/>
      <c r="C368" s="30"/>
      <c r="D368" s="30"/>
    </row>
    <row r="369" spans="1:4" x14ac:dyDescent="0.2">
      <c r="A369" s="30"/>
      <c r="B369" s="30"/>
      <c r="C369" s="30"/>
      <c r="D369" s="30"/>
    </row>
    <row r="370" spans="1:4" x14ac:dyDescent="0.2">
      <c r="A370" s="30"/>
      <c r="B370" s="30"/>
      <c r="C370" s="30"/>
      <c r="D370" s="30"/>
    </row>
    <row r="371" spans="1:4" x14ac:dyDescent="0.2">
      <c r="A371" s="30"/>
      <c r="B371" s="30"/>
      <c r="C371" s="30"/>
      <c r="D371" s="30"/>
    </row>
    <row r="372" spans="1:4" x14ac:dyDescent="0.2">
      <c r="A372" s="30"/>
      <c r="B372" s="30"/>
      <c r="C372" s="30"/>
      <c r="D372" s="30"/>
    </row>
    <row r="373" spans="1:4" x14ac:dyDescent="0.2">
      <c r="A373" s="30"/>
      <c r="B373" s="30"/>
      <c r="C373" s="30"/>
      <c r="D373" s="30"/>
    </row>
    <row r="374" spans="1:4" x14ac:dyDescent="0.2">
      <c r="A374" s="30"/>
      <c r="B374" s="30"/>
      <c r="C374" s="30"/>
      <c r="D374" s="30"/>
    </row>
    <row r="375" spans="1:4" x14ac:dyDescent="0.2">
      <c r="A375" s="30"/>
      <c r="B375" s="30"/>
      <c r="C375" s="30"/>
      <c r="D375" s="30"/>
    </row>
    <row r="376" spans="1:4" x14ac:dyDescent="0.2">
      <c r="A376" s="30"/>
      <c r="B376" s="30"/>
      <c r="C376" s="30"/>
      <c r="D376" s="30"/>
    </row>
    <row r="377" spans="1:4" x14ac:dyDescent="0.2">
      <c r="A377" s="30"/>
      <c r="B377" s="30"/>
      <c r="C377" s="30"/>
      <c r="D377" s="30"/>
    </row>
    <row r="378" spans="1:4" x14ac:dyDescent="0.2">
      <c r="A378" s="30"/>
      <c r="B378" s="30"/>
      <c r="C378" s="30"/>
      <c r="D378" s="30"/>
    </row>
    <row r="379" spans="1:4" x14ac:dyDescent="0.2">
      <c r="A379" s="30"/>
      <c r="B379" s="30"/>
      <c r="C379" s="30"/>
      <c r="D379" s="30"/>
    </row>
    <row r="380" spans="1:4" x14ac:dyDescent="0.2">
      <c r="A380" s="30"/>
      <c r="B380" s="30"/>
      <c r="C380" s="30"/>
      <c r="D380" s="30"/>
    </row>
    <row r="381" spans="1:4" x14ac:dyDescent="0.2">
      <c r="A381" s="30"/>
      <c r="B381" s="30"/>
      <c r="C381" s="30"/>
      <c r="D381" s="30"/>
    </row>
    <row r="382" spans="1:4" x14ac:dyDescent="0.2">
      <c r="A382" s="30"/>
      <c r="B382" s="30"/>
      <c r="C382" s="30"/>
      <c r="D382" s="30"/>
    </row>
    <row r="383" spans="1:4" x14ac:dyDescent="0.2">
      <c r="A383" s="30"/>
      <c r="B383" s="30"/>
      <c r="C383" s="30"/>
      <c r="D383" s="30"/>
    </row>
    <row r="384" spans="1:4" x14ac:dyDescent="0.2">
      <c r="A384" s="30"/>
      <c r="B384" s="30"/>
      <c r="C384" s="30"/>
      <c r="D384" s="30"/>
    </row>
    <row r="385" spans="1:4" x14ac:dyDescent="0.2">
      <c r="A385" s="30"/>
      <c r="B385" s="30"/>
      <c r="C385" s="30"/>
      <c r="D385" s="30"/>
    </row>
    <row r="386" spans="1:4" x14ac:dyDescent="0.2">
      <c r="A386" s="30"/>
      <c r="B386" s="30"/>
      <c r="C386" s="30"/>
      <c r="D386" s="30"/>
    </row>
    <row r="387" spans="1:4" x14ac:dyDescent="0.2">
      <c r="A387" s="30"/>
      <c r="B387" s="30"/>
      <c r="C387" s="30"/>
      <c r="D387" s="30"/>
    </row>
    <row r="388" spans="1:4" x14ac:dyDescent="0.2">
      <c r="A388" s="30"/>
      <c r="B388" s="30"/>
      <c r="C388" s="30"/>
      <c r="D388" s="30"/>
    </row>
    <row r="389" spans="1:4" x14ac:dyDescent="0.2">
      <c r="A389" s="30"/>
      <c r="B389" s="30"/>
      <c r="C389" s="30"/>
      <c r="D389" s="30"/>
    </row>
    <row r="390" spans="1:4" x14ac:dyDescent="0.2">
      <c r="A390" s="30"/>
      <c r="B390" s="30"/>
      <c r="C390" s="30"/>
      <c r="D390" s="30"/>
    </row>
    <row r="391" spans="1:4" x14ac:dyDescent="0.2">
      <c r="A391" s="30"/>
      <c r="B391" s="30"/>
      <c r="C391" s="30"/>
      <c r="D391" s="30"/>
    </row>
    <row r="392" spans="1:4" x14ac:dyDescent="0.2">
      <c r="A392" s="30"/>
      <c r="B392" s="30"/>
      <c r="C392" s="30"/>
      <c r="D392" s="30"/>
    </row>
    <row r="393" spans="1:4" x14ac:dyDescent="0.2">
      <c r="A393" s="30"/>
      <c r="B393" s="30"/>
      <c r="C393" s="30"/>
      <c r="D393" s="30"/>
    </row>
    <row r="394" spans="1:4" x14ac:dyDescent="0.2">
      <c r="A394" s="30"/>
      <c r="B394" s="30"/>
      <c r="C394" s="30"/>
      <c r="D394" s="30"/>
    </row>
    <row r="395" spans="1:4" x14ac:dyDescent="0.2">
      <c r="A395" s="30"/>
      <c r="B395" s="30"/>
      <c r="C395" s="30"/>
      <c r="D395" s="30"/>
    </row>
    <row r="396" spans="1:4" x14ac:dyDescent="0.2">
      <c r="A396" s="30"/>
      <c r="B396" s="30"/>
      <c r="C396" s="30"/>
      <c r="D396" s="30"/>
    </row>
    <row r="397" spans="1:4" x14ac:dyDescent="0.2">
      <c r="A397" s="30"/>
      <c r="B397" s="30"/>
      <c r="C397" s="30"/>
      <c r="D397" s="30"/>
    </row>
    <row r="398" spans="1:4" x14ac:dyDescent="0.2">
      <c r="A398" s="30"/>
      <c r="B398" s="30"/>
      <c r="C398" s="30"/>
      <c r="D398" s="30"/>
    </row>
    <row r="399" spans="1:4" x14ac:dyDescent="0.2">
      <c r="A399" s="30"/>
      <c r="B399" s="30"/>
      <c r="C399" s="30"/>
      <c r="D399" s="30"/>
    </row>
    <row r="400" spans="1:4" x14ac:dyDescent="0.2">
      <c r="A400" s="30"/>
      <c r="B400" s="30"/>
      <c r="C400" s="30"/>
      <c r="D400" s="30"/>
    </row>
    <row r="401" spans="1:4" x14ac:dyDescent="0.2">
      <c r="A401" s="30"/>
      <c r="B401" s="30"/>
      <c r="C401" s="30"/>
      <c r="D401" s="30"/>
    </row>
    <row r="402" spans="1:4" x14ac:dyDescent="0.2">
      <c r="A402" s="30"/>
      <c r="B402" s="30"/>
      <c r="C402" s="30"/>
      <c r="D402" s="30"/>
    </row>
    <row r="403" spans="1:4" x14ac:dyDescent="0.2">
      <c r="A403" s="30"/>
      <c r="B403" s="30"/>
      <c r="C403" s="30"/>
      <c r="D403" s="30"/>
    </row>
    <row r="404" spans="1:4" x14ac:dyDescent="0.2">
      <c r="A404" s="30"/>
      <c r="B404" s="30"/>
      <c r="C404" s="30"/>
      <c r="D404" s="30"/>
    </row>
    <row r="405" spans="1:4" x14ac:dyDescent="0.2">
      <c r="A405" s="30"/>
      <c r="B405" s="30"/>
      <c r="C405" s="30"/>
      <c r="D405" s="30"/>
    </row>
    <row r="406" spans="1:4" x14ac:dyDescent="0.2">
      <c r="A406" s="30"/>
      <c r="B406" s="30"/>
      <c r="C406" s="30"/>
      <c r="D406" s="30"/>
    </row>
    <row r="407" spans="1:4" x14ac:dyDescent="0.2">
      <c r="A407" s="30"/>
      <c r="B407" s="30"/>
      <c r="C407" s="30"/>
      <c r="D407" s="30"/>
    </row>
    <row r="408" spans="1:4" x14ac:dyDescent="0.2">
      <c r="A408" s="30"/>
      <c r="B408" s="30"/>
      <c r="C408" s="30"/>
      <c r="D408" s="30"/>
    </row>
    <row r="409" spans="1:4" x14ac:dyDescent="0.2">
      <c r="A409" s="30"/>
      <c r="B409" s="30"/>
      <c r="C409" s="30"/>
      <c r="D409" s="30"/>
    </row>
    <row r="410" spans="1:4" x14ac:dyDescent="0.2">
      <c r="A410" s="30"/>
      <c r="B410" s="30"/>
      <c r="C410" s="30"/>
      <c r="D410" s="30"/>
    </row>
    <row r="411" spans="1:4" x14ac:dyDescent="0.2">
      <c r="A411" s="30"/>
      <c r="B411" s="30"/>
      <c r="C411" s="30"/>
      <c r="D411" s="30"/>
    </row>
    <row r="412" spans="1:4" x14ac:dyDescent="0.2">
      <c r="A412" s="30"/>
      <c r="B412" s="30"/>
      <c r="C412" s="30"/>
      <c r="D412" s="30"/>
    </row>
    <row r="413" spans="1:4" x14ac:dyDescent="0.2">
      <c r="A413" s="30"/>
      <c r="B413" s="30"/>
      <c r="C413" s="30"/>
      <c r="D413" s="30"/>
    </row>
    <row r="414" spans="1:4" x14ac:dyDescent="0.2">
      <c r="A414" s="30"/>
      <c r="B414" s="30"/>
      <c r="C414" s="30"/>
      <c r="D414" s="30"/>
    </row>
    <row r="415" spans="1:4" x14ac:dyDescent="0.2">
      <c r="A415" s="30"/>
      <c r="B415" s="30"/>
      <c r="C415" s="30"/>
      <c r="D415" s="30"/>
    </row>
    <row r="416" spans="1:4" x14ac:dyDescent="0.2">
      <c r="A416" s="30"/>
      <c r="B416" s="30"/>
      <c r="C416" s="30"/>
      <c r="D416" s="30"/>
    </row>
    <row r="417" spans="1:4" x14ac:dyDescent="0.2">
      <c r="A417" s="30"/>
      <c r="B417" s="30"/>
      <c r="C417" s="30"/>
      <c r="D417" s="30"/>
    </row>
    <row r="418" spans="1:4" x14ac:dyDescent="0.2">
      <c r="A418" s="30"/>
      <c r="B418" s="30"/>
      <c r="C418" s="30"/>
      <c r="D418" s="30"/>
    </row>
    <row r="419" spans="1:4" x14ac:dyDescent="0.2">
      <c r="A419" s="30"/>
      <c r="B419" s="30"/>
      <c r="C419" s="30"/>
      <c r="D419" s="30"/>
    </row>
    <row r="420" spans="1:4" x14ac:dyDescent="0.2">
      <c r="A420" s="30"/>
      <c r="B420" s="30"/>
      <c r="C420" s="30"/>
      <c r="D420" s="30"/>
    </row>
    <row r="421" spans="1:4" x14ac:dyDescent="0.2">
      <c r="A421" s="30"/>
      <c r="B421" s="30"/>
      <c r="C421" s="30"/>
      <c r="D421" s="30"/>
    </row>
    <row r="422" spans="1:4" x14ac:dyDescent="0.2">
      <c r="A422" s="30"/>
      <c r="B422" s="30"/>
      <c r="C422" s="30"/>
      <c r="D422" s="30"/>
    </row>
    <row r="423" spans="1:4" x14ac:dyDescent="0.2">
      <c r="A423" s="30"/>
      <c r="B423" s="30"/>
      <c r="C423" s="30"/>
      <c r="D423" s="30"/>
    </row>
    <row r="424" spans="1:4" x14ac:dyDescent="0.2">
      <c r="A424" s="30"/>
      <c r="B424" s="30"/>
      <c r="C424" s="30"/>
      <c r="D42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07"/>
  <sheetViews>
    <sheetView topLeftCell="A118" workbookViewId="0">
      <selection activeCell="N152" sqref="N152"/>
    </sheetView>
  </sheetViews>
  <sheetFormatPr defaultRowHeight="12.75" x14ac:dyDescent="0.2"/>
  <cols>
    <col min="1" max="1" width="19.7109375" style="14" customWidth="1"/>
    <col min="2" max="2" width="4.42578125" style="25" customWidth="1"/>
    <col min="3" max="3" width="12.7109375" style="14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4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156" t="s">
        <v>231</v>
      </c>
      <c r="I1" s="157" t="s">
        <v>101</v>
      </c>
      <c r="J1" s="158" t="s">
        <v>232</v>
      </c>
    </row>
    <row r="2" spans="1:16" x14ac:dyDescent="0.2">
      <c r="I2" s="159" t="s">
        <v>112</v>
      </c>
      <c r="J2" s="160" t="s">
        <v>233</v>
      </c>
    </row>
    <row r="3" spans="1:16" x14ac:dyDescent="0.2">
      <c r="A3" s="161" t="s">
        <v>234</v>
      </c>
      <c r="I3" s="159" t="s">
        <v>116</v>
      </c>
      <c r="J3" s="160" t="s">
        <v>235</v>
      </c>
    </row>
    <row r="4" spans="1:16" x14ac:dyDescent="0.2">
      <c r="I4" s="159" t="s">
        <v>130</v>
      </c>
      <c r="J4" s="160" t="s">
        <v>235</v>
      </c>
    </row>
    <row r="5" spans="1:16" ht="13.5" thickBot="1" x14ac:dyDescent="0.25">
      <c r="I5" s="162" t="s">
        <v>160</v>
      </c>
      <c r="J5" s="163" t="s">
        <v>236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ASS 111.123 </v>
      </c>
      <c r="B11" s="5" t="str">
        <f t="shared" ref="B11:B42" si="1">IF(H11=INT(H11),"I","II")</f>
        <v>I</v>
      </c>
      <c r="C11" s="14">
        <f t="shared" ref="C11:C42" si="2">1*G11</f>
        <v>45882.375</v>
      </c>
      <c r="D11" s="25" t="str">
        <f t="shared" ref="D11:D42" si="3">VLOOKUP(F11,I$1:J$5,2,FALSE)</f>
        <v>vis</v>
      </c>
      <c r="E11" s="164">
        <f>VLOOKUP(C11,'Active 1'!C$21:E$966,3,FALSE)</f>
        <v>-2264.9947600853302</v>
      </c>
      <c r="F11" s="5" t="s">
        <v>160</v>
      </c>
      <c r="G11" s="25" t="str">
        <f t="shared" ref="G11:G42" si="4">MID(I11,3,LEN(I11)-3)</f>
        <v>45882.375</v>
      </c>
      <c r="H11" s="14">
        <f t="shared" ref="H11:H42" si="5">1*K11</f>
        <v>9661</v>
      </c>
      <c r="I11" s="165" t="s">
        <v>281</v>
      </c>
      <c r="J11" s="166" t="s">
        <v>282</v>
      </c>
      <c r="K11" s="165">
        <v>9661</v>
      </c>
      <c r="L11" s="165" t="s">
        <v>283</v>
      </c>
      <c r="M11" s="166" t="s">
        <v>284</v>
      </c>
      <c r="N11" s="166" t="s">
        <v>285</v>
      </c>
      <c r="O11" s="167" t="s">
        <v>286</v>
      </c>
      <c r="P11" s="167" t="s">
        <v>287</v>
      </c>
    </row>
    <row r="12" spans="1:16" ht="12.75" customHeight="1" thickBot="1" x14ac:dyDescent="0.25">
      <c r="A12" s="14" t="str">
        <f t="shared" si="0"/>
        <v> PASP 98.691 </v>
      </c>
      <c r="B12" s="5" t="str">
        <f t="shared" si="1"/>
        <v>I</v>
      </c>
      <c r="C12" s="14">
        <f t="shared" si="2"/>
        <v>46257.751799999998</v>
      </c>
      <c r="D12" s="25" t="str">
        <f t="shared" si="3"/>
        <v>vis</v>
      </c>
      <c r="E12" s="164">
        <f>VLOOKUP(C12,'Active 1'!C$21:E$966,3,FALSE)</f>
        <v>-1468.500569611306</v>
      </c>
      <c r="F12" s="5" t="s">
        <v>160</v>
      </c>
      <c r="G12" s="25" t="str">
        <f t="shared" si="4"/>
        <v>46257.7518</v>
      </c>
      <c r="H12" s="14">
        <f t="shared" si="5"/>
        <v>10502</v>
      </c>
      <c r="I12" s="165" t="s">
        <v>288</v>
      </c>
      <c r="J12" s="166" t="s">
        <v>289</v>
      </c>
      <c r="K12" s="165">
        <v>10502</v>
      </c>
      <c r="L12" s="165" t="s">
        <v>290</v>
      </c>
      <c r="M12" s="166" t="s">
        <v>284</v>
      </c>
      <c r="N12" s="166" t="s">
        <v>285</v>
      </c>
      <c r="O12" s="167" t="s">
        <v>291</v>
      </c>
      <c r="P12" s="167" t="s">
        <v>292</v>
      </c>
    </row>
    <row r="13" spans="1:16" ht="12.75" customHeight="1" thickBot="1" x14ac:dyDescent="0.25">
      <c r="A13" s="14" t="str">
        <f t="shared" si="0"/>
        <v>IBVS 3201 </v>
      </c>
      <c r="B13" s="5" t="str">
        <f t="shared" si="1"/>
        <v>I</v>
      </c>
      <c r="C13" s="14">
        <f t="shared" si="2"/>
        <v>46612.868000000002</v>
      </c>
      <c r="D13" s="25" t="str">
        <f t="shared" si="3"/>
        <v>vis</v>
      </c>
      <c r="E13" s="164">
        <f>VLOOKUP(C13,'Active 1'!C$21:E$966,3,FALSE)</f>
        <v>-714.99638330246557</v>
      </c>
      <c r="F13" s="5" t="s">
        <v>160</v>
      </c>
      <c r="G13" s="25" t="str">
        <f t="shared" si="4"/>
        <v>46612.868</v>
      </c>
      <c r="H13" s="14">
        <f t="shared" si="5"/>
        <v>11298</v>
      </c>
      <c r="I13" s="165" t="s">
        <v>293</v>
      </c>
      <c r="J13" s="166" t="s">
        <v>294</v>
      </c>
      <c r="K13" s="165">
        <v>11298</v>
      </c>
      <c r="L13" s="165" t="s">
        <v>295</v>
      </c>
      <c r="M13" s="166" t="s">
        <v>284</v>
      </c>
      <c r="N13" s="166" t="s">
        <v>285</v>
      </c>
      <c r="O13" s="167" t="s">
        <v>296</v>
      </c>
      <c r="P13" s="168" t="s">
        <v>297</v>
      </c>
    </row>
    <row r="14" spans="1:16" ht="12.75" customHeight="1" thickBot="1" x14ac:dyDescent="0.25">
      <c r="A14" s="14" t="str">
        <f t="shared" si="0"/>
        <v>IBVS 3201 </v>
      </c>
      <c r="B14" s="5" t="str">
        <f t="shared" si="1"/>
        <v>I</v>
      </c>
      <c r="C14" s="14">
        <f t="shared" si="2"/>
        <v>46613.809000000001</v>
      </c>
      <c r="D14" s="25" t="str">
        <f t="shared" si="3"/>
        <v>vis</v>
      </c>
      <c r="E14" s="164">
        <f>VLOOKUP(C14,'Active 1'!C$21:E$966,3,FALSE)</f>
        <v>-712.99972012766307</v>
      </c>
      <c r="F14" s="5" t="s">
        <v>160</v>
      </c>
      <c r="G14" s="25" t="str">
        <f t="shared" si="4"/>
        <v>46613.809</v>
      </c>
      <c r="H14" s="14">
        <f t="shared" si="5"/>
        <v>11300</v>
      </c>
      <c r="I14" s="165" t="s">
        <v>298</v>
      </c>
      <c r="J14" s="166" t="s">
        <v>299</v>
      </c>
      <c r="K14" s="165">
        <v>11300</v>
      </c>
      <c r="L14" s="165" t="s">
        <v>300</v>
      </c>
      <c r="M14" s="166" t="s">
        <v>284</v>
      </c>
      <c r="N14" s="166" t="s">
        <v>285</v>
      </c>
      <c r="O14" s="167" t="s">
        <v>296</v>
      </c>
      <c r="P14" s="168" t="s">
        <v>297</v>
      </c>
    </row>
    <row r="15" spans="1:16" ht="12.75" customHeight="1" thickBot="1" x14ac:dyDescent="0.25">
      <c r="A15" s="14" t="str">
        <f t="shared" si="0"/>
        <v>IBVS 3201 </v>
      </c>
      <c r="B15" s="5" t="str">
        <f t="shared" si="1"/>
        <v>I</v>
      </c>
      <c r="C15" s="14">
        <f t="shared" si="2"/>
        <v>46949.834999999999</v>
      </c>
      <c r="D15" s="25" t="str">
        <f t="shared" si="3"/>
        <v>vis</v>
      </c>
      <c r="E15" s="164">
        <f>VLOOKUP(C15,'Active 1'!C$21:E$966,3,FALSE)</f>
        <v>-2.1218524787198476E-3</v>
      </c>
      <c r="F15" s="5" t="s">
        <v>160</v>
      </c>
      <c r="G15" s="25" t="str">
        <f t="shared" si="4"/>
        <v>46949.835</v>
      </c>
      <c r="H15" s="14">
        <f t="shared" si="5"/>
        <v>12053</v>
      </c>
      <c r="I15" s="165" t="s">
        <v>301</v>
      </c>
      <c r="J15" s="166" t="s">
        <v>302</v>
      </c>
      <c r="K15" s="165">
        <v>12053</v>
      </c>
      <c r="L15" s="165" t="s">
        <v>303</v>
      </c>
      <c r="M15" s="166" t="s">
        <v>284</v>
      </c>
      <c r="N15" s="166" t="s">
        <v>285</v>
      </c>
      <c r="O15" s="167" t="s">
        <v>296</v>
      </c>
      <c r="P15" s="168" t="s">
        <v>297</v>
      </c>
    </row>
    <row r="16" spans="1:16" ht="12.75" customHeight="1" thickBot="1" x14ac:dyDescent="0.25">
      <c r="A16" s="14" t="str">
        <f t="shared" si="0"/>
        <v> AJ 110.2400 </v>
      </c>
      <c r="B16" s="5" t="str">
        <f t="shared" si="1"/>
        <v>I</v>
      </c>
      <c r="C16" s="14">
        <f t="shared" si="2"/>
        <v>46990.838799999998</v>
      </c>
      <c r="D16" s="25" t="str">
        <f t="shared" si="3"/>
        <v>vis</v>
      </c>
      <c r="E16" s="164">
        <f>VLOOKUP(C16,'Active 1'!C$21:E$966,3,FALSE)</f>
        <v>87.00189248020736</v>
      </c>
      <c r="F16" s="5" t="s">
        <v>160</v>
      </c>
      <c r="G16" s="25" t="str">
        <f t="shared" si="4"/>
        <v>46990.8388</v>
      </c>
      <c r="H16" s="14">
        <f t="shared" si="5"/>
        <v>12145</v>
      </c>
      <c r="I16" s="165" t="s">
        <v>304</v>
      </c>
      <c r="J16" s="166" t="s">
        <v>305</v>
      </c>
      <c r="K16" s="165">
        <v>12145</v>
      </c>
      <c r="L16" s="165" t="s">
        <v>306</v>
      </c>
      <c r="M16" s="166" t="s">
        <v>284</v>
      </c>
      <c r="N16" s="166" t="s">
        <v>285</v>
      </c>
      <c r="O16" s="167" t="s">
        <v>296</v>
      </c>
      <c r="P16" s="167" t="s">
        <v>307</v>
      </c>
    </row>
    <row r="17" spans="1:16" ht="12.75" customHeight="1" thickBot="1" x14ac:dyDescent="0.25">
      <c r="A17" s="14" t="str">
        <f t="shared" si="0"/>
        <v> AJ 110.2400 </v>
      </c>
      <c r="B17" s="5" t="str">
        <f t="shared" si="1"/>
        <v>I</v>
      </c>
      <c r="C17" s="14">
        <f t="shared" si="2"/>
        <v>47004.7431</v>
      </c>
      <c r="D17" s="25" t="str">
        <f t="shared" si="3"/>
        <v>vis</v>
      </c>
      <c r="E17" s="164">
        <f>VLOOKUP(C17,'Active 1'!C$21:E$966,3,FALSE)</f>
        <v>116.50476578673455</v>
      </c>
      <c r="F17" s="5" t="s">
        <v>160</v>
      </c>
      <c r="G17" s="25" t="str">
        <f t="shared" si="4"/>
        <v>47004.7431</v>
      </c>
      <c r="H17" s="14">
        <f t="shared" si="5"/>
        <v>12176</v>
      </c>
      <c r="I17" s="165" t="s">
        <v>308</v>
      </c>
      <c r="J17" s="166" t="s">
        <v>309</v>
      </c>
      <c r="K17" s="165">
        <v>12176</v>
      </c>
      <c r="L17" s="165" t="s">
        <v>310</v>
      </c>
      <c r="M17" s="166" t="s">
        <v>284</v>
      </c>
      <c r="N17" s="166" t="s">
        <v>285</v>
      </c>
      <c r="O17" s="167" t="s">
        <v>296</v>
      </c>
      <c r="P17" s="167" t="s">
        <v>307</v>
      </c>
    </row>
    <row r="18" spans="1:16" ht="12.75" customHeight="1" thickBot="1" x14ac:dyDescent="0.25">
      <c r="A18" s="14" t="str">
        <f t="shared" si="0"/>
        <v> BBS 88 </v>
      </c>
      <c r="B18" s="5" t="str">
        <f t="shared" si="1"/>
        <v>II</v>
      </c>
      <c r="C18" s="14">
        <f t="shared" si="2"/>
        <v>47304.468999999997</v>
      </c>
      <c r="D18" s="25" t="str">
        <f t="shared" si="3"/>
        <v>vis</v>
      </c>
      <c r="E18" s="164">
        <f>VLOOKUP(C18,'Active 1'!C$21:E$966,3,FALSE)</f>
        <v>752.47890719504119</v>
      </c>
      <c r="F18" s="5" t="s">
        <v>160</v>
      </c>
      <c r="G18" s="25" t="str">
        <f t="shared" si="4"/>
        <v>47304.469</v>
      </c>
      <c r="H18" s="14">
        <f t="shared" si="5"/>
        <v>12847.5</v>
      </c>
      <c r="I18" s="165" t="s">
        <v>311</v>
      </c>
      <c r="J18" s="166" t="s">
        <v>312</v>
      </c>
      <c r="K18" s="165">
        <v>12847.5</v>
      </c>
      <c r="L18" s="165" t="s">
        <v>313</v>
      </c>
      <c r="M18" s="166" t="s">
        <v>284</v>
      </c>
      <c r="N18" s="166" t="s">
        <v>285</v>
      </c>
      <c r="O18" s="167" t="s">
        <v>314</v>
      </c>
      <c r="P18" s="167" t="s">
        <v>315</v>
      </c>
    </row>
    <row r="19" spans="1:16" ht="12.75" customHeight="1" thickBot="1" x14ac:dyDescent="0.25">
      <c r="A19" s="14" t="str">
        <f t="shared" si="0"/>
        <v> AJ 110.2400 </v>
      </c>
      <c r="B19" s="5" t="str">
        <f t="shared" si="1"/>
        <v>II</v>
      </c>
      <c r="C19" s="14">
        <f t="shared" si="2"/>
        <v>47309.898999999998</v>
      </c>
      <c r="D19" s="25" t="str">
        <f t="shared" si="3"/>
        <v>vis</v>
      </c>
      <c r="E19" s="164">
        <f>VLOOKUP(C19,'Active 1'!C$21:E$966,3,FALSE)</f>
        <v>764.00056611022785</v>
      </c>
      <c r="F19" s="5" t="s">
        <v>160</v>
      </c>
      <c r="G19" s="25" t="str">
        <f t="shared" si="4"/>
        <v>47309.8990</v>
      </c>
      <c r="H19" s="14">
        <f t="shared" si="5"/>
        <v>12859.5</v>
      </c>
      <c r="I19" s="165" t="s">
        <v>316</v>
      </c>
      <c r="J19" s="166" t="s">
        <v>317</v>
      </c>
      <c r="K19" s="165">
        <v>12859.5</v>
      </c>
      <c r="L19" s="165" t="s">
        <v>318</v>
      </c>
      <c r="M19" s="166" t="s">
        <v>284</v>
      </c>
      <c r="N19" s="166" t="s">
        <v>285</v>
      </c>
      <c r="O19" s="167" t="s">
        <v>296</v>
      </c>
      <c r="P19" s="167" t="s">
        <v>307</v>
      </c>
    </row>
    <row r="20" spans="1:16" ht="12.75" customHeight="1" thickBot="1" x14ac:dyDescent="0.25">
      <c r="A20" s="14" t="str">
        <f t="shared" si="0"/>
        <v>IBVS 3356 </v>
      </c>
      <c r="B20" s="5" t="str">
        <f t="shared" si="1"/>
        <v>II</v>
      </c>
      <c r="C20" s="14">
        <f t="shared" si="2"/>
        <v>47323.803</v>
      </c>
      <c r="D20" s="25" t="str">
        <f t="shared" si="3"/>
        <v>vis</v>
      </c>
      <c r="E20" s="164">
        <f>VLOOKUP(C20,'Active 1'!C$21:E$966,3,FALSE)</f>
        <v>793.50280286101452</v>
      </c>
      <c r="F20" s="5" t="s">
        <v>160</v>
      </c>
      <c r="G20" s="25" t="str">
        <f t="shared" si="4"/>
        <v>47323.8030</v>
      </c>
      <c r="H20" s="14">
        <f t="shared" si="5"/>
        <v>12890.5</v>
      </c>
      <c r="I20" s="165" t="s">
        <v>325</v>
      </c>
      <c r="J20" s="166" t="s">
        <v>326</v>
      </c>
      <c r="K20" s="165">
        <v>12890.5</v>
      </c>
      <c r="L20" s="165" t="s">
        <v>327</v>
      </c>
      <c r="M20" s="166" t="s">
        <v>284</v>
      </c>
      <c r="N20" s="166" t="s">
        <v>285</v>
      </c>
      <c r="O20" s="167" t="s">
        <v>328</v>
      </c>
      <c r="P20" s="168" t="s">
        <v>329</v>
      </c>
    </row>
    <row r="21" spans="1:16" ht="12.75" customHeight="1" thickBot="1" x14ac:dyDescent="0.25">
      <c r="A21" s="14" t="str">
        <f t="shared" si="0"/>
        <v>IBVS 3356 </v>
      </c>
      <c r="B21" s="5" t="str">
        <f t="shared" si="1"/>
        <v>II</v>
      </c>
      <c r="C21" s="14">
        <f t="shared" si="2"/>
        <v>47326.865599999997</v>
      </c>
      <c r="D21" s="25" t="str">
        <f t="shared" si="3"/>
        <v>vis</v>
      </c>
      <c r="E21" s="164">
        <f>VLOOKUP(C21,'Active 1'!C$21:E$966,3,FALSE)</f>
        <v>800.00118823737159</v>
      </c>
      <c r="F21" s="5" t="s">
        <v>160</v>
      </c>
      <c r="G21" s="25" t="str">
        <f t="shared" si="4"/>
        <v>47326.8656</v>
      </c>
      <c r="H21" s="14">
        <f t="shared" si="5"/>
        <v>12897.5</v>
      </c>
      <c r="I21" s="165" t="s">
        <v>330</v>
      </c>
      <c r="J21" s="166" t="s">
        <v>331</v>
      </c>
      <c r="K21" s="165">
        <v>12897.5</v>
      </c>
      <c r="L21" s="165" t="s">
        <v>332</v>
      </c>
      <c r="M21" s="166" t="s">
        <v>284</v>
      </c>
      <c r="N21" s="166" t="s">
        <v>285</v>
      </c>
      <c r="O21" s="167" t="s">
        <v>328</v>
      </c>
      <c r="P21" s="168" t="s">
        <v>329</v>
      </c>
    </row>
    <row r="22" spans="1:16" ht="12.75" customHeight="1" thickBot="1" x14ac:dyDescent="0.25">
      <c r="A22" s="14" t="str">
        <f t="shared" si="0"/>
        <v>IBVS 3356 </v>
      </c>
      <c r="B22" s="5" t="str">
        <f t="shared" si="1"/>
        <v>I</v>
      </c>
      <c r="C22" s="14">
        <f t="shared" si="2"/>
        <v>47328.750699999997</v>
      </c>
      <c r="D22" s="25" t="str">
        <f t="shared" si="3"/>
        <v>vis</v>
      </c>
      <c r="E22" s="164">
        <f>VLOOKUP(C22,'Active 1'!C$21:E$966,3,FALSE)</f>
        <v>804.00109232963894</v>
      </c>
      <c r="F22" s="5" t="s">
        <v>160</v>
      </c>
      <c r="G22" s="25" t="str">
        <f t="shared" si="4"/>
        <v>47328.7507</v>
      </c>
      <c r="H22" s="14">
        <f t="shared" si="5"/>
        <v>12902</v>
      </c>
      <c r="I22" s="165" t="s">
        <v>333</v>
      </c>
      <c r="J22" s="166" t="s">
        <v>334</v>
      </c>
      <c r="K22" s="165">
        <v>12902</v>
      </c>
      <c r="L22" s="165" t="s">
        <v>335</v>
      </c>
      <c r="M22" s="166" t="s">
        <v>284</v>
      </c>
      <c r="N22" s="166" t="s">
        <v>285</v>
      </c>
      <c r="O22" s="167" t="s">
        <v>328</v>
      </c>
      <c r="P22" s="168" t="s">
        <v>329</v>
      </c>
    </row>
    <row r="23" spans="1:16" ht="12.75" customHeight="1" thickBot="1" x14ac:dyDescent="0.25">
      <c r="A23" s="14" t="str">
        <f t="shared" si="0"/>
        <v>BAVM 51 </v>
      </c>
      <c r="B23" s="5" t="str">
        <f t="shared" si="1"/>
        <v>I</v>
      </c>
      <c r="C23" s="14">
        <f t="shared" si="2"/>
        <v>47353.493699999999</v>
      </c>
      <c r="D23" s="25" t="str">
        <f t="shared" si="3"/>
        <v>vis</v>
      </c>
      <c r="E23" s="164">
        <f>VLOOKUP(C23,'Active 1'!C$21:E$966,3,FALSE)</f>
        <v>856.50208800891539</v>
      </c>
      <c r="F23" s="5" t="s">
        <v>160</v>
      </c>
      <c r="G23" s="25" t="str">
        <f t="shared" si="4"/>
        <v>47353.4937</v>
      </c>
      <c r="H23" s="14">
        <f t="shared" si="5"/>
        <v>12957</v>
      </c>
      <c r="I23" s="165" t="s">
        <v>336</v>
      </c>
      <c r="J23" s="166" t="s">
        <v>337</v>
      </c>
      <c r="K23" s="165">
        <v>12957</v>
      </c>
      <c r="L23" s="165" t="s">
        <v>338</v>
      </c>
      <c r="M23" s="166" t="s">
        <v>284</v>
      </c>
      <c r="N23" s="166" t="s">
        <v>322</v>
      </c>
      <c r="O23" s="167" t="s">
        <v>323</v>
      </c>
      <c r="P23" s="168" t="s">
        <v>339</v>
      </c>
    </row>
    <row r="24" spans="1:16" ht="12.75" customHeight="1" thickBot="1" x14ac:dyDescent="0.25">
      <c r="A24" s="14" t="str">
        <f t="shared" si="0"/>
        <v>BAVM 51 </v>
      </c>
      <c r="B24" s="5" t="str">
        <f t="shared" si="1"/>
        <v>I</v>
      </c>
      <c r="C24" s="14">
        <f t="shared" si="2"/>
        <v>47366.455099999999</v>
      </c>
      <c r="D24" s="25" t="str">
        <f t="shared" si="3"/>
        <v>vis</v>
      </c>
      <c r="E24" s="164">
        <f>VLOOKUP(C24,'Active 1'!C$21:E$966,3,FALSE)</f>
        <v>884.00426662093992</v>
      </c>
      <c r="F24" s="5" t="s">
        <v>160</v>
      </c>
      <c r="G24" s="25" t="str">
        <f t="shared" si="4"/>
        <v>47366.4551</v>
      </c>
      <c r="H24" s="14">
        <f t="shared" si="5"/>
        <v>12986</v>
      </c>
      <c r="I24" s="165" t="s">
        <v>343</v>
      </c>
      <c r="J24" s="166" t="s">
        <v>344</v>
      </c>
      <c r="K24" s="165">
        <v>12986</v>
      </c>
      <c r="L24" s="165" t="s">
        <v>345</v>
      </c>
      <c r="M24" s="166" t="s">
        <v>284</v>
      </c>
      <c r="N24" s="166" t="s">
        <v>322</v>
      </c>
      <c r="O24" s="167" t="s">
        <v>323</v>
      </c>
      <c r="P24" s="168" t="s">
        <v>339</v>
      </c>
    </row>
    <row r="25" spans="1:16" ht="12.75" customHeight="1" thickBot="1" x14ac:dyDescent="0.25">
      <c r="A25" s="14" t="str">
        <f t="shared" si="0"/>
        <v> BBS 89 </v>
      </c>
      <c r="B25" s="5" t="str">
        <f t="shared" si="1"/>
        <v>I</v>
      </c>
      <c r="C25" s="14">
        <f t="shared" si="2"/>
        <v>47391.449000000001</v>
      </c>
      <c r="D25" s="25" t="str">
        <f t="shared" si="3"/>
        <v>vis</v>
      </c>
      <c r="E25" s="164">
        <f>VLOOKUP(C25,'Active 1'!C$21:E$966,3,FALSE)</f>
        <v>937.03763508508007</v>
      </c>
      <c r="F25" s="5" t="s">
        <v>160</v>
      </c>
      <c r="G25" s="25" t="str">
        <f t="shared" si="4"/>
        <v>47391.449</v>
      </c>
      <c r="H25" s="14">
        <f t="shared" si="5"/>
        <v>13042</v>
      </c>
      <c r="I25" s="165" t="s">
        <v>349</v>
      </c>
      <c r="J25" s="166" t="s">
        <v>350</v>
      </c>
      <c r="K25" s="165">
        <v>13042</v>
      </c>
      <c r="L25" s="165" t="s">
        <v>351</v>
      </c>
      <c r="M25" s="166" t="s">
        <v>352</v>
      </c>
      <c r="N25" s="166"/>
      <c r="O25" s="167" t="s">
        <v>353</v>
      </c>
      <c r="P25" s="167" t="s">
        <v>354</v>
      </c>
    </row>
    <row r="26" spans="1:16" ht="12.75" customHeight="1" thickBot="1" x14ac:dyDescent="0.25">
      <c r="A26" s="14" t="str">
        <f t="shared" si="0"/>
        <v> BBS 89 </v>
      </c>
      <c r="B26" s="5" t="str">
        <f t="shared" si="1"/>
        <v>I</v>
      </c>
      <c r="C26" s="14">
        <f t="shared" si="2"/>
        <v>47415.544999999998</v>
      </c>
      <c r="D26" s="25" t="str">
        <f t="shared" si="3"/>
        <v>vis</v>
      </c>
      <c r="E26" s="164">
        <f>VLOOKUP(C26,'Active 1'!C$21:E$966,3,FALSE)</f>
        <v>988.16579221588938</v>
      </c>
      <c r="F26" s="5" t="s">
        <v>160</v>
      </c>
      <c r="G26" s="25" t="str">
        <f t="shared" si="4"/>
        <v>47415.545</v>
      </c>
      <c r="H26" s="14">
        <f t="shared" si="5"/>
        <v>13096</v>
      </c>
      <c r="I26" s="165" t="s">
        <v>355</v>
      </c>
      <c r="J26" s="166" t="s">
        <v>356</v>
      </c>
      <c r="K26" s="165">
        <v>13096</v>
      </c>
      <c r="L26" s="165" t="s">
        <v>357</v>
      </c>
      <c r="M26" s="166" t="s">
        <v>352</v>
      </c>
      <c r="N26" s="166"/>
      <c r="O26" s="167" t="s">
        <v>353</v>
      </c>
      <c r="P26" s="167" t="s">
        <v>354</v>
      </c>
    </row>
    <row r="27" spans="1:16" ht="12.75" customHeight="1" thickBot="1" x14ac:dyDescent="0.25">
      <c r="A27" s="14" t="str">
        <f t="shared" si="0"/>
        <v> BBS 90 </v>
      </c>
      <c r="B27" s="5" t="str">
        <f t="shared" si="1"/>
        <v>I</v>
      </c>
      <c r="C27" s="14">
        <f t="shared" si="2"/>
        <v>47439.315000000002</v>
      </c>
      <c r="D27" s="25" t="str">
        <f t="shared" si="3"/>
        <v>vis</v>
      </c>
      <c r="E27" s="164">
        <f>VLOOKUP(C27,'Active 1'!C$21:E$966,3,FALSE)</f>
        <v>1038.6022254413069</v>
      </c>
      <c r="F27" s="5" t="s">
        <v>160</v>
      </c>
      <c r="G27" s="25" t="str">
        <f t="shared" si="4"/>
        <v>47439.315</v>
      </c>
      <c r="H27" s="14">
        <f t="shared" si="5"/>
        <v>13149</v>
      </c>
      <c r="I27" s="165" t="s">
        <v>358</v>
      </c>
      <c r="J27" s="166" t="s">
        <v>359</v>
      </c>
      <c r="K27" s="165">
        <v>13149</v>
      </c>
      <c r="L27" s="165" t="s">
        <v>360</v>
      </c>
      <c r="M27" s="166" t="s">
        <v>352</v>
      </c>
      <c r="N27" s="166"/>
      <c r="O27" s="167" t="s">
        <v>353</v>
      </c>
      <c r="P27" s="167" t="s">
        <v>361</v>
      </c>
    </row>
    <row r="28" spans="1:16" ht="12.75" customHeight="1" thickBot="1" x14ac:dyDescent="0.25">
      <c r="A28" s="14" t="str">
        <f t="shared" si="0"/>
        <v> AJ 110.2400 </v>
      </c>
      <c r="B28" s="5" t="str">
        <f t="shared" si="1"/>
        <v>II</v>
      </c>
      <c r="C28" s="14">
        <f t="shared" si="2"/>
        <v>47655.823299999996</v>
      </c>
      <c r="D28" s="25" t="str">
        <f t="shared" si="3"/>
        <v>vis</v>
      </c>
      <c r="E28" s="164">
        <f>VLOOKUP(C28,'Active 1'!C$21:E$966,3,FALSE)</f>
        <v>1498.0008966948401</v>
      </c>
      <c r="F28" s="5" t="s">
        <v>160</v>
      </c>
      <c r="G28" s="25" t="str">
        <f t="shared" si="4"/>
        <v>47655.8233</v>
      </c>
      <c r="H28" s="14">
        <f t="shared" si="5"/>
        <v>13634.5</v>
      </c>
      <c r="I28" s="165" t="s">
        <v>362</v>
      </c>
      <c r="J28" s="166" t="s">
        <v>363</v>
      </c>
      <c r="K28" s="165">
        <v>13634.5</v>
      </c>
      <c r="L28" s="165" t="s">
        <v>364</v>
      </c>
      <c r="M28" s="166" t="s">
        <v>284</v>
      </c>
      <c r="N28" s="166" t="s">
        <v>285</v>
      </c>
      <c r="O28" s="167" t="s">
        <v>296</v>
      </c>
      <c r="P28" s="167" t="s">
        <v>307</v>
      </c>
    </row>
    <row r="29" spans="1:16" ht="12.75" customHeight="1" thickBot="1" x14ac:dyDescent="0.25">
      <c r="A29" s="14" t="str">
        <f t="shared" si="0"/>
        <v> AJ 110.2400 </v>
      </c>
      <c r="B29" s="5" t="str">
        <f t="shared" si="1"/>
        <v>II</v>
      </c>
      <c r="C29" s="14">
        <f t="shared" si="2"/>
        <v>47659.828399999999</v>
      </c>
      <c r="D29" s="25" t="str">
        <f t="shared" si="3"/>
        <v>vis</v>
      </c>
      <c r="E29" s="164">
        <f>VLOOKUP(C29,'Active 1'!C$21:E$966,3,FALSE)</f>
        <v>1506.4991280247177</v>
      </c>
      <c r="F29" s="5" t="s">
        <v>160</v>
      </c>
      <c r="G29" s="25" t="str">
        <f t="shared" si="4"/>
        <v>47659.8284</v>
      </c>
      <c r="H29" s="14">
        <f t="shared" si="5"/>
        <v>13643.5</v>
      </c>
      <c r="I29" s="165" t="s">
        <v>365</v>
      </c>
      <c r="J29" s="166" t="s">
        <v>366</v>
      </c>
      <c r="K29" s="165">
        <v>13643.5</v>
      </c>
      <c r="L29" s="165" t="s">
        <v>367</v>
      </c>
      <c r="M29" s="166" t="s">
        <v>284</v>
      </c>
      <c r="N29" s="166" t="s">
        <v>285</v>
      </c>
      <c r="O29" s="167" t="s">
        <v>296</v>
      </c>
      <c r="P29" s="167" t="s">
        <v>307</v>
      </c>
    </row>
    <row r="30" spans="1:16" ht="12.75" customHeight="1" thickBot="1" x14ac:dyDescent="0.25">
      <c r="A30" s="14" t="str">
        <f t="shared" si="0"/>
        <v> BBS 92 </v>
      </c>
      <c r="B30" s="5" t="str">
        <f t="shared" si="1"/>
        <v>I</v>
      </c>
      <c r="C30" s="14">
        <f t="shared" si="2"/>
        <v>47702.44</v>
      </c>
      <c r="D30" s="25" t="str">
        <f t="shared" si="3"/>
        <v>vis</v>
      </c>
      <c r="E30" s="164">
        <f>VLOOKUP(C30,'Active 1'!C$21:E$966,3,FALSE)</f>
        <v>1596.9146567595947</v>
      </c>
      <c r="F30" s="5" t="s">
        <v>160</v>
      </c>
      <c r="G30" s="25" t="str">
        <f t="shared" si="4"/>
        <v>47702.440</v>
      </c>
      <c r="H30" s="14">
        <f t="shared" si="5"/>
        <v>13739</v>
      </c>
      <c r="I30" s="165" t="s">
        <v>371</v>
      </c>
      <c r="J30" s="166" t="s">
        <v>372</v>
      </c>
      <c r="K30" s="165">
        <v>13739</v>
      </c>
      <c r="L30" s="165" t="s">
        <v>274</v>
      </c>
      <c r="M30" s="166" t="s">
        <v>352</v>
      </c>
      <c r="N30" s="166"/>
      <c r="O30" s="167" t="s">
        <v>353</v>
      </c>
      <c r="P30" s="167" t="s">
        <v>373</v>
      </c>
    </row>
    <row r="31" spans="1:16" ht="12.75" customHeight="1" thickBot="1" x14ac:dyDescent="0.25">
      <c r="A31" s="14" t="str">
        <f t="shared" si="0"/>
        <v> BBS 92 </v>
      </c>
      <c r="B31" s="5" t="str">
        <f t="shared" si="1"/>
        <v>I</v>
      </c>
      <c r="C31" s="14">
        <f t="shared" si="2"/>
        <v>47714.430999999997</v>
      </c>
      <c r="D31" s="25" t="str">
        <f t="shared" si="3"/>
        <v>vis</v>
      </c>
      <c r="E31" s="164">
        <f>VLOOKUP(C31,'Active 1'!C$21:E$966,3,FALSE)</f>
        <v>1622.3577897341677</v>
      </c>
      <c r="F31" s="5" t="s">
        <v>160</v>
      </c>
      <c r="G31" s="25" t="str">
        <f t="shared" si="4"/>
        <v>47714.431</v>
      </c>
      <c r="H31" s="14">
        <f t="shared" si="5"/>
        <v>13766</v>
      </c>
      <c r="I31" s="165" t="s">
        <v>374</v>
      </c>
      <c r="J31" s="166" t="s">
        <v>375</v>
      </c>
      <c r="K31" s="165">
        <v>13766</v>
      </c>
      <c r="L31" s="165" t="s">
        <v>376</v>
      </c>
      <c r="M31" s="166" t="s">
        <v>352</v>
      </c>
      <c r="N31" s="166"/>
      <c r="O31" s="167" t="s">
        <v>353</v>
      </c>
      <c r="P31" s="167" t="s">
        <v>373</v>
      </c>
    </row>
    <row r="32" spans="1:16" ht="12.75" customHeight="1" thickBot="1" x14ac:dyDescent="0.25">
      <c r="A32" s="14" t="str">
        <f t="shared" si="0"/>
        <v> BBS 92 </v>
      </c>
      <c r="B32" s="5" t="str">
        <f t="shared" si="1"/>
        <v>I</v>
      </c>
      <c r="C32" s="14">
        <f t="shared" si="2"/>
        <v>47743.466999999997</v>
      </c>
      <c r="D32" s="25" t="str">
        <f t="shared" si="3"/>
        <v>vis</v>
      </c>
      <c r="E32" s="164">
        <f>VLOOKUP(C32,'Active 1'!C$21:E$966,3,FALSE)</f>
        <v>1683.9678980695894</v>
      </c>
      <c r="F32" s="5" t="s">
        <v>160</v>
      </c>
      <c r="G32" s="25" t="str">
        <f t="shared" si="4"/>
        <v>47743.467</v>
      </c>
      <c r="H32" s="14">
        <f t="shared" si="5"/>
        <v>13831</v>
      </c>
      <c r="I32" s="165" t="s">
        <v>382</v>
      </c>
      <c r="J32" s="166" t="s">
        <v>383</v>
      </c>
      <c r="K32" s="165">
        <v>13831</v>
      </c>
      <c r="L32" s="165" t="s">
        <v>384</v>
      </c>
      <c r="M32" s="166" t="s">
        <v>352</v>
      </c>
      <c r="N32" s="166"/>
      <c r="O32" s="167" t="s">
        <v>353</v>
      </c>
      <c r="P32" s="167" t="s">
        <v>373</v>
      </c>
    </row>
    <row r="33" spans="1:16" ht="12.75" customHeight="1" thickBot="1" x14ac:dyDescent="0.25">
      <c r="A33" s="14" t="str">
        <f t="shared" si="0"/>
        <v> BBS 92 </v>
      </c>
      <c r="B33" s="5" t="str">
        <f t="shared" si="1"/>
        <v>I</v>
      </c>
      <c r="C33" s="14">
        <f t="shared" si="2"/>
        <v>47748.434999999998</v>
      </c>
      <c r="D33" s="25" t="str">
        <f t="shared" si="3"/>
        <v>vis</v>
      </c>
      <c r="E33" s="164">
        <f>VLOOKUP(C33,'Active 1'!C$21:E$966,3,FALSE)</f>
        <v>1694.5092611433745</v>
      </c>
      <c r="F33" s="5" t="s">
        <v>160</v>
      </c>
      <c r="G33" s="25" t="str">
        <f t="shared" si="4"/>
        <v>47748.435</v>
      </c>
      <c r="H33" s="14">
        <f t="shared" si="5"/>
        <v>13842</v>
      </c>
      <c r="I33" s="165" t="s">
        <v>385</v>
      </c>
      <c r="J33" s="166" t="s">
        <v>386</v>
      </c>
      <c r="K33" s="165">
        <v>13842</v>
      </c>
      <c r="L33" s="165" t="s">
        <v>387</v>
      </c>
      <c r="M33" s="166" t="s">
        <v>352</v>
      </c>
      <c r="N33" s="166"/>
      <c r="O33" s="167" t="s">
        <v>353</v>
      </c>
      <c r="P33" s="167" t="s">
        <v>373</v>
      </c>
    </row>
    <row r="34" spans="1:16" ht="12.75" customHeight="1" thickBot="1" x14ac:dyDescent="0.25">
      <c r="A34" s="14" t="str">
        <f t="shared" si="0"/>
        <v> BBS 92 </v>
      </c>
      <c r="B34" s="5" t="str">
        <f t="shared" si="1"/>
        <v>I</v>
      </c>
      <c r="C34" s="14">
        <f t="shared" si="2"/>
        <v>47757.398999999998</v>
      </c>
      <c r="D34" s="25" t="str">
        <f t="shared" si="3"/>
        <v>vis</v>
      </c>
      <c r="E34" s="164">
        <f>VLOOKUP(C34,'Active 1'!C$21:E$966,3,FALSE)</f>
        <v>1713.5295466895486</v>
      </c>
      <c r="F34" s="5" t="s">
        <v>160</v>
      </c>
      <c r="G34" s="25" t="str">
        <f t="shared" si="4"/>
        <v>47757.399</v>
      </c>
      <c r="H34" s="14">
        <f t="shared" si="5"/>
        <v>13862</v>
      </c>
      <c r="I34" s="165" t="s">
        <v>388</v>
      </c>
      <c r="J34" s="166" t="s">
        <v>389</v>
      </c>
      <c r="K34" s="165">
        <v>13862</v>
      </c>
      <c r="L34" s="165" t="s">
        <v>390</v>
      </c>
      <c r="M34" s="166" t="s">
        <v>352</v>
      </c>
      <c r="N34" s="166"/>
      <c r="O34" s="167" t="s">
        <v>353</v>
      </c>
      <c r="P34" s="167" t="s">
        <v>373</v>
      </c>
    </row>
    <row r="35" spans="1:16" ht="12.75" customHeight="1" thickBot="1" x14ac:dyDescent="0.25">
      <c r="A35" s="14" t="str">
        <f t="shared" si="0"/>
        <v> BBS 92 </v>
      </c>
      <c r="B35" s="5" t="str">
        <f t="shared" si="1"/>
        <v>II</v>
      </c>
      <c r="C35" s="14">
        <f t="shared" si="2"/>
        <v>47768.35</v>
      </c>
      <c r="D35" s="25" t="str">
        <f t="shared" si="3"/>
        <v>vis</v>
      </c>
      <c r="E35" s="164">
        <f>VLOOKUP(C35,'Active 1'!C$21:E$966,3,FALSE)</f>
        <v>1736.7659530947442</v>
      </c>
      <c r="F35" s="5" t="s">
        <v>160</v>
      </c>
      <c r="G35" s="25" t="str">
        <f t="shared" si="4"/>
        <v>47768.350</v>
      </c>
      <c r="H35" s="14">
        <f t="shared" si="5"/>
        <v>13886.5</v>
      </c>
      <c r="I35" s="165" t="s">
        <v>391</v>
      </c>
      <c r="J35" s="166" t="s">
        <v>392</v>
      </c>
      <c r="K35" s="165">
        <v>13886.5</v>
      </c>
      <c r="L35" s="165" t="s">
        <v>393</v>
      </c>
      <c r="M35" s="166" t="s">
        <v>352</v>
      </c>
      <c r="N35" s="166"/>
      <c r="O35" s="167" t="s">
        <v>353</v>
      </c>
      <c r="P35" s="167" t="s">
        <v>373</v>
      </c>
    </row>
    <row r="36" spans="1:16" ht="12.75" customHeight="1" thickBot="1" x14ac:dyDescent="0.25">
      <c r="A36" s="14" t="str">
        <f t="shared" si="0"/>
        <v> BBS 92 </v>
      </c>
      <c r="B36" s="5" t="str">
        <f t="shared" si="1"/>
        <v>I</v>
      </c>
      <c r="C36" s="14">
        <f t="shared" si="2"/>
        <v>47775.360000000001</v>
      </c>
      <c r="D36" s="25" t="str">
        <f t="shared" si="3"/>
        <v>vis</v>
      </c>
      <c r="E36" s="164">
        <f>VLOOKUP(C36,'Active 1'!C$21:E$966,3,FALSE)</f>
        <v>1751.6401389134326</v>
      </c>
      <c r="F36" s="5" t="s">
        <v>160</v>
      </c>
      <c r="G36" s="25" t="str">
        <f t="shared" si="4"/>
        <v>47775.360</v>
      </c>
      <c r="H36" s="14">
        <f t="shared" si="5"/>
        <v>13902</v>
      </c>
      <c r="I36" s="165" t="s">
        <v>394</v>
      </c>
      <c r="J36" s="166" t="s">
        <v>395</v>
      </c>
      <c r="K36" s="165">
        <v>13902</v>
      </c>
      <c r="L36" s="165" t="s">
        <v>396</v>
      </c>
      <c r="M36" s="166" t="s">
        <v>352</v>
      </c>
      <c r="N36" s="166"/>
      <c r="O36" s="167" t="s">
        <v>353</v>
      </c>
      <c r="P36" s="167" t="s">
        <v>373</v>
      </c>
    </row>
    <row r="37" spans="1:16" ht="12.75" customHeight="1" thickBot="1" x14ac:dyDescent="0.25">
      <c r="A37" s="14" t="str">
        <f t="shared" si="0"/>
        <v> BBS 92 </v>
      </c>
      <c r="B37" s="5" t="str">
        <f t="shared" si="1"/>
        <v>I</v>
      </c>
      <c r="C37" s="14">
        <f t="shared" si="2"/>
        <v>47782.311000000002</v>
      </c>
      <c r="D37" s="25" t="str">
        <f t="shared" si="3"/>
        <v>vis</v>
      </c>
      <c r="E37" s="164">
        <f>VLOOKUP(C37,'Active 1'!C$21:E$966,3,FALSE)</f>
        <v>1766.3891354363548</v>
      </c>
      <c r="F37" s="5" t="s">
        <v>160</v>
      </c>
      <c r="G37" s="25" t="str">
        <f t="shared" si="4"/>
        <v>47782.311</v>
      </c>
      <c r="H37" s="14">
        <f t="shared" si="5"/>
        <v>13918</v>
      </c>
      <c r="I37" s="165" t="s">
        <v>397</v>
      </c>
      <c r="J37" s="166" t="s">
        <v>398</v>
      </c>
      <c r="K37" s="165">
        <v>13918</v>
      </c>
      <c r="L37" s="165" t="s">
        <v>399</v>
      </c>
      <c r="M37" s="166" t="s">
        <v>352</v>
      </c>
      <c r="N37" s="166"/>
      <c r="O37" s="167" t="s">
        <v>353</v>
      </c>
      <c r="P37" s="167" t="s">
        <v>373</v>
      </c>
    </row>
    <row r="38" spans="1:16" ht="12.75" customHeight="1" thickBot="1" x14ac:dyDescent="0.25">
      <c r="A38" s="14" t="str">
        <f t="shared" si="0"/>
        <v> BBS 95 </v>
      </c>
      <c r="B38" s="5" t="str">
        <f t="shared" si="1"/>
        <v>I</v>
      </c>
      <c r="C38" s="14">
        <f t="shared" si="2"/>
        <v>48014.49</v>
      </c>
      <c r="D38" s="25" t="str">
        <f t="shared" si="3"/>
        <v>vis</v>
      </c>
      <c r="E38" s="164">
        <f>VLOOKUP(C38,'Active 1'!C$21:E$966,3,FALSE)</f>
        <v>2259.0387202004281</v>
      </c>
      <c r="F38" s="5" t="s">
        <v>160</v>
      </c>
      <c r="G38" s="25" t="str">
        <f t="shared" si="4"/>
        <v>48014.490</v>
      </c>
      <c r="H38" s="14">
        <f t="shared" si="5"/>
        <v>14438</v>
      </c>
      <c r="I38" s="165" t="s">
        <v>404</v>
      </c>
      <c r="J38" s="166" t="s">
        <v>405</v>
      </c>
      <c r="K38" s="165">
        <v>14438</v>
      </c>
      <c r="L38" s="165" t="s">
        <v>406</v>
      </c>
      <c r="M38" s="166" t="s">
        <v>352</v>
      </c>
      <c r="N38" s="166"/>
      <c r="O38" s="167" t="s">
        <v>353</v>
      </c>
      <c r="P38" s="167" t="s">
        <v>407</v>
      </c>
    </row>
    <row r="39" spans="1:16" ht="12.75" customHeight="1" thickBot="1" x14ac:dyDescent="0.25">
      <c r="A39" s="14" t="str">
        <f t="shared" si="0"/>
        <v> BBS 95 </v>
      </c>
      <c r="B39" s="5" t="str">
        <f t="shared" si="1"/>
        <v>I</v>
      </c>
      <c r="C39" s="14">
        <f t="shared" si="2"/>
        <v>48015.413</v>
      </c>
      <c r="D39" s="25" t="str">
        <f t="shared" si="3"/>
        <v>vis</v>
      </c>
      <c r="E39" s="164">
        <f>VLOOKUP(C39,'Active 1'!C$21:E$966,3,FALSE)</f>
        <v>2260.9971900307678</v>
      </c>
      <c r="F39" s="5" t="s">
        <v>160</v>
      </c>
      <c r="G39" s="25" t="str">
        <f t="shared" si="4"/>
        <v>48015.413</v>
      </c>
      <c r="H39" s="14">
        <f t="shared" si="5"/>
        <v>14440</v>
      </c>
      <c r="I39" s="165" t="s">
        <v>408</v>
      </c>
      <c r="J39" s="166" t="s">
        <v>409</v>
      </c>
      <c r="K39" s="165">
        <v>14440</v>
      </c>
      <c r="L39" s="165" t="s">
        <v>410</v>
      </c>
      <c r="M39" s="166" t="s">
        <v>352</v>
      </c>
      <c r="N39" s="166"/>
      <c r="O39" s="167" t="s">
        <v>353</v>
      </c>
      <c r="P39" s="167" t="s">
        <v>407</v>
      </c>
    </row>
    <row r="40" spans="1:16" ht="12.75" customHeight="1" thickBot="1" x14ac:dyDescent="0.25">
      <c r="A40" s="14" t="str">
        <f t="shared" si="0"/>
        <v> BBS 95 </v>
      </c>
      <c r="B40" s="5" t="str">
        <f t="shared" si="1"/>
        <v>I</v>
      </c>
      <c r="C40" s="14">
        <f t="shared" si="2"/>
        <v>48039.463000000003</v>
      </c>
      <c r="D40" s="25" t="str">
        <f t="shared" si="3"/>
        <v>vis</v>
      </c>
      <c r="E40" s="164">
        <f>VLOOKUP(C40,'Active 1'!C$21:E$966,3,FALSE)</f>
        <v>2312.0277419479421</v>
      </c>
      <c r="F40" s="5" t="s">
        <v>160</v>
      </c>
      <c r="G40" s="25" t="str">
        <f t="shared" si="4"/>
        <v>48039.463</v>
      </c>
      <c r="H40" s="14">
        <f t="shared" si="5"/>
        <v>14494</v>
      </c>
      <c r="I40" s="165" t="s">
        <v>411</v>
      </c>
      <c r="J40" s="166" t="s">
        <v>412</v>
      </c>
      <c r="K40" s="165">
        <v>14494</v>
      </c>
      <c r="L40" s="165" t="s">
        <v>413</v>
      </c>
      <c r="M40" s="166" t="s">
        <v>352</v>
      </c>
      <c r="N40" s="166"/>
      <c r="O40" s="167" t="s">
        <v>353</v>
      </c>
      <c r="P40" s="167" t="s">
        <v>407</v>
      </c>
    </row>
    <row r="41" spans="1:16" ht="12.75" customHeight="1" thickBot="1" x14ac:dyDescent="0.25">
      <c r="A41" s="14" t="str">
        <f t="shared" si="0"/>
        <v> BBS 95 </v>
      </c>
      <c r="B41" s="5" t="str">
        <f t="shared" si="1"/>
        <v>I</v>
      </c>
      <c r="C41" s="14">
        <f t="shared" si="2"/>
        <v>48044.400999999998</v>
      </c>
      <c r="D41" s="25" t="str">
        <f t="shared" si="3"/>
        <v>vis</v>
      </c>
      <c r="E41" s="164">
        <f>VLOOKUP(C41,'Active 1'!C$21:E$966,3,FALSE)</f>
        <v>2322.5054494475971</v>
      </c>
      <c r="F41" s="5" t="s">
        <v>160</v>
      </c>
      <c r="G41" s="25" t="str">
        <f t="shared" si="4"/>
        <v>48044.401</v>
      </c>
      <c r="H41" s="14">
        <f t="shared" si="5"/>
        <v>14505</v>
      </c>
      <c r="I41" s="165" t="s">
        <v>414</v>
      </c>
      <c r="J41" s="166" t="s">
        <v>415</v>
      </c>
      <c r="K41" s="165">
        <v>14505</v>
      </c>
      <c r="L41" s="165" t="s">
        <v>416</v>
      </c>
      <c r="M41" s="166" t="s">
        <v>352</v>
      </c>
      <c r="N41" s="166"/>
      <c r="O41" s="167" t="s">
        <v>353</v>
      </c>
      <c r="P41" s="167" t="s">
        <v>407</v>
      </c>
    </row>
    <row r="42" spans="1:16" ht="12.75" customHeight="1" thickBot="1" x14ac:dyDescent="0.25">
      <c r="A42" s="14" t="str">
        <f t="shared" si="0"/>
        <v> BBS 96 </v>
      </c>
      <c r="B42" s="5" t="str">
        <f t="shared" si="1"/>
        <v>I</v>
      </c>
      <c r="C42" s="14">
        <f t="shared" si="2"/>
        <v>48085.415000000001</v>
      </c>
      <c r="D42" s="25" t="str">
        <f t="shared" si="3"/>
        <v>vis</v>
      </c>
      <c r="E42" s="164">
        <f>VLOOKUP(C42,'Active 1'!C$21:E$966,3,FALSE)</f>
        <v>2409.5311066754921</v>
      </c>
      <c r="F42" s="5" t="s">
        <v>160</v>
      </c>
      <c r="G42" s="25" t="str">
        <f t="shared" si="4"/>
        <v>48085.415</v>
      </c>
      <c r="H42" s="14">
        <f t="shared" si="5"/>
        <v>14597</v>
      </c>
      <c r="I42" s="165" t="s">
        <v>421</v>
      </c>
      <c r="J42" s="166" t="s">
        <v>422</v>
      </c>
      <c r="K42" s="165">
        <v>14597</v>
      </c>
      <c r="L42" s="165" t="s">
        <v>423</v>
      </c>
      <c r="M42" s="166" t="s">
        <v>352</v>
      </c>
      <c r="N42" s="166"/>
      <c r="O42" s="167" t="s">
        <v>353</v>
      </c>
      <c r="P42" s="167" t="s">
        <v>424</v>
      </c>
    </row>
    <row r="43" spans="1:16" ht="12.75" customHeight="1" thickBot="1" x14ac:dyDescent="0.25">
      <c r="A43" s="14" t="str">
        <f t="shared" ref="A43:A74" si="6">P43</f>
        <v> BBS 96 </v>
      </c>
      <c r="B43" s="5" t="str">
        <f t="shared" ref="B43:B74" si="7">IF(H43=INT(H43),"I","II")</f>
        <v>I</v>
      </c>
      <c r="C43" s="14">
        <f t="shared" ref="C43:C74" si="8">1*G43</f>
        <v>48089.428999999996</v>
      </c>
      <c r="D43" s="25" t="str">
        <f t="shared" ref="D43:D74" si="9">VLOOKUP(F43,I$1:J$5,2,FALSE)</f>
        <v>vis</v>
      </c>
      <c r="E43" s="164">
        <f>VLOOKUP(C43,'Active 1'!C$21:E$966,3,FALSE)</f>
        <v>2418.0482224923439</v>
      </c>
      <c r="F43" s="5" t="s">
        <v>160</v>
      </c>
      <c r="G43" s="25" t="str">
        <f t="shared" ref="G43:G74" si="10">MID(I43,3,LEN(I43)-3)</f>
        <v>48089.429</v>
      </c>
      <c r="H43" s="14">
        <f t="shared" ref="H43:H74" si="11">1*K43</f>
        <v>14606</v>
      </c>
      <c r="I43" s="165" t="s">
        <v>425</v>
      </c>
      <c r="J43" s="166" t="s">
        <v>426</v>
      </c>
      <c r="K43" s="165">
        <v>14606</v>
      </c>
      <c r="L43" s="165" t="s">
        <v>427</v>
      </c>
      <c r="M43" s="166" t="s">
        <v>352</v>
      </c>
      <c r="N43" s="166"/>
      <c r="O43" s="167" t="s">
        <v>353</v>
      </c>
      <c r="P43" s="167" t="s">
        <v>424</v>
      </c>
    </row>
    <row r="44" spans="1:16" ht="12.75" customHeight="1" thickBot="1" x14ac:dyDescent="0.25">
      <c r="A44" s="14" t="str">
        <f t="shared" si="6"/>
        <v> BBS 96 </v>
      </c>
      <c r="B44" s="5" t="str">
        <f t="shared" si="7"/>
        <v>I</v>
      </c>
      <c r="C44" s="14">
        <f t="shared" si="8"/>
        <v>48113.425999999999</v>
      </c>
      <c r="D44" s="25" t="str">
        <f t="shared" si="9"/>
        <v>vis</v>
      </c>
      <c r="E44" s="164">
        <f>VLOOKUP(C44,'Active 1'!C$21:E$966,3,FALSE)</f>
        <v>2468.9663162285783</v>
      </c>
      <c r="F44" s="5" t="s">
        <v>160</v>
      </c>
      <c r="G44" s="25" t="str">
        <f t="shared" si="10"/>
        <v>48113.426</v>
      </c>
      <c r="H44" s="14">
        <f t="shared" si="11"/>
        <v>14660</v>
      </c>
      <c r="I44" s="165" t="s">
        <v>428</v>
      </c>
      <c r="J44" s="166" t="s">
        <v>429</v>
      </c>
      <c r="K44" s="165">
        <v>14660</v>
      </c>
      <c r="L44" s="165" t="s">
        <v>430</v>
      </c>
      <c r="M44" s="166" t="s">
        <v>352</v>
      </c>
      <c r="N44" s="166"/>
      <c r="O44" s="167" t="s">
        <v>353</v>
      </c>
      <c r="P44" s="167" t="s">
        <v>424</v>
      </c>
    </row>
    <row r="45" spans="1:16" ht="12.75" customHeight="1" thickBot="1" x14ac:dyDescent="0.25">
      <c r="A45" s="14" t="str">
        <f t="shared" si="6"/>
        <v> BBS 96 </v>
      </c>
      <c r="B45" s="5" t="str">
        <f t="shared" si="7"/>
        <v>I</v>
      </c>
      <c r="C45" s="14">
        <f t="shared" si="8"/>
        <v>48114.400000000001</v>
      </c>
      <c r="D45" s="25" t="str">
        <f t="shared" si="9"/>
        <v>vis</v>
      </c>
      <c r="E45" s="164">
        <f>VLOOKUP(C45,'Active 1'!C$21:E$966,3,FALSE)</f>
        <v>2471.033000534916</v>
      </c>
      <c r="F45" s="5" t="s">
        <v>160</v>
      </c>
      <c r="G45" s="25" t="str">
        <f t="shared" si="10"/>
        <v>48114.400</v>
      </c>
      <c r="H45" s="14">
        <f t="shared" si="11"/>
        <v>14662</v>
      </c>
      <c r="I45" s="165" t="s">
        <v>431</v>
      </c>
      <c r="J45" s="166" t="s">
        <v>432</v>
      </c>
      <c r="K45" s="165">
        <v>14662</v>
      </c>
      <c r="L45" s="165" t="s">
        <v>433</v>
      </c>
      <c r="M45" s="166" t="s">
        <v>352</v>
      </c>
      <c r="N45" s="166"/>
      <c r="O45" s="167" t="s">
        <v>353</v>
      </c>
      <c r="P45" s="167" t="s">
        <v>424</v>
      </c>
    </row>
    <row r="46" spans="1:16" ht="12.75" customHeight="1" thickBot="1" x14ac:dyDescent="0.25">
      <c r="A46" s="14" t="str">
        <f t="shared" si="6"/>
        <v> BBS 96 </v>
      </c>
      <c r="B46" s="5" t="str">
        <f t="shared" si="7"/>
        <v>I</v>
      </c>
      <c r="C46" s="14">
        <f t="shared" si="8"/>
        <v>48163.402000000002</v>
      </c>
      <c r="D46" s="25" t="str">
        <f t="shared" si="9"/>
        <v>vis</v>
      </c>
      <c r="E46" s="164">
        <f>VLOOKUP(C46,'Active 1'!C$21:E$966,3,FALSE)</f>
        <v>2575.0080152977052</v>
      </c>
      <c r="F46" s="5" t="s">
        <v>160</v>
      </c>
      <c r="G46" s="25" t="str">
        <f t="shared" si="10"/>
        <v>48163.402</v>
      </c>
      <c r="H46" s="14">
        <f t="shared" si="11"/>
        <v>14772</v>
      </c>
      <c r="I46" s="165" t="s">
        <v>434</v>
      </c>
      <c r="J46" s="166" t="s">
        <v>435</v>
      </c>
      <c r="K46" s="165">
        <v>14772</v>
      </c>
      <c r="L46" s="165" t="s">
        <v>436</v>
      </c>
      <c r="M46" s="166" t="s">
        <v>352</v>
      </c>
      <c r="N46" s="166"/>
      <c r="O46" s="167" t="s">
        <v>353</v>
      </c>
      <c r="P46" s="167" t="s">
        <v>424</v>
      </c>
    </row>
    <row r="47" spans="1:16" ht="12.75" customHeight="1" thickBot="1" x14ac:dyDescent="0.25">
      <c r="A47" s="14" t="str">
        <f t="shared" si="6"/>
        <v> BBS 98 </v>
      </c>
      <c r="B47" s="5" t="str">
        <f t="shared" si="7"/>
        <v>I</v>
      </c>
      <c r="C47" s="14">
        <f t="shared" si="8"/>
        <v>48433.409</v>
      </c>
      <c r="D47" s="25" t="str">
        <f t="shared" si="9"/>
        <v>vis</v>
      </c>
      <c r="E47" s="164">
        <f>VLOOKUP(C47,'Active 1'!C$21:E$966,3,FALSE)</f>
        <v>3147.9230353184394</v>
      </c>
      <c r="F47" s="5" t="s">
        <v>160</v>
      </c>
      <c r="G47" s="25" t="str">
        <f t="shared" si="10"/>
        <v>48433.409</v>
      </c>
      <c r="H47" s="14">
        <f t="shared" si="11"/>
        <v>15377</v>
      </c>
      <c r="I47" s="165" t="s">
        <v>440</v>
      </c>
      <c r="J47" s="166" t="s">
        <v>441</v>
      </c>
      <c r="K47" s="165">
        <v>15377</v>
      </c>
      <c r="L47" s="165" t="s">
        <v>442</v>
      </c>
      <c r="M47" s="166" t="s">
        <v>352</v>
      </c>
      <c r="N47" s="166"/>
      <c r="O47" s="167" t="s">
        <v>353</v>
      </c>
      <c r="P47" s="167" t="s">
        <v>443</v>
      </c>
    </row>
    <row r="48" spans="1:16" ht="12.75" customHeight="1" thickBot="1" x14ac:dyDescent="0.25">
      <c r="A48" s="14" t="str">
        <f t="shared" si="6"/>
        <v> BBS 98 </v>
      </c>
      <c r="B48" s="5" t="str">
        <f t="shared" si="7"/>
        <v>I</v>
      </c>
      <c r="C48" s="14">
        <f t="shared" si="8"/>
        <v>48441.45</v>
      </c>
      <c r="D48" s="25" t="str">
        <f t="shared" si="9"/>
        <v>vis</v>
      </c>
      <c r="E48" s="164">
        <f>VLOOKUP(C48,'Active 1'!C$21:E$966,3,FALSE)</f>
        <v>3164.984851034274</v>
      </c>
      <c r="F48" s="5" t="s">
        <v>160</v>
      </c>
      <c r="G48" s="25" t="str">
        <f t="shared" si="10"/>
        <v>48441.450</v>
      </c>
      <c r="H48" s="14">
        <f t="shared" si="11"/>
        <v>15395</v>
      </c>
      <c r="I48" s="165" t="s">
        <v>444</v>
      </c>
      <c r="J48" s="166" t="s">
        <v>445</v>
      </c>
      <c r="K48" s="165">
        <v>15395</v>
      </c>
      <c r="L48" s="165" t="s">
        <v>446</v>
      </c>
      <c r="M48" s="166" t="s">
        <v>352</v>
      </c>
      <c r="N48" s="166"/>
      <c r="O48" s="167" t="s">
        <v>353</v>
      </c>
      <c r="P48" s="167" t="s">
        <v>443</v>
      </c>
    </row>
    <row r="49" spans="1:16" ht="12.75" customHeight="1" thickBot="1" x14ac:dyDescent="0.25">
      <c r="A49" s="14" t="str">
        <f t="shared" si="6"/>
        <v> BBS 98 </v>
      </c>
      <c r="B49" s="5" t="str">
        <f t="shared" si="7"/>
        <v>I</v>
      </c>
      <c r="C49" s="14">
        <f t="shared" si="8"/>
        <v>48449.425999999999</v>
      </c>
      <c r="D49" s="25" t="str">
        <f t="shared" si="9"/>
        <v>vis</v>
      </c>
      <c r="E49" s="164">
        <f>VLOOKUP(C49,'Active 1'!C$21:E$966,3,FALSE)</f>
        <v>3181.9087463395317</v>
      </c>
      <c r="F49" s="5" t="s">
        <v>160</v>
      </c>
      <c r="G49" s="25" t="str">
        <f t="shared" si="10"/>
        <v>48449.426</v>
      </c>
      <c r="H49" s="14">
        <f t="shared" si="11"/>
        <v>15413</v>
      </c>
      <c r="I49" s="165" t="s">
        <v>447</v>
      </c>
      <c r="J49" s="166" t="s">
        <v>448</v>
      </c>
      <c r="K49" s="165">
        <v>15413</v>
      </c>
      <c r="L49" s="165" t="s">
        <v>449</v>
      </c>
      <c r="M49" s="166" t="s">
        <v>352</v>
      </c>
      <c r="N49" s="166"/>
      <c r="O49" s="167" t="s">
        <v>353</v>
      </c>
      <c r="P49" s="167" t="s">
        <v>443</v>
      </c>
    </row>
    <row r="50" spans="1:16" ht="12.75" customHeight="1" thickBot="1" x14ac:dyDescent="0.25">
      <c r="A50" s="14" t="str">
        <f t="shared" si="6"/>
        <v> BBS 98 </v>
      </c>
      <c r="B50" s="5" t="str">
        <f t="shared" si="7"/>
        <v>I</v>
      </c>
      <c r="C50" s="14">
        <f t="shared" si="8"/>
        <v>48466.432999999997</v>
      </c>
      <c r="D50" s="25" t="str">
        <f t="shared" si="9"/>
        <v>vis</v>
      </c>
      <c r="E50" s="164">
        <f>VLOOKUP(C50,'Active 1'!C$21:E$966,3,FALSE)</f>
        <v>3217.9950913064827</v>
      </c>
      <c r="F50" s="5" t="s">
        <v>160</v>
      </c>
      <c r="G50" s="25" t="str">
        <f t="shared" si="10"/>
        <v>48466.433</v>
      </c>
      <c r="H50" s="14">
        <f t="shared" si="11"/>
        <v>15451</v>
      </c>
      <c r="I50" s="165" t="s">
        <v>457</v>
      </c>
      <c r="J50" s="166" t="s">
        <v>458</v>
      </c>
      <c r="K50" s="165">
        <v>15451</v>
      </c>
      <c r="L50" s="165" t="s">
        <v>459</v>
      </c>
      <c r="M50" s="166" t="s">
        <v>352</v>
      </c>
      <c r="N50" s="166"/>
      <c r="O50" s="167" t="s">
        <v>353</v>
      </c>
      <c r="P50" s="167" t="s">
        <v>443</v>
      </c>
    </row>
    <row r="51" spans="1:16" ht="12.75" customHeight="1" thickBot="1" x14ac:dyDescent="0.25">
      <c r="A51" s="14" t="str">
        <f t="shared" si="6"/>
        <v> BBS 99 </v>
      </c>
      <c r="B51" s="5" t="str">
        <f t="shared" si="7"/>
        <v>I</v>
      </c>
      <c r="C51" s="14">
        <f t="shared" si="8"/>
        <v>48503.44</v>
      </c>
      <c r="D51" s="25" t="str">
        <f t="shared" si="9"/>
        <v>vis</v>
      </c>
      <c r="E51" s="164">
        <f>VLOOKUP(C51,'Active 1'!C$21:E$966,3,FALSE)</f>
        <v>3296.518485684815</v>
      </c>
      <c r="F51" s="5" t="s">
        <v>160</v>
      </c>
      <c r="G51" s="25" t="str">
        <f t="shared" si="10"/>
        <v>48503.440</v>
      </c>
      <c r="H51" s="14">
        <f t="shared" si="11"/>
        <v>15534</v>
      </c>
      <c r="I51" s="165" t="s">
        <v>466</v>
      </c>
      <c r="J51" s="166" t="s">
        <v>467</v>
      </c>
      <c r="K51" s="165">
        <v>15534</v>
      </c>
      <c r="L51" s="165" t="s">
        <v>468</v>
      </c>
      <c r="M51" s="166" t="s">
        <v>352</v>
      </c>
      <c r="N51" s="166"/>
      <c r="O51" s="167" t="s">
        <v>353</v>
      </c>
      <c r="P51" s="167" t="s">
        <v>469</v>
      </c>
    </row>
    <row r="52" spans="1:16" ht="12.75" customHeight="1" thickBot="1" x14ac:dyDescent="0.25">
      <c r="A52" s="14" t="str">
        <f t="shared" si="6"/>
        <v> BBS 101 </v>
      </c>
      <c r="B52" s="5" t="str">
        <f t="shared" si="7"/>
        <v>I</v>
      </c>
      <c r="C52" s="14">
        <f t="shared" si="8"/>
        <v>48761.447999999997</v>
      </c>
      <c r="D52" s="25" t="str">
        <f t="shared" si="9"/>
        <v>vis</v>
      </c>
      <c r="E52" s="164">
        <f>VLOOKUP(C52,'Active 1'!C$21:E$966,3,FALSE)</f>
        <v>3843.9733979111929</v>
      </c>
      <c r="F52" s="5" t="s">
        <v>160</v>
      </c>
      <c r="G52" s="25" t="str">
        <f t="shared" si="10"/>
        <v>48761.448</v>
      </c>
      <c r="H52" s="14">
        <f t="shared" si="11"/>
        <v>16112</v>
      </c>
      <c r="I52" s="165" t="s">
        <v>470</v>
      </c>
      <c r="J52" s="166" t="s">
        <v>471</v>
      </c>
      <c r="K52" s="165">
        <v>16112</v>
      </c>
      <c r="L52" s="165" t="s">
        <v>472</v>
      </c>
      <c r="M52" s="166" t="s">
        <v>352</v>
      </c>
      <c r="N52" s="166"/>
      <c r="O52" s="167" t="s">
        <v>353</v>
      </c>
      <c r="P52" s="167" t="s">
        <v>473</v>
      </c>
    </row>
    <row r="53" spans="1:16" ht="12.75" customHeight="1" thickBot="1" x14ac:dyDescent="0.25">
      <c r="A53" s="14" t="str">
        <f t="shared" si="6"/>
        <v> BBS 101 </v>
      </c>
      <c r="B53" s="5" t="str">
        <f t="shared" si="7"/>
        <v>I</v>
      </c>
      <c r="C53" s="14">
        <f t="shared" si="8"/>
        <v>48820.400999999998</v>
      </c>
      <c r="D53" s="25" t="str">
        <f t="shared" si="9"/>
        <v>vis</v>
      </c>
      <c r="E53" s="164">
        <f>VLOOKUP(C53,'Active 1'!C$21:E$966,3,FALSE)</f>
        <v>3969.0629666086093</v>
      </c>
      <c r="F53" s="5" t="s">
        <v>160</v>
      </c>
      <c r="G53" s="25" t="str">
        <f t="shared" si="10"/>
        <v>48820.401</v>
      </c>
      <c r="H53" s="14">
        <f t="shared" si="11"/>
        <v>16244</v>
      </c>
      <c r="I53" s="165" t="s">
        <v>474</v>
      </c>
      <c r="J53" s="166" t="s">
        <v>475</v>
      </c>
      <c r="K53" s="165">
        <v>16244</v>
      </c>
      <c r="L53" s="165" t="s">
        <v>476</v>
      </c>
      <c r="M53" s="166" t="s">
        <v>352</v>
      </c>
      <c r="N53" s="166"/>
      <c r="O53" s="167" t="s">
        <v>353</v>
      </c>
      <c r="P53" s="167" t="s">
        <v>473</v>
      </c>
    </row>
    <row r="54" spans="1:16" ht="12.75" customHeight="1" thickBot="1" x14ac:dyDescent="0.25">
      <c r="A54" s="14" t="str">
        <f t="shared" si="6"/>
        <v> BBS 102 </v>
      </c>
      <c r="B54" s="5" t="str">
        <f t="shared" si="7"/>
        <v>I</v>
      </c>
      <c r="C54" s="14">
        <f t="shared" si="8"/>
        <v>48845.353000000003</v>
      </c>
      <c r="D54" s="25" t="str">
        <f t="shared" si="9"/>
        <v>vis</v>
      </c>
      <c r="E54" s="164">
        <f>VLOOKUP(C54,'Active 1'!C$21:E$966,3,FALSE)</f>
        <v>4022.0074294542401</v>
      </c>
      <c r="F54" s="5" t="str">
        <f>LEFT(M54,1)</f>
        <v>V</v>
      </c>
      <c r="G54" s="25" t="str">
        <f t="shared" si="10"/>
        <v>48845.353</v>
      </c>
      <c r="H54" s="14">
        <f t="shared" si="11"/>
        <v>16300</v>
      </c>
      <c r="I54" s="165" t="s">
        <v>477</v>
      </c>
      <c r="J54" s="166" t="s">
        <v>478</v>
      </c>
      <c r="K54" s="165">
        <v>16300</v>
      </c>
      <c r="L54" s="165" t="s">
        <v>479</v>
      </c>
      <c r="M54" s="166" t="s">
        <v>352</v>
      </c>
      <c r="N54" s="166"/>
      <c r="O54" s="167" t="s">
        <v>353</v>
      </c>
      <c r="P54" s="167" t="s">
        <v>480</v>
      </c>
    </row>
    <row r="55" spans="1:16" ht="12.75" customHeight="1" thickBot="1" x14ac:dyDescent="0.25">
      <c r="A55" s="14" t="str">
        <f t="shared" si="6"/>
        <v>BAVM 80 </v>
      </c>
      <c r="B55" s="5" t="str">
        <f t="shared" si="7"/>
        <v>I</v>
      </c>
      <c r="C55" s="14">
        <f t="shared" si="8"/>
        <v>49600.358</v>
      </c>
      <c r="D55" s="25" t="str">
        <f t="shared" si="9"/>
        <v>vis</v>
      </c>
      <c r="E55" s="164">
        <f>VLOOKUP(C55,'Active 1'!C$21:E$966,3,FALSE)</f>
        <v>5624.0166539956654</v>
      </c>
      <c r="F55" s="5" t="s">
        <v>160</v>
      </c>
      <c r="G55" s="25" t="str">
        <f t="shared" si="10"/>
        <v>49600.358</v>
      </c>
      <c r="H55" s="14">
        <f t="shared" si="11"/>
        <v>17992</v>
      </c>
      <c r="I55" s="165" t="s">
        <v>491</v>
      </c>
      <c r="J55" s="166" t="s">
        <v>492</v>
      </c>
      <c r="K55" s="165">
        <v>17992</v>
      </c>
      <c r="L55" s="165" t="s">
        <v>493</v>
      </c>
      <c r="M55" s="166" t="s">
        <v>284</v>
      </c>
      <c r="N55" s="166" t="s">
        <v>120</v>
      </c>
      <c r="O55" s="167" t="s">
        <v>323</v>
      </c>
      <c r="P55" s="168" t="s">
        <v>494</v>
      </c>
    </row>
    <row r="56" spans="1:16" ht="12.75" customHeight="1" thickBot="1" x14ac:dyDescent="0.25">
      <c r="A56" s="14" t="str">
        <f t="shared" si="6"/>
        <v>BAVM 80 </v>
      </c>
      <c r="B56" s="5" t="str">
        <f t="shared" si="7"/>
        <v>I</v>
      </c>
      <c r="C56" s="14">
        <f t="shared" si="8"/>
        <v>49600.362000000001</v>
      </c>
      <c r="D56" s="25" t="str">
        <f t="shared" si="9"/>
        <v>vis</v>
      </c>
      <c r="E56" s="164">
        <f>VLOOKUP(C56,'Active 1'!C$21:E$966,3,FALSE)</f>
        <v>5624.0251414055492</v>
      </c>
      <c r="F56" s="5" t="s">
        <v>160</v>
      </c>
      <c r="G56" s="25" t="str">
        <f t="shared" si="10"/>
        <v>49600.362</v>
      </c>
      <c r="H56" s="14">
        <f t="shared" si="11"/>
        <v>17992</v>
      </c>
      <c r="I56" s="165" t="s">
        <v>495</v>
      </c>
      <c r="J56" s="166" t="s">
        <v>496</v>
      </c>
      <c r="K56" s="165">
        <v>17992</v>
      </c>
      <c r="L56" s="165" t="s">
        <v>497</v>
      </c>
      <c r="M56" s="166" t="s">
        <v>284</v>
      </c>
      <c r="N56" s="166" t="s">
        <v>322</v>
      </c>
      <c r="O56" s="167" t="s">
        <v>323</v>
      </c>
      <c r="P56" s="168" t="s">
        <v>494</v>
      </c>
    </row>
    <row r="57" spans="1:16" ht="12.75" customHeight="1" thickBot="1" x14ac:dyDescent="0.25">
      <c r="A57" s="14" t="str">
        <f t="shared" si="6"/>
        <v> BBS 115 </v>
      </c>
      <c r="B57" s="5" t="str">
        <f t="shared" si="7"/>
        <v>I</v>
      </c>
      <c r="C57" s="14">
        <f t="shared" si="8"/>
        <v>50649.675000000003</v>
      </c>
      <c r="D57" s="25" t="str">
        <f t="shared" si="9"/>
        <v>vis</v>
      </c>
      <c r="E57" s="164">
        <f>VLOOKUP(C57,'Active 1'!C$21:E$966,3,FALSE)</f>
        <v>7850.5125228550032</v>
      </c>
      <c r="F57" s="5" t="s">
        <v>160</v>
      </c>
      <c r="G57" s="25" t="str">
        <f t="shared" si="10"/>
        <v>50649.675</v>
      </c>
      <c r="H57" s="14">
        <f t="shared" si="11"/>
        <v>20343</v>
      </c>
      <c r="I57" s="165" t="s">
        <v>510</v>
      </c>
      <c r="J57" s="166" t="s">
        <v>511</v>
      </c>
      <c r="K57" s="165">
        <v>20343</v>
      </c>
      <c r="L57" s="165" t="s">
        <v>512</v>
      </c>
      <c r="M57" s="166" t="s">
        <v>284</v>
      </c>
      <c r="N57" s="166" t="s">
        <v>285</v>
      </c>
      <c r="O57" s="167" t="s">
        <v>513</v>
      </c>
      <c r="P57" s="167" t="s">
        <v>514</v>
      </c>
    </row>
    <row r="58" spans="1:16" ht="12.75" customHeight="1" thickBot="1" x14ac:dyDescent="0.25">
      <c r="A58" s="14" t="str">
        <f t="shared" si="6"/>
        <v>BAVM 117 </v>
      </c>
      <c r="B58" s="5" t="str">
        <f t="shared" si="7"/>
        <v>II</v>
      </c>
      <c r="C58" s="14">
        <f t="shared" si="8"/>
        <v>50948.484100000001</v>
      </c>
      <c r="D58" s="25" t="str">
        <f t="shared" si="9"/>
        <v>vis</v>
      </c>
      <c r="E58" s="164">
        <f>VLOOKUP(C58,'Active 1'!C$21:E$966,3,FALSE)</f>
        <v>8484.541349918296</v>
      </c>
      <c r="F58" s="5" t="s">
        <v>160</v>
      </c>
      <c r="G58" s="25" t="str">
        <f t="shared" si="10"/>
        <v>50948.4841</v>
      </c>
      <c r="H58" s="14">
        <f t="shared" si="11"/>
        <v>21012.5</v>
      </c>
      <c r="I58" s="165" t="s">
        <v>515</v>
      </c>
      <c r="J58" s="166" t="s">
        <v>516</v>
      </c>
      <c r="K58" s="165">
        <v>21012.5</v>
      </c>
      <c r="L58" s="165" t="s">
        <v>517</v>
      </c>
      <c r="M58" s="166" t="s">
        <v>284</v>
      </c>
      <c r="N58" s="166" t="s">
        <v>518</v>
      </c>
      <c r="O58" s="167" t="s">
        <v>323</v>
      </c>
      <c r="P58" s="168" t="s">
        <v>519</v>
      </c>
    </row>
    <row r="59" spans="1:16" ht="12.75" customHeight="1" thickBot="1" x14ac:dyDescent="0.25">
      <c r="A59" s="14" t="str">
        <f t="shared" si="6"/>
        <v>IBVS 5027 </v>
      </c>
      <c r="B59" s="5" t="str">
        <f t="shared" si="7"/>
        <v>I</v>
      </c>
      <c r="C59" s="14">
        <f t="shared" si="8"/>
        <v>51285.692000000003</v>
      </c>
      <c r="D59" s="25" t="str">
        <f t="shared" si="9"/>
        <v>vis</v>
      </c>
      <c r="E59" s="164">
        <f>VLOOKUP(C59,'Active 1'!C$21:E$966,3,FALSE)</f>
        <v>9200.0467656284509</v>
      </c>
      <c r="F59" s="5" t="s">
        <v>160</v>
      </c>
      <c r="G59" s="25" t="str">
        <f t="shared" si="10"/>
        <v>51285.6920</v>
      </c>
      <c r="H59" s="14">
        <f t="shared" si="11"/>
        <v>21768</v>
      </c>
      <c r="I59" s="165" t="s">
        <v>523</v>
      </c>
      <c r="J59" s="166" t="s">
        <v>524</v>
      </c>
      <c r="K59" s="165">
        <v>21768</v>
      </c>
      <c r="L59" s="165" t="s">
        <v>525</v>
      </c>
      <c r="M59" s="166" t="s">
        <v>284</v>
      </c>
      <c r="N59" s="166" t="s">
        <v>285</v>
      </c>
      <c r="O59" s="167" t="s">
        <v>314</v>
      </c>
      <c r="P59" s="168" t="s">
        <v>526</v>
      </c>
    </row>
    <row r="60" spans="1:16" ht="12.75" customHeight="1" thickBot="1" x14ac:dyDescent="0.25">
      <c r="A60" s="14" t="str">
        <f t="shared" si="6"/>
        <v>IBVS 5027 </v>
      </c>
      <c r="B60" s="5" t="str">
        <f t="shared" si="7"/>
        <v>I</v>
      </c>
      <c r="C60" s="14">
        <f t="shared" si="8"/>
        <v>51305.722000000002</v>
      </c>
      <c r="D60" s="25" t="str">
        <f t="shared" si="9"/>
        <v>vis</v>
      </c>
      <c r="E60" s="164">
        <f>VLOOKUP(C60,'Active 1'!C$21:E$966,3,FALSE)</f>
        <v>9242.5474706139321</v>
      </c>
      <c r="F60" s="5" t="s">
        <v>160</v>
      </c>
      <c r="G60" s="25" t="str">
        <f t="shared" si="10"/>
        <v>51305.7220</v>
      </c>
      <c r="H60" s="14">
        <f t="shared" si="11"/>
        <v>21813</v>
      </c>
      <c r="I60" s="165" t="s">
        <v>527</v>
      </c>
      <c r="J60" s="166" t="s">
        <v>528</v>
      </c>
      <c r="K60" s="165">
        <v>21813</v>
      </c>
      <c r="L60" s="165" t="s">
        <v>529</v>
      </c>
      <c r="M60" s="166" t="s">
        <v>284</v>
      </c>
      <c r="N60" s="166" t="s">
        <v>285</v>
      </c>
      <c r="O60" s="167" t="s">
        <v>314</v>
      </c>
      <c r="P60" s="168" t="s">
        <v>526</v>
      </c>
    </row>
    <row r="61" spans="1:16" ht="12.75" customHeight="1" thickBot="1" x14ac:dyDescent="0.25">
      <c r="A61" s="14" t="str">
        <f t="shared" si="6"/>
        <v>OEJV 0074 </v>
      </c>
      <c r="B61" s="5" t="str">
        <f t="shared" si="7"/>
        <v>II</v>
      </c>
      <c r="C61" s="14">
        <f t="shared" si="8"/>
        <v>51663.4257</v>
      </c>
      <c r="D61" s="25" t="str">
        <f t="shared" si="9"/>
        <v>vis</v>
      </c>
      <c r="E61" s="164">
        <f>VLOOKUP(C61,'Active 1'!C$21:E$966,3,FALSE)</f>
        <v>10001.541950190356</v>
      </c>
      <c r="F61" s="5" t="s">
        <v>160</v>
      </c>
      <c r="G61" s="25" t="str">
        <f t="shared" si="10"/>
        <v>51663.42570</v>
      </c>
      <c r="H61" s="14">
        <f t="shared" si="11"/>
        <v>22614.5</v>
      </c>
      <c r="I61" s="165" t="s">
        <v>538</v>
      </c>
      <c r="J61" s="166" t="s">
        <v>539</v>
      </c>
      <c r="K61" s="165">
        <v>22614.5</v>
      </c>
      <c r="L61" s="165" t="s">
        <v>540</v>
      </c>
      <c r="M61" s="166" t="s">
        <v>541</v>
      </c>
      <c r="N61" s="166" t="s">
        <v>160</v>
      </c>
      <c r="O61" s="167" t="s">
        <v>542</v>
      </c>
      <c r="P61" s="168" t="s">
        <v>543</v>
      </c>
    </row>
    <row r="62" spans="1:16" ht="12.75" customHeight="1" thickBot="1" x14ac:dyDescent="0.25">
      <c r="A62" s="14" t="str">
        <f t="shared" si="6"/>
        <v> JAAVSO 40;975 </v>
      </c>
      <c r="B62" s="5" t="str">
        <f t="shared" si="7"/>
        <v>I</v>
      </c>
      <c r="C62" s="14">
        <f t="shared" si="8"/>
        <v>51704.671699999999</v>
      </c>
      <c r="D62" s="25" t="str">
        <f t="shared" si="9"/>
        <v>vis</v>
      </c>
      <c r="E62" s="164">
        <f>VLOOKUP(C62,'Active 1'!C$21:E$966,3,FALSE)</f>
        <v>10089.059877191414</v>
      </c>
      <c r="F62" s="5" t="s">
        <v>160</v>
      </c>
      <c r="G62" s="25" t="str">
        <f t="shared" si="10"/>
        <v>51704.6717</v>
      </c>
      <c r="H62" s="14">
        <f t="shared" si="11"/>
        <v>22707</v>
      </c>
      <c r="I62" s="165" t="s">
        <v>551</v>
      </c>
      <c r="J62" s="166" t="s">
        <v>552</v>
      </c>
      <c r="K62" s="165">
        <v>22707</v>
      </c>
      <c r="L62" s="165" t="s">
        <v>553</v>
      </c>
      <c r="M62" s="166" t="s">
        <v>541</v>
      </c>
      <c r="N62" s="166" t="s">
        <v>160</v>
      </c>
      <c r="O62" s="167" t="s">
        <v>554</v>
      </c>
      <c r="P62" s="167" t="s">
        <v>555</v>
      </c>
    </row>
    <row r="63" spans="1:16" ht="12.75" customHeight="1" thickBot="1" x14ac:dyDescent="0.25">
      <c r="A63" s="14" t="str">
        <f t="shared" si="6"/>
        <v>IBVS 5224 </v>
      </c>
      <c r="B63" s="5" t="str">
        <f t="shared" si="7"/>
        <v>I</v>
      </c>
      <c r="C63" s="14">
        <f t="shared" si="8"/>
        <v>51983.912900000003</v>
      </c>
      <c r="D63" s="25" t="str">
        <f t="shared" si="9"/>
        <v>vis</v>
      </c>
      <c r="E63" s="164">
        <f>VLOOKUP(C63,'Active 1'!C$21:E$966,3,FALSE)</f>
        <v>10681.568507295884</v>
      </c>
      <c r="F63" s="5" t="s">
        <v>160</v>
      </c>
      <c r="G63" s="25" t="str">
        <f t="shared" si="10"/>
        <v>51983.9129</v>
      </c>
      <c r="H63" s="14">
        <f t="shared" si="11"/>
        <v>23333</v>
      </c>
      <c r="I63" s="165" t="s">
        <v>556</v>
      </c>
      <c r="J63" s="166" t="s">
        <v>557</v>
      </c>
      <c r="K63" s="165">
        <v>23333</v>
      </c>
      <c r="L63" s="165" t="s">
        <v>558</v>
      </c>
      <c r="M63" s="166" t="s">
        <v>284</v>
      </c>
      <c r="N63" s="166" t="s">
        <v>285</v>
      </c>
      <c r="O63" s="167" t="s">
        <v>506</v>
      </c>
      <c r="P63" s="168" t="s">
        <v>559</v>
      </c>
    </row>
    <row r="64" spans="1:16" ht="12.75" customHeight="1" thickBot="1" x14ac:dyDescent="0.25">
      <c r="A64" s="14" t="str">
        <f t="shared" si="6"/>
        <v>BAVM 152 </v>
      </c>
      <c r="B64" s="5" t="str">
        <f t="shared" si="7"/>
        <v>II</v>
      </c>
      <c r="C64" s="14">
        <f t="shared" si="8"/>
        <v>52032.453999999998</v>
      </c>
      <c r="D64" s="25" t="str">
        <f t="shared" si="9"/>
        <v>vis</v>
      </c>
      <c r="E64" s="164">
        <f>VLOOKUP(C64,'Active 1'!C$21:E$966,3,FALSE)</f>
        <v>10784.565560254976</v>
      </c>
      <c r="F64" s="5" t="s">
        <v>160</v>
      </c>
      <c r="G64" s="25" t="str">
        <f t="shared" si="10"/>
        <v>52032.4540</v>
      </c>
      <c r="H64" s="14">
        <f t="shared" si="11"/>
        <v>23441.5</v>
      </c>
      <c r="I64" s="165" t="s">
        <v>560</v>
      </c>
      <c r="J64" s="166" t="s">
        <v>561</v>
      </c>
      <c r="K64" s="165">
        <v>23441.5</v>
      </c>
      <c r="L64" s="165" t="s">
        <v>562</v>
      </c>
      <c r="M64" s="166" t="s">
        <v>284</v>
      </c>
      <c r="N64" s="166" t="s">
        <v>322</v>
      </c>
      <c r="O64" s="167" t="s">
        <v>323</v>
      </c>
      <c r="P64" s="168" t="s">
        <v>563</v>
      </c>
    </row>
    <row r="65" spans="1:16" ht="12.75" customHeight="1" thickBot="1" x14ac:dyDescent="0.25">
      <c r="A65" s="14" t="str">
        <f t="shared" si="6"/>
        <v>BAVM 158 </v>
      </c>
      <c r="B65" s="5" t="str">
        <f t="shared" si="7"/>
        <v>I</v>
      </c>
      <c r="C65" s="14">
        <f t="shared" si="8"/>
        <v>52100.557800000002</v>
      </c>
      <c r="D65" s="25" t="str">
        <f t="shared" si="9"/>
        <v>vis</v>
      </c>
      <c r="E65" s="164">
        <f>VLOOKUP(C65,'Active 1'!C$21:E$966,3,FALSE)</f>
        <v>10929.071776540077</v>
      </c>
      <c r="F65" s="5" t="s">
        <v>160</v>
      </c>
      <c r="G65" s="25" t="str">
        <f t="shared" si="10"/>
        <v>52100.5578</v>
      </c>
      <c r="H65" s="14">
        <f t="shared" si="11"/>
        <v>23594</v>
      </c>
      <c r="I65" s="165" t="s">
        <v>568</v>
      </c>
      <c r="J65" s="166" t="s">
        <v>569</v>
      </c>
      <c r="K65" s="165">
        <v>23594</v>
      </c>
      <c r="L65" s="165" t="s">
        <v>570</v>
      </c>
      <c r="M65" s="166" t="s">
        <v>284</v>
      </c>
      <c r="N65" s="166" t="s">
        <v>160</v>
      </c>
      <c r="O65" s="167" t="s">
        <v>571</v>
      </c>
      <c r="P65" s="168" t="s">
        <v>572</v>
      </c>
    </row>
    <row r="66" spans="1:16" ht="12.75" customHeight="1" thickBot="1" x14ac:dyDescent="0.25">
      <c r="A66" s="14" t="str">
        <f t="shared" si="6"/>
        <v>BAVM 158 </v>
      </c>
      <c r="B66" s="5" t="str">
        <f t="shared" si="7"/>
        <v>I</v>
      </c>
      <c r="C66" s="14">
        <f t="shared" si="8"/>
        <v>52366.599199999997</v>
      </c>
      <c r="D66" s="25" t="str">
        <f t="shared" si="9"/>
        <v>vis</v>
      </c>
      <c r="E66" s="164">
        <f>VLOOKUP(C66,'Active 1'!C$21:E$966,3,FALSE)</f>
        <v>11493.572378403518</v>
      </c>
      <c r="F66" s="5" t="s">
        <v>160</v>
      </c>
      <c r="G66" s="25" t="str">
        <f t="shared" si="10"/>
        <v>52366.5992</v>
      </c>
      <c r="H66" s="14">
        <f t="shared" si="11"/>
        <v>24190</v>
      </c>
      <c r="I66" s="165" t="s">
        <v>573</v>
      </c>
      <c r="J66" s="166" t="s">
        <v>574</v>
      </c>
      <c r="K66" s="165">
        <v>24190</v>
      </c>
      <c r="L66" s="165" t="s">
        <v>575</v>
      </c>
      <c r="M66" s="166" t="s">
        <v>284</v>
      </c>
      <c r="N66" s="166" t="s">
        <v>518</v>
      </c>
      <c r="O66" s="167" t="s">
        <v>323</v>
      </c>
      <c r="P66" s="168" t="s">
        <v>572</v>
      </c>
    </row>
    <row r="67" spans="1:16" ht="12.75" customHeight="1" thickBot="1" x14ac:dyDescent="0.25">
      <c r="A67" s="14" t="str">
        <f t="shared" si="6"/>
        <v>BAVM 158 </v>
      </c>
      <c r="B67" s="5" t="str">
        <f t="shared" si="7"/>
        <v>I</v>
      </c>
      <c r="C67" s="14">
        <f t="shared" si="8"/>
        <v>52741.510999999999</v>
      </c>
      <c r="D67" s="25" t="str">
        <f t="shared" si="9"/>
        <v>vis</v>
      </c>
      <c r="E67" s="164">
        <f>VLOOKUP(C67,'Active 1'!C$21:E$966,3,FALSE)</f>
        <v>12289.079907478736</v>
      </c>
      <c r="F67" s="5" t="s">
        <v>160</v>
      </c>
      <c r="G67" s="25" t="str">
        <f t="shared" si="10"/>
        <v>52741.5110</v>
      </c>
      <c r="H67" s="14">
        <f t="shared" si="11"/>
        <v>25030</v>
      </c>
      <c r="I67" s="165" t="s">
        <v>580</v>
      </c>
      <c r="J67" s="166" t="s">
        <v>581</v>
      </c>
      <c r="K67" s="165">
        <v>25030</v>
      </c>
      <c r="L67" s="165" t="s">
        <v>582</v>
      </c>
      <c r="M67" s="166" t="s">
        <v>284</v>
      </c>
      <c r="N67" s="166" t="s">
        <v>583</v>
      </c>
      <c r="O67" s="167" t="s">
        <v>323</v>
      </c>
      <c r="P67" s="168" t="s">
        <v>572</v>
      </c>
    </row>
    <row r="68" spans="1:16" ht="12.75" customHeight="1" thickBot="1" x14ac:dyDescent="0.25">
      <c r="A68" s="14" t="str">
        <f t="shared" si="6"/>
        <v> JAAVSO 40;975 </v>
      </c>
      <c r="B68" s="5" t="str">
        <f t="shared" si="7"/>
        <v>II</v>
      </c>
      <c r="C68" s="14">
        <f t="shared" si="8"/>
        <v>52752.824399999998</v>
      </c>
      <c r="D68" s="25" t="str">
        <f t="shared" si="9"/>
        <v>vis</v>
      </c>
      <c r="E68" s="164">
        <f>VLOOKUP(C68,'Active 1'!C$21:E$966,3,FALSE)</f>
        <v>12313.085273219262</v>
      </c>
      <c r="F68" s="5" t="s">
        <v>160</v>
      </c>
      <c r="G68" s="25" t="str">
        <f t="shared" si="10"/>
        <v>52752.8244</v>
      </c>
      <c r="H68" s="14">
        <f t="shared" si="11"/>
        <v>25055.5</v>
      </c>
      <c r="I68" s="165" t="s">
        <v>584</v>
      </c>
      <c r="J68" s="166" t="s">
        <v>585</v>
      </c>
      <c r="K68" s="165" t="s">
        <v>586</v>
      </c>
      <c r="L68" s="165" t="s">
        <v>587</v>
      </c>
      <c r="M68" s="166" t="s">
        <v>541</v>
      </c>
      <c r="N68" s="166" t="s">
        <v>160</v>
      </c>
      <c r="O68" s="167" t="s">
        <v>588</v>
      </c>
      <c r="P68" s="167" t="s">
        <v>555</v>
      </c>
    </row>
    <row r="69" spans="1:16" ht="12.75" customHeight="1" thickBot="1" x14ac:dyDescent="0.25">
      <c r="A69" s="14" t="str">
        <f t="shared" si="6"/>
        <v>IBVS 5493 </v>
      </c>
      <c r="B69" s="5" t="str">
        <f t="shared" si="7"/>
        <v>II</v>
      </c>
      <c r="C69" s="14">
        <f t="shared" si="8"/>
        <v>52760.834799999997</v>
      </c>
      <c r="D69" s="25" t="str">
        <f t="shared" si="9"/>
        <v>vis</v>
      </c>
      <c r="E69" s="164">
        <f>VLOOKUP(C69,'Active 1'!C$21:E$966,3,FALSE)</f>
        <v>12330.0821602495</v>
      </c>
      <c r="F69" s="5" t="s">
        <v>160</v>
      </c>
      <c r="G69" s="25" t="str">
        <f t="shared" si="10"/>
        <v>52760.8348</v>
      </c>
      <c r="H69" s="14">
        <f t="shared" si="11"/>
        <v>25073.5</v>
      </c>
      <c r="I69" s="165" t="s">
        <v>589</v>
      </c>
      <c r="J69" s="166" t="s">
        <v>590</v>
      </c>
      <c r="K69" s="165" t="s">
        <v>591</v>
      </c>
      <c r="L69" s="165" t="s">
        <v>592</v>
      </c>
      <c r="M69" s="166" t="s">
        <v>284</v>
      </c>
      <c r="N69" s="166" t="s">
        <v>285</v>
      </c>
      <c r="O69" s="167" t="s">
        <v>506</v>
      </c>
      <c r="P69" s="168" t="s">
        <v>579</v>
      </c>
    </row>
    <row r="70" spans="1:16" ht="12.75" customHeight="1" thickBot="1" x14ac:dyDescent="0.25">
      <c r="A70" s="14" t="str">
        <f t="shared" si="6"/>
        <v>BAVM 186 </v>
      </c>
      <c r="B70" s="5" t="str">
        <f t="shared" si="7"/>
        <v>II</v>
      </c>
      <c r="C70" s="14">
        <f t="shared" si="8"/>
        <v>53116.434999999998</v>
      </c>
      <c r="D70" s="25" t="str">
        <f t="shared" si="9"/>
        <v>vis</v>
      </c>
      <c r="E70" s="164">
        <f>VLOOKUP(C70,'Active 1'!C$21:E$966,3,FALSE)</f>
        <v>13084.613323154088</v>
      </c>
      <c r="F70" s="5" t="s">
        <v>160</v>
      </c>
      <c r="G70" s="25" t="str">
        <f t="shared" si="10"/>
        <v>53116.4350</v>
      </c>
      <c r="H70" s="14">
        <f t="shared" si="11"/>
        <v>25870.5</v>
      </c>
      <c r="I70" s="165" t="s">
        <v>593</v>
      </c>
      <c r="J70" s="166" t="s">
        <v>594</v>
      </c>
      <c r="K70" s="165" t="s">
        <v>595</v>
      </c>
      <c r="L70" s="165" t="s">
        <v>596</v>
      </c>
      <c r="M70" s="166" t="s">
        <v>541</v>
      </c>
      <c r="N70" s="166" t="s">
        <v>518</v>
      </c>
      <c r="O70" s="167" t="s">
        <v>323</v>
      </c>
      <c r="P70" s="168" t="s">
        <v>597</v>
      </c>
    </row>
    <row r="71" spans="1:16" ht="12.75" customHeight="1" thickBot="1" x14ac:dyDescent="0.25">
      <c r="A71" s="14" t="str">
        <f t="shared" si="6"/>
        <v>BAVM 173 </v>
      </c>
      <c r="B71" s="5" t="str">
        <f t="shared" si="7"/>
        <v>II</v>
      </c>
      <c r="C71" s="14">
        <f t="shared" si="8"/>
        <v>53117.365299999998</v>
      </c>
      <c r="D71" s="25" t="str">
        <f t="shared" si="9"/>
        <v>vis</v>
      </c>
      <c r="E71" s="164">
        <f>VLOOKUP(C71,'Active 1'!C$21:E$966,3,FALSE)</f>
        <v>13086.587282507458</v>
      </c>
      <c r="F71" s="5" t="s">
        <v>160</v>
      </c>
      <c r="G71" s="25" t="str">
        <f t="shared" si="10"/>
        <v>53117.3653</v>
      </c>
      <c r="H71" s="14">
        <f t="shared" si="11"/>
        <v>25872.5</v>
      </c>
      <c r="I71" s="165" t="s">
        <v>598</v>
      </c>
      <c r="J71" s="166" t="s">
        <v>599</v>
      </c>
      <c r="K71" s="165" t="s">
        <v>600</v>
      </c>
      <c r="L71" s="165" t="s">
        <v>601</v>
      </c>
      <c r="M71" s="166" t="s">
        <v>284</v>
      </c>
      <c r="N71" s="166" t="s">
        <v>518</v>
      </c>
      <c r="O71" s="167" t="s">
        <v>323</v>
      </c>
      <c r="P71" s="168" t="s">
        <v>602</v>
      </c>
    </row>
    <row r="72" spans="1:16" ht="12.75" customHeight="1" thickBot="1" x14ac:dyDescent="0.25">
      <c r="A72" s="14" t="str">
        <f t="shared" si="6"/>
        <v>BAVM 173 </v>
      </c>
      <c r="B72" s="5" t="str">
        <f t="shared" si="7"/>
        <v>II</v>
      </c>
      <c r="C72" s="14">
        <f t="shared" si="8"/>
        <v>53145.4107</v>
      </c>
      <c r="D72" s="25" t="str">
        <f t="shared" si="9"/>
        <v>vis</v>
      </c>
      <c r="E72" s="164">
        <f>VLOOKUP(C72,'Active 1'!C$21:E$966,3,FALSE)</f>
        <v>13146.095483785541</v>
      </c>
      <c r="F72" s="5" t="s">
        <v>160</v>
      </c>
      <c r="G72" s="25" t="str">
        <f t="shared" si="10"/>
        <v>53145.4107</v>
      </c>
      <c r="H72" s="14">
        <f t="shared" si="11"/>
        <v>25935.5</v>
      </c>
      <c r="I72" s="165" t="s">
        <v>603</v>
      </c>
      <c r="J72" s="166" t="s">
        <v>604</v>
      </c>
      <c r="K72" s="165" t="s">
        <v>605</v>
      </c>
      <c r="L72" s="165" t="s">
        <v>606</v>
      </c>
      <c r="M72" s="166" t="s">
        <v>284</v>
      </c>
      <c r="N72" s="166" t="s">
        <v>583</v>
      </c>
      <c r="O72" s="167" t="s">
        <v>607</v>
      </c>
      <c r="P72" s="168" t="s">
        <v>602</v>
      </c>
    </row>
    <row r="73" spans="1:16" ht="12.75" customHeight="1" thickBot="1" x14ac:dyDescent="0.25">
      <c r="A73" s="14" t="str">
        <f t="shared" si="6"/>
        <v>BAVM 173 </v>
      </c>
      <c r="B73" s="5" t="str">
        <f t="shared" si="7"/>
        <v>I</v>
      </c>
      <c r="C73" s="14">
        <f t="shared" si="8"/>
        <v>53151.536200000002</v>
      </c>
      <c r="D73" s="25" t="str">
        <f t="shared" si="9"/>
        <v>vis</v>
      </c>
      <c r="E73" s="164">
        <f>VLOOKUP(C73,'Active 1'!C$21:E$966,3,FALSE)</f>
        <v>13159.092891094011</v>
      </c>
      <c r="F73" s="5" t="s">
        <v>160</v>
      </c>
      <c r="G73" s="25" t="str">
        <f t="shared" si="10"/>
        <v>53151.5362</v>
      </c>
      <c r="H73" s="14">
        <f t="shared" si="11"/>
        <v>25949</v>
      </c>
      <c r="I73" s="165" t="s">
        <v>608</v>
      </c>
      <c r="J73" s="166" t="s">
        <v>609</v>
      </c>
      <c r="K73" s="165" t="s">
        <v>610</v>
      </c>
      <c r="L73" s="165" t="s">
        <v>611</v>
      </c>
      <c r="M73" s="166" t="s">
        <v>284</v>
      </c>
      <c r="N73" s="166" t="s">
        <v>583</v>
      </c>
      <c r="O73" s="167" t="s">
        <v>323</v>
      </c>
      <c r="P73" s="168" t="s">
        <v>602</v>
      </c>
    </row>
    <row r="74" spans="1:16" ht="12.75" customHeight="1" thickBot="1" x14ac:dyDescent="0.25">
      <c r="A74" s="14" t="str">
        <f t="shared" si="6"/>
        <v>IBVS 5672 </v>
      </c>
      <c r="B74" s="5" t="str">
        <f t="shared" si="7"/>
        <v>II</v>
      </c>
      <c r="C74" s="14">
        <f t="shared" si="8"/>
        <v>53439.967700000001</v>
      </c>
      <c r="D74" s="25" t="str">
        <f t="shared" si="9"/>
        <v>vis</v>
      </c>
      <c r="E74" s="164">
        <f>VLOOKUP(C74,'Active 1'!C$21:E$966,3,FALSE)</f>
        <v>13771.101981958733</v>
      </c>
      <c r="F74" s="5" t="s">
        <v>160</v>
      </c>
      <c r="G74" s="25" t="str">
        <f t="shared" si="10"/>
        <v>53439.9677</v>
      </c>
      <c r="H74" s="14">
        <f t="shared" si="11"/>
        <v>26595.5</v>
      </c>
      <c r="I74" s="165" t="s">
        <v>612</v>
      </c>
      <c r="J74" s="166" t="s">
        <v>613</v>
      </c>
      <c r="K74" s="165" t="s">
        <v>614</v>
      </c>
      <c r="L74" s="165" t="s">
        <v>615</v>
      </c>
      <c r="M74" s="166" t="s">
        <v>284</v>
      </c>
      <c r="N74" s="166" t="s">
        <v>285</v>
      </c>
      <c r="O74" s="167" t="s">
        <v>616</v>
      </c>
      <c r="P74" s="168" t="s">
        <v>617</v>
      </c>
    </row>
    <row r="75" spans="1:16" ht="12.75" customHeight="1" thickBot="1" x14ac:dyDescent="0.25">
      <c r="A75" s="14" t="str">
        <f t="shared" ref="A75:A106" si="12">P75</f>
        <v>OEJV 0074 </v>
      </c>
      <c r="B75" s="5" t="str">
        <f t="shared" ref="B75:B106" si="13">IF(H75=INT(H75),"I","II")</f>
        <v>I</v>
      </c>
      <c r="C75" s="14">
        <f t="shared" ref="C75:C106" si="14">1*G75</f>
        <v>53546.481480000002</v>
      </c>
      <c r="D75" s="25" t="str">
        <f t="shared" ref="D75:D106" si="15">VLOOKUP(F75,I$1:J$5,2,FALSE)</f>
        <v>vis</v>
      </c>
      <c r="E75" s="164">
        <f>VLOOKUP(C75,'Active 1'!C$21:E$966,3,FALSE)</f>
        <v>13997.108509201305</v>
      </c>
      <c r="F75" s="5" t="s">
        <v>160</v>
      </c>
      <c r="G75" s="25" t="str">
        <f t="shared" ref="G75:G106" si="16">MID(I75,3,LEN(I75)-3)</f>
        <v>53546.48148</v>
      </c>
      <c r="H75" s="14">
        <f t="shared" ref="H75:H106" si="17">1*K75</f>
        <v>26834</v>
      </c>
      <c r="I75" s="165" t="s">
        <v>618</v>
      </c>
      <c r="J75" s="166" t="s">
        <v>619</v>
      </c>
      <c r="K75" s="165" t="s">
        <v>620</v>
      </c>
      <c r="L75" s="165" t="s">
        <v>621</v>
      </c>
      <c r="M75" s="166" t="s">
        <v>541</v>
      </c>
      <c r="N75" s="166" t="s">
        <v>135</v>
      </c>
      <c r="O75" s="167" t="s">
        <v>622</v>
      </c>
      <c r="P75" s="168" t="s">
        <v>543</v>
      </c>
    </row>
    <row r="76" spans="1:16" ht="12.75" customHeight="1" thickBot="1" x14ac:dyDescent="0.25">
      <c r="A76" s="14" t="str">
        <f t="shared" si="12"/>
        <v>BAVM 178 </v>
      </c>
      <c r="B76" s="5" t="str">
        <f t="shared" si="13"/>
        <v>I</v>
      </c>
      <c r="C76" s="14">
        <f t="shared" si="14"/>
        <v>53817.473299999998</v>
      </c>
      <c r="D76" s="25" t="str">
        <f t="shared" si="15"/>
        <v>vis</v>
      </c>
      <c r="E76" s="164">
        <f>VLOOKUP(C76,'Active 1'!C$21:E$966,3,FALSE)</f>
        <v>14572.1131719721</v>
      </c>
      <c r="F76" s="5" t="s">
        <v>160</v>
      </c>
      <c r="G76" s="25" t="str">
        <f t="shared" si="16"/>
        <v>53817.4733</v>
      </c>
      <c r="H76" s="14">
        <f t="shared" si="17"/>
        <v>27441</v>
      </c>
      <c r="I76" s="165" t="s">
        <v>628</v>
      </c>
      <c r="J76" s="166" t="s">
        <v>629</v>
      </c>
      <c r="K76" s="165" t="s">
        <v>630</v>
      </c>
      <c r="L76" s="165" t="s">
        <v>631</v>
      </c>
      <c r="M76" s="166" t="s">
        <v>541</v>
      </c>
      <c r="N76" s="166" t="s">
        <v>518</v>
      </c>
      <c r="O76" s="167" t="s">
        <v>632</v>
      </c>
      <c r="P76" s="168" t="s">
        <v>633</v>
      </c>
    </row>
    <row r="77" spans="1:16" ht="12.75" customHeight="1" thickBot="1" x14ac:dyDescent="0.25">
      <c r="A77" s="14" t="str">
        <f t="shared" si="12"/>
        <v>BAVM 178 </v>
      </c>
      <c r="B77" s="5" t="str">
        <f t="shared" si="13"/>
        <v>I</v>
      </c>
      <c r="C77" s="14">
        <f t="shared" si="14"/>
        <v>53849.519800000002</v>
      </c>
      <c r="D77" s="25" t="str">
        <f t="shared" si="15"/>
        <v>vis</v>
      </c>
      <c r="E77" s="164">
        <f>VLOOKUP(C77,'Active 1'!C$21:E$966,3,FALSE)</f>
        <v>14640.111117170176</v>
      </c>
      <c r="F77" s="5" t="s">
        <v>160</v>
      </c>
      <c r="G77" s="25" t="str">
        <f t="shared" si="16"/>
        <v>53849.5198</v>
      </c>
      <c r="H77" s="14">
        <f t="shared" si="17"/>
        <v>27513</v>
      </c>
      <c r="I77" s="165" t="s">
        <v>634</v>
      </c>
      <c r="J77" s="166" t="s">
        <v>635</v>
      </c>
      <c r="K77" s="165" t="s">
        <v>636</v>
      </c>
      <c r="L77" s="165" t="s">
        <v>637</v>
      </c>
      <c r="M77" s="166" t="s">
        <v>541</v>
      </c>
      <c r="N77" s="166" t="s">
        <v>583</v>
      </c>
      <c r="O77" s="167" t="s">
        <v>638</v>
      </c>
      <c r="P77" s="168" t="s">
        <v>633</v>
      </c>
    </row>
    <row r="78" spans="1:16" ht="12.75" customHeight="1" thickBot="1" x14ac:dyDescent="0.25">
      <c r="A78" s="14" t="str">
        <f t="shared" si="12"/>
        <v>BAVM 186 </v>
      </c>
      <c r="B78" s="5" t="str">
        <f t="shared" si="13"/>
        <v>I</v>
      </c>
      <c r="C78" s="14">
        <f t="shared" si="14"/>
        <v>53858.476600000002</v>
      </c>
      <c r="D78" s="25" t="str">
        <f t="shared" si="15"/>
        <v>vis</v>
      </c>
      <c r="E78" s="164">
        <f>VLOOKUP(C78,'Active 1'!C$21:E$966,3,FALSE)</f>
        <v>14659.116125378563</v>
      </c>
      <c r="F78" s="5" t="s">
        <v>160</v>
      </c>
      <c r="G78" s="25" t="str">
        <f t="shared" si="16"/>
        <v>53858.4766</v>
      </c>
      <c r="H78" s="14">
        <f t="shared" si="17"/>
        <v>27533</v>
      </c>
      <c r="I78" s="165" t="s">
        <v>639</v>
      </c>
      <c r="J78" s="166" t="s">
        <v>640</v>
      </c>
      <c r="K78" s="165" t="s">
        <v>641</v>
      </c>
      <c r="L78" s="165" t="s">
        <v>642</v>
      </c>
      <c r="M78" s="166" t="s">
        <v>541</v>
      </c>
      <c r="N78" s="166" t="s">
        <v>583</v>
      </c>
      <c r="O78" s="167" t="s">
        <v>643</v>
      </c>
      <c r="P78" s="168" t="s">
        <v>597</v>
      </c>
    </row>
    <row r="79" spans="1:16" ht="12.75" customHeight="1" thickBot="1" x14ac:dyDescent="0.25">
      <c r="A79" s="14" t="str">
        <f t="shared" si="12"/>
        <v>IBVS 5713 </v>
      </c>
      <c r="B79" s="5" t="str">
        <f t="shared" si="13"/>
        <v>I</v>
      </c>
      <c r="C79" s="14">
        <f t="shared" si="14"/>
        <v>53899.475299999998</v>
      </c>
      <c r="D79" s="25" t="str">
        <f t="shared" si="15"/>
        <v>vis</v>
      </c>
      <c r="E79" s="164">
        <f>VLOOKUP(C79,'Active 1'!C$21:E$966,3,FALSE)</f>
        <v>14746.109318263645</v>
      </c>
      <c r="F79" s="5" t="s">
        <v>160</v>
      </c>
      <c r="G79" s="25" t="str">
        <f t="shared" si="16"/>
        <v>53899.4753</v>
      </c>
      <c r="H79" s="14">
        <f t="shared" si="17"/>
        <v>27625</v>
      </c>
      <c r="I79" s="165" t="s">
        <v>644</v>
      </c>
      <c r="J79" s="166" t="s">
        <v>645</v>
      </c>
      <c r="K79" s="165" t="s">
        <v>646</v>
      </c>
      <c r="L79" s="165" t="s">
        <v>647</v>
      </c>
      <c r="M79" s="166" t="s">
        <v>284</v>
      </c>
      <c r="N79" s="166" t="s">
        <v>285</v>
      </c>
      <c r="O79" s="167" t="s">
        <v>648</v>
      </c>
      <c r="P79" s="168" t="s">
        <v>649</v>
      </c>
    </row>
    <row r="80" spans="1:16" ht="12.75" customHeight="1" thickBot="1" x14ac:dyDescent="0.25">
      <c r="A80" s="14" t="str">
        <f t="shared" si="12"/>
        <v>IBVS 5820 </v>
      </c>
      <c r="B80" s="5" t="str">
        <f t="shared" si="13"/>
        <v>II</v>
      </c>
      <c r="C80" s="14">
        <f t="shared" si="14"/>
        <v>54233.861299999997</v>
      </c>
      <c r="D80" s="25" t="str">
        <f t="shared" si="15"/>
        <v>vis</v>
      </c>
      <c r="E80" s="164">
        <f>VLOOKUP(C80,'Active 1'!C$21:E$966,3,FALSE)</f>
        <v>15455.627078487098</v>
      </c>
      <c r="F80" s="5" t="s">
        <v>160</v>
      </c>
      <c r="G80" s="25" t="str">
        <f t="shared" si="16"/>
        <v>54233.8613</v>
      </c>
      <c r="H80" s="14">
        <f t="shared" si="17"/>
        <v>28374.5</v>
      </c>
      <c r="I80" s="165" t="s">
        <v>650</v>
      </c>
      <c r="J80" s="166" t="s">
        <v>651</v>
      </c>
      <c r="K80" s="165" t="s">
        <v>652</v>
      </c>
      <c r="L80" s="165" t="s">
        <v>653</v>
      </c>
      <c r="M80" s="166" t="s">
        <v>541</v>
      </c>
      <c r="N80" s="166" t="s">
        <v>135</v>
      </c>
      <c r="O80" s="167" t="s">
        <v>506</v>
      </c>
      <c r="P80" s="168" t="s">
        <v>654</v>
      </c>
    </row>
    <row r="81" spans="1:16" ht="12.75" customHeight="1" thickBot="1" x14ac:dyDescent="0.25">
      <c r="A81" s="14" t="str">
        <f t="shared" si="12"/>
        <v>BAVM 186 </v>
      </c>
      <c r="B81" s="5" t="str">
        <f t="shared" si="13"/>
        <v>I</v>
      </c>
      <c r="C81" s="14">
        <f t="shared" si="14"/>
        <v>54240.460400000004</v>
      </c>
      <c r="D81" s="25" t="str">
        <f t="shared" si="15"/>
        <v>vis</v>
      </c>
      <c r="E81" s="164">
        <f>VLOOKUP(C81,'Active 1'!C$21:E$966,3,FALSE)</f>
        <v>15469.629395125639</v>
      </c>
      <c r="F81" s="5" t="s">
        <v>160</v>
      </c>
      <c r="G81" s="25" t="str">
        <f t="shared" si="16"/>
        <v>54240.4604</v>
      </c>
      <c r="H81" s="14">
        <f t="shared" si="17"/>
        <v>28389</v>
      </c>
      <c r="I81" s="165" t="s">
        <v>655</v>
      </c>
      <c r="J81" s="166" t="s">
        <v>656</v>
      </c>
      <c r="K81" s="165" t="s">
        <v>657</v>
      </c>
      <c r="L81" s="165" t="s">
        <v>658</v>
      </c>
      <c r="M81" s="166" t="s">
        <v>541</v>
      </c>
      <c r="N81" s="166" t="s">
        <v>583</v>
      </c>
      <c r="O81" s="167" t="s">
        <v>323</v>
      </c>
      <c r="P81" s="168" t="s">
        <v>597</v>
      </c>
    </row>
    <row r="82" spans="1:16" ht="12.75" customHeight="1" thickBot="1" x14ac:dyDescent="0.25">
      <c r="A82" s="14" t="str">
        <f t="shared" si="12"/>
        <v>BAVM 209 </v>
      </c>
      <c r="B82" s="5" t="str">
        <f t="shared" si="13"/>
        <v>I</v>
      </c>
      <c r="C82" s="14">
        <f t="shared" si="14"/>
        <v>54718.352400000003</v>
      </c>
      <c r="D82" s="25" t="str">
        <f t="shared" si="15"/>
        <v>vis</v>
      </c>
      <c r="E82" s="164">
        <f>VLOOKUP(C82,'Active 1'!C$21:E$966,3,FALSE)</f>
        <v>16483.645715990471</v>
      </c>
      <c r="F82" s="5" t="s">
        <v>160</v>
      </c>
      <c r="G82" s="25" t="str">
        <f t="shared" si="16"/>
        <v>54718.3524</v>
      </c>
      <c r="H82" s="14">
        <f t="shared" si="17"/>
        <v>29460</v>
      </c>
      <c r="I82" s="165" t="s">
        <v>659</v>
      </c>
      <c r="J82" s="166" t="s">
        <v>660</v>
      </c>
      <c r="K82" s="165" t="s">
        <v>661</v>
      </c>
      <c r="L82" s="165" t="s">
        <v>662</v>
      </c>
      <c r="M82" s="166" t="s">
        <v>541</v>
      </c>
      <c r="N82" s="166" t="s">
        <v>663</v>
      </c>
      <c r="O82" s="167" t="s">
        <v>664</v>
      </c>
      <c r="P82" s="168" t="s">
        <v>665</v>
      </c>
    </row>
    <row r="83" spans="1:16" ht="12.75" customHeight="1" thickBot="1" x14ac:dyDescent="0.25">
      <c r="A83" s="14" t="str">
        <f t="shared" si="12"/>
        <v>IBVS 5938 </v>
      </c>
      <c r="B83" s="5" t="str">
        <f t="shared" si="13"/>
        <v>II</v>
      </c>
      <c r="C83" s="14">
        <f t="shared" si="14"/>
        <v>54897.913800000002</v>
      </c>
      <c r="D83" s="25" t="str">
        <f t="shared" si="15"/>
        <v>vis</v>
      </c>
      <c r="E83" s="164">
        <f>VLOOKUP(C83,'Active 1'!C$21:E$966,3,FALSE)</f>
        <v>16864.648516199177</v>
      </c>
      <c r="F83" s="5" t="s">
        <v>160</v>
      </c>
      <c r="G83" s="25" t="str">
        <f t="shared" si="16"/>
        <v>54897.9138</v>
      </c>
      <c r="H83" s="14">
        <f t="shared" si="17"/>
        <v>29862.5</v>
      </c>
      <c r="I83" s="165" t="s">
        <v>666</v>
      </c>
      <c r="J83" s="166" t="s">
        <v>667</v>
      </c>
      <c r="K83" s="165" t="s">
        <v>668</v>
      </c>
      <c r="L83" s="165" t="s">
        <v>669</v>
      </c>
      <c r="M83" s="166" t="s">
        <v>541</v>
      </c>
      <c r="N83" s="166" t="s">
        <v>160</v>
      </c>
      <c r="O83" s="167" t="s">
        <v>588</v>
      </c>
      <c r="P83" s="168" t="s">
        <v>670</v>
      </c>
    </row>
    <row r="84" spans="1:16" ht="12.75" customHeight="1" thickBot="1" x14ac:dyDescent="0.25">
      <c r="A84" s="14" t="str">
        <f t="shared" si="12"/>
        <v>BAVM 209 </v>
      </c>
      <c r="B84" s="5" t="str">
        <f t="shared" si="13"/>
        <v>I</v>
      </c>
      <c r="C84" s="14">
        <f t="shared" si="14"/>
        <v>54908.518700000001</v>
      </c>
      <c r="D84" s="25" t="str">
        <f t="shared" si="15"/>
        <v>vis</v>
      </c>
      <c r="E84" s="164">
        <f>VLOOKUP(C84,'Active 1'!C$21:E$966,3,FALSE)</f>
        <v>16887.150549464302</v>
      </c>
      <c r="F84" s="5" t="s">
        <v>160</v>
      </c>
      <c r="G84" s="25" t="str">
        <f t="shared" si="16"/>
        <v>54908.5187</v>
      </c>
      <c r="H84" s="14">
        <f t="shared" si="17"/>
        <v>29886</v>
      </c>
      <c r="I84" s="165" t="s">
        <v>671</v>
      </c>
      <c r="J84" s="166" t="s">
        <v>672</v>
      </c>
      <c r="K84" s="165" t="s">
        <v>673</v>
      </c>
      <c r="L84" s="165" t="s">
        <v>674</v>
      </c>
      <c r="M84" s="166" t="s">
        <v>541</v>
      </c>
      <c r="N84" s="166" t="s">
        <v>583</v>
      </c>
      <c r="O84" s="167" t="s">
        <v>323</v>
      </c>
      <c r="P84" s="168" t="s">
        <v>665</v>
      </c>
    </row>
    <row r="85" spans="1:16" ht="12.75" customHeight="1" thickBot="1" x14ac:dyDescent="0.25">
      <c r="A85" s="14" t="str">
        <f t="shared" si="12"/>
        <v>IBVS 5938 </v>
      </c>
      <c r="B85" s="5" t="str">
        <f t="shared" si="13"/>
        <v>II</v>
      </c>
      <c r="C85" s="14">
        <f t="shared" si="14"/>
        <v>54915.826500000003</v>
      </c>
      <c r="D85" s="25" t="str">
        <f t="shared" si="15"/>
        <v>vis</v>
      </c>
      <c r="E85" s="164">
        <f>VLOOKUP(C85,'Active 1'!C$21:E$966,3,FALSE)</f>
        <v>16902.656622948725</v>
      </c>
      <c r="F85" s="5" t="s">
        <v>160</v>
      </c>
      <c r="G85" s="25" t="str">
        <f t="shared" si="16"/>
        <v>54915.8265</v>
      </c>
      <c r="H85" s="14">
        <f t="shared" si="17"/>
        <v>29902.5</v>
      </c>
      <c r="I85" s="165" t="s">
        <v>675</v>
      </c>
      <c r="J85" s="166" t="s">
        <v>676</v>
      </c>
      <c r="K85" s="165" t="s">
        <v>677</v>
      </c>
      <c r="L85" s="165" t="s">
        <v>678</v>
      </c>
      <c r="M85" s="166" t="s">
        <v>541</v>
      </c>
      <c r="N85" s="166" t="s">
        <v>92</v>
      </c>
      <c r="O85" s="167" t="s">
        <v>588</v>
      </c>
      <c r="P85" s="168" t="s">
        <v>670</v>
      </c>
    </row>
    <row r="86" spans="1:16" ht="12.75" customHeight="1" thickBot="1" x14ac:dyDescent="0.25">
      <c r="A86" s="14" t="str">
        <f t="shared" si="12"/>
        <v>IBVS 5898 </v>
      </c>
      <c r="B86" s="5" t="str">
        <f t="shared" si="13"/>
        <v>I</v>
      </c>
      <c r="C86" s="14">
        <f t="shared" si="14"/>
        <v>54936.559800000003</v>
      </c>
      <c r="D86" s="25" t="str">
        <f t="shared" si="15"/>
        <v>vis</v>
      </c>
      <c r="E86" s="164">
        <f>VLOOKUP(C86,'Active 1'!C$21:E$966,3,FALSE)</f>
        <v>16946.649626776758</v>
      </c>
      <c r="F86" s="5" t="s">
        <v>160</v>
      </c>
      <c r="G86" s="25" t="str">
        <f t="shared" si="16"/>
        <v>54936.5598</v>
      </c>
      <c r="H86" s="14">
        <f t="shared" si="17"/>
        <v>29949</v>
      </c>
      <c r="I86" s="165" t="s">
        <v>679</v>
      </c>
      <c r="J86" s="166" t="s">
        <v>680</v>
      </c>
      <c r="K86" s="165" t="s">
        <v>681</v>
      </c>
      <c r="L86" s="165" t="s">
        <v>682</v>
      </c>
      <c r="M86" s="166" t="s">
        <v>541</v>
      </c>
      <c r="N86" s="166" t="s">
        <v>160</v>
      </c>
      <c r="O86" s="167" t="s">
        <v>683</v>
      </c>
      <c r="P86" s="168" t="s">
        <v>684</v>
      </c>
    </row>
    <row r="87" spans="1:16" ht="12.75" customHeight="1" thickBot="1" x14ac:dyDescent="0.25">
      <c r="A87" s="14" t="str">
        <f t="shared" si="12"/>
        <v>IBVS 5898 </v>
      </c>
      <c r="B87" s="5" t="str">
        <f t="shared" si="13"/>
        <v>I</v>
      </c>
      <c r="C87" s="14">
        <f t="shared" si="14"/>
        <v>54938.445299999999</v>
      </c>
      <c r="D87" s="25" t="str">
        <f t="shared" si="15"/>
        <v>vis</v>
      </c>
      <c r="E87" s="164">
        <f>VLOOKUP(C87,'Active 1'!C$21:E$966,3,FALSE)</f>
        <v>16950.650379610008</v>
      </c>
      <c r="F87" s="5" t="s">
        <v>160</v>
      </c>
      <c r="G87" s="25" t="str">
        <f t="shared" si="16"/>
        <v>54938.4453</v>
      </c>
      <c r="H87" s="14">
        <f t="shared" si="17"/>
        <v>29953</v>
      </c>
      <c r="I87" s="165" t="s">
        <v>685</v>
      </c>
      <c r="J87" s="166" t="s">
        <v>686</v>
      </c>
      <c r="K87" s="165" t="s">
        <v>687</v>
      </c>
      <c r="L87" s="165" t="s">
        <v>688</v>
      </c>
      <c r="M87" s="166" t="s">
        <v>541</v>
      </c>
      <c r="N87" s="166" t="s">
        <v>160</v>
      </c>
      <c r="O87" s="167" t="s">
        <v>683</v>
      </c>
      <c r="P87" s="168" t="s">
        <v>684</v>
      </c>
    </row>
    <row r="88" spans="1:16" ht="12.75" customHeight="1" thickBot="1" x14ac:dyDescent="0.25">
      <c r="A88" s="14" t="str">
        <f t="shared" si="12"/>
        <v>BAVM 209 </v>
      </c>
      <c r="B88" s="5" t="str">
        <f t="shared" si="13"/>
        <v>I</v>
      </c>
      <c r="C88" s="14">
        <f t="shared" si="14"/>
        <v>54942.4519</v>
      </c>
      <c r="D88" s="25" t="str">
        <f t="shared" si="15"/>
        <v>vis</v>
      </c>
      <c r="E88" s="164">
        <f>VLOOKUP(C88,'Active 1'!C$21:E$966,3,FALSE)</f>
        <v>16959.151793718589</v>
      </c>
      <c r="F88" s="5" t="s">
        <v>160</v>
      </c>
      <c r="G88" s="25" t="str">
        <f t="shared" si="16"/>
        <v>54942.4519</v>
      </c>
      <c r="H88" s="14">
        <f t="shared" si="17"/>
        <v>29962</v>
      </c>
      <c r="I88" s="165" t="s">
        <v>689</v>
      </c>
      <c r="J88" s="166" t="s">
        <v>690</v>
      </c>
      <c r="K88" s="165" t="s">
        <v>691</v>
      </c>
      <c r="L88" s="165" t="s">
        <v>692</v>
      </c>
      <c r="M88" s="166" t="s">
        <v>541</v>
      </c>
      <c r="N88" s="166" t="s">
        <v>518</v>
      </c>
      <c r="O88" s="167" t="s">
        <v>693</v>
      </c>
      <c r="P88" s="168" t="s">
        <v>665</v>
      </c>
    </row>
    <row r="89" spans="1:16" ht="12.75" customHeight="1" thickBot="1" x14ac:dyDescent="0.25">
      <c r="A89" s="14" t="str">
        <f t="shared" si="12"/>
        <v>IBVS 5898 </v>
      </c>
      <c r="B89" s="5" t="str">
        <f t="shared" si="13"/>
        <v>I</v>
      </c>
      <c r="C89" s="14">
        <f t="shared" si="14"/>
        <v>54959.418100000003</v>
      </c>
      <c r="D89" s="25" t="str">
        <f t="shared" si="15"/>
        <v>vis</v>
      </c>
      <c r="E89" s="164">
        <f>VLOOKUP(C89,'Active 1'!C$21:E$966,3,FALSE)</f>
        <v>16995.151567104749</v>
      </c>
      <c r="F89" s="5" t="s">
        <v>160</v>
      </c>
      <c r="G89" s="25" t="str">
        <f t="shared" si="16"/>
        <v>54959.4181</v>
      </c>
      <c r="H89" s="14">
        <f t="shared" si="17"/>
        <v>30000</v>
      </c>
      <c r="I89" s="165" t="s">
        <v>694</v>
      </c>
      <c r="J89" s="166" t="s">
        <v>695</v>
      </c>
      <c r="K89" s="165" t="s">
        <v>696</v>
      </c>
      <c r="L89" s="165" t="s">
        <v>697</v>
      </c>
      <c r="M89" s="166" t="s">
        <v>541</v>
      </c>
      <c r="N89" s="166" t="s">
        <v>160</v>
      </c>
      <c r="O89" s="167" t="s">
        <v>683</v>
      </c>
      <c r="P89" s="168" t="s">
        <v>684</v>
      </c>
    </row>
    <row r="90" spans="1:16" ht="12.75" customHeight="1" thickBot="1" x14ac:dyDescent="0.25">
      <c r="A90" s="14" t="str">
        <f t="shared" si="12"/>
        <v>IBVS 5938 </v>
      </c>
      <c r="B90" s="5" t="str">
        <f t="shared" si="13"/>
        <v>I</v>
      </c>
      <c r="C90" s="14">
        <f t="shared" si="14"/>
        <v>54981.806299999997</v>
      </c>
      <c r="D90" s="25" t="str">
        <f t="shared" si="15"/>
        <v>vis</v>
      </c>
      <c r="E90" s="164">
        <f>VLOOKUP(C90,'Active 1'!C$21:E$966,3,FALSE)</f>
        <v>17042.656024586315</v>
      </c>
      <c r="F90" s="5" t="s">
        <v>160</v>
      </c>
      <c r="G90" s="25" t="str">
        <f t="shared" si="16"/>
        <v>54981.8063</v>
      </c>
      <c r="H90" s="14">
        <f t="shared" si="17"/>
        <v>30050</v>
      </c>
      <c r="I90" s="165" t="s">
        <v>705</v>
      </c>
      <c r="J90" s="166" t="s">
        <v>706</v>
      </c>
      <c r="K90" s="165" t="s">
        <v>707</v>
      </c>
      <c r="L90" s="165" t="s">
        <v>708</v>
      </c>
      <c r="M90" s="166" t="s">
        <v>541</v>
      </c>
      <c r="N90" s="166" t="s">
        <v>160</v>
      </c>
      <c r="O90" s="167" t="s">
        <v>588</v>
      </c>
      <c r="P90" s="168" t="s">
        <v>670</v>
      </c>
    </row>
    <row r="91" spans="1:16" ht="12.75" customHeight="1" thickBot="1" x14ac:dyDescent="0.25">
      <c r="A91" s="14" t="str">
        <f t="shared" si="12"/>
        <v>IBVS 5938 </v>
      </c>
      <c r="B91" s="5" t="str">
        <f t="shared" si="13"/>
        <v>II</v>
      </c>
      <c r="C91" s="14">
        <f t="shared" si="14"/>
        <v>54982.748800000001</v>
      </c>
      <c r="D91" s="25" t="str">
        <f t="shared" si="15"/>
        <v>vis</v>
      </c>
      <c r="E91" s="164">
        <f>VLOOKUP(C91,'Active 1'!C$21:E$966,3,FALSE)</f>
        <v>17044.655870539835</v>
      </c>
      <c r="F91" s="5" t="s">
        <v>160</v>
      </c>
      <c r="G91" s="25" t="str">
        <f t="shared" si="16"/>
        <v>54982.7488</v>
      </c>
      <c r="H91" s="14">
        <f t="shared" si="17"/>
        <v>30052.5</v>
      </c>
      <c r="I91" s="165" t="s">
        <v>709</v>
      </c>
      <c r="J91" s="166" t="s">
        <v>710</v>
      </c>
      <c r="K91" s="165" t="s">
        <v>711</v>
      </c>
      <c r="L91" s="165" t="s">
        <v>712</v>
      </c>
      <c r="M91" s="166" t="s">
        <v>541</v>
      </c>
      <c r="N91" s="166" t="s">
        <v>160</v>
      </c>
      <c r="O91" s="167" t="s">
        <v>588</v>
      </c>
      <c r="P91" s="168" t="s">
        <v>670</v>
      </c>
    </row>
    <row r="92" spans="1:16" ht="12.75" customHeight="1" thickBot="1" x14ac:dyDescent="0.25">
      <c r="A92" s="14" t="str">
        <f t="shared" si="12"/>
        <v>IBVS 5894 </v>
      </c>
      <c r="B92" s="5" t="str">
        <f t="shared" si="13"/>
        <v>II</v>
      </c>
      <c r="C92" s="14">
        <f t="shared" si="14"/>
        <v>54998.7765</v>
      </c>
      <c r="D92" s="25" t="str">
        <f t="shared" si="15"/>
        <v>vis</v>
      </c>
      <c r="E92" s="164">
        <f>VLOOKUP(C92,'Active 1'!C$21:E$966,3,FALSE)</f>
        <v>17078.664285382361</v>
      </c>
      <c r="F92" s="5" t="s">
        <v>160</v>
      </c>
      <c r="G92" s="25" t="str">
        <f t="shared" si="16"/>
        <v>54998.7765</v>
      </c>
      <c r="H92" s="14">
        <f t="shared" si="17"/>
        <v>30088.5</v>
      </c>
      <c r="I92" s="165" t="s">
        <v>713</v>
      </c>
      <c r="J92" s="166" t="s">
        <v>714</v>
      </c>
      <c r="K92" s="165" t="s">
        <v>715</v>
      </c>
      <c r="L92" s="165" t="s">
        <v>716</v>
      </c>
      <c r="M92" s="166" t="s">
        <v>541</v>
      </c>
      <c r="N92" s="166" t="s">
        <v>160</v>
      </c>
      <c r="O92" s="167" t="s">
        <v>314</v>
      </c>
      <c r="P92" s="168" t="s">
        <v>717</v>
      </c>
    </row>
    <row r="93" spans="1:16" ht="12.75" customHeight="1" thickBot="1" x14ac:dyDescent="0.25">
      <c r="A93" s="14" t="str">
        <f t="shared" si="12"/>
        <v>IBVS 5980 </v>
      </c>
      <c r="B93" s="5" t="str">
        <f t="shared" si="13"/>
        <v>I</v>
      </c>
      <c r="C93" s="14">
        <f t="shared" si="14"/>
        <v>55076.3007</v>
      </c>
      <c r="D93" s="25" t="str">
        <f t="shared" si="15"/>
        <v>vis</v>
      </c>
      <c r="E93" s="164">
        <f>VLOOKUP(C93,'Active 1'!C$21:E$966,3,FALSE)</f>
        <v>17243.159200681192</v>
      </c>
      <c r="F93" s="5" t="s">
        <v>160</v>
      </c>
      <c r="G93" s="25" t="str">
        <f t="shared" si="16"/>
        <v>55076.3007</v>
      </c>
      <c r="H93" s="14">
        <f t="shared" si="17"/>
        <v>30262</v>
      </c>
      <c r="I93" s="165" t="s">
        <v>734</v>
      </c>
      <c r="J93" s="166" t="s">
        <v>735</v>
      </c>
      <c r="K93" s="165">
        <v>30262</v>
      </c>
      <c r="L93" s="165" t="s">
        <v>736</v>
      </c>
      <c r="M93" s="166" t="s">
        <v>541</v>
      </c>
      <c r="N93" s="166" t="s">
        <v>160</v>
      </c>
      <c r="O93" s="167" t="s">
        <v>683</v>
      </c>
      <c r="P93" s="168" t="s">
        <v>737</v>
      </c>
    </row>
    <row r="94" spans="1:16" ht="12.75" customHeight="1" thickBot="1" x14ac:dyDescent="0.25">
      <c r="A94" s="14" t="str">
        <f t="shared" si="12"/>
        <v>BAVM 214 </v>
      </c>
      <c r="B94" s="5" t="str">
        <f t="shared" si="13"/>
        <v>I</v>
      </c>
      <c r="C94" s="14">
        <f t="shared" si="14"/>
        <v>55083.369700000003</v>
      </c>
      <c r="D94" s="25" t="str">
        <f t="shared" si="15"/>
        <v>vis</v>
      </c>
      <c r="E94" s="164">
        <f>VLOOKUP(C94,'Active 1'!C$21:E$966,3,FALSE)</f>
        <v>17258.158575795645</v>
      </c>
      <c r="F94" s="5" t="s">
        <v>160</v>
      </c>
      <c r="G94" s="25" t="str">
        <f t="shared" si="16"/>
        <v>55083.3697</v>
      </c>
      <c r="H94" s="14">
        <f t="shared" si="17"/>
        <v>30278</v>
      </c>
      <c r="I94" s="165" t="s">
        <v>738</v>
      </c>
      <c r="J94" s="166" t="s">
        <v>739</v>
      </c>
      <c r="K94" s="165">
        <v>30278</v>
      </c>
      <c r="L94" s="165" t="s">
        <v>740</v>
      </c>
      <c r="M94" s="166" t="s">
        <v>541</v>
      </c>
      <c r="N94" s="166" t="s">
        <v>663</v>
      </c>
      <c r="O94" s="167" t="s">
        <v>741</v>
      </c>
      <c r="P94" s="168" t="s">
        <v>742</v>
      </c>
    </row>
    <row r="95" spans="1:16" ht="12.75" customHeight="1" thickBot="1" x14ac:dyDescent="0.25">
      <c r="A95" s="14" t="str">
        <f t="shared" si="12"/>
        <v>IBVS 5980 </v>
      </c>
      <c r="B95" s="5" t="str">
        <f t="shared" si="13"/>
        <v>I</v>
      </c>
      <c r="C95" s="14">
        <f t="shared" si="14"/>
        <v>55097.272799999999</v>
      </c>
      <c r="D95" s="25" t="str">
        <f t="shared" si="15"/>
        <v>vis</v>
      </c>
      <c r="E95" s="164">
        <f>VLOOKUP(C95,'Active 1'!C$21:E$966,3,FALSE)</f>
        <v>17287.658902879197</v>
      </c>
      <c r="F95" s="5" t="s">
        <v>160</v>
      </c>
      <c r="G95" s="25" t="str">
        <f t="shared" si="16"/>
        <v>55097.2728</v>
      </c>
      <c r="H95" s="14">
        <f t="shared" si="17"/>
        <v>30309</v>
      </c>
      <c r="I95" s="165" t="s">
        <v>743</v>
      </c>
      <c r="J95" s="166" t="s">
        <v>744</v>
      </c>
      <c r="K95" s="165" t="s">
        <v>745</v>
      </c>
      <c r="L95" s="165" t="s">
        <v>746</v>
      </c>
      <c r="M95" s="166" t="s">
        <v>541</v>
      </c>
      <c r="N95" s="166" t="s">
        <v>160</v>
      </c>
      <c r="O95" s="167" t="s">
        <v>683</v>
      </c>
      <c r="P95" s="168" t="s">
        <v>737</v>
      </c>
    </row>
    <row r="96" spans="1:16" ht="12.75" customHeight="1" thickBot="1" x14ac:dyDescent="0.25">
      <c r="A96" s="14" t="str">
        <f t="shared" si="12"/>
        <v>BAVM 214 </v>
      </c>
      <c r="B96" s="5" t="str">
        <f t="shared" si="13"/>
        <v>I</v>
      </c>
      <c r="C96" s="14">
        <f t="shared" si="14"/>
        <v>55376.516100000001</v>
      </c>
      <c r="D96" s="25" t="str">
        <f t="shared" si="15"/>
        <v>vis</v>
      </c>
      <c r="E96" s="164">
        <f>VLOOKUP(C96,'Active 1'!C$21:E$966,3,FALSE)</f>
        <v>17880.171988873852</v>
      </c>
      <c r="F96" s="5" t="s">
        <v>160</v>
      </c>
      <c r="G96" s="25" t="str">
        <f t="shared" si="16"/>
        <v>55376.5161</v>
      </c>
      <c r="H96" s="14">
        <f t="shared" si="17"/>
        <v>30935</v>
      </c>
      <c r="I96" s="165" t="s">
        <v>765</v>
      </c>
      <c r="J96" s="166" t="s">
        <v>766</v>
      </c>
      <c r="K96" s="165">
        <v>30935</v>
      </c>
      <c r="L96" s="165" t="s">
        <v>767</v>
      </c>
      <c r="M96" s="166" t="s">
        <v>541</v>
      </c>
      <c r="N96" s="166" t="s">
        <v>583</v>
      </c>
      <c r="O96" s="167" t="s">
        <v>323</v>
      </c>
      <c r="P96" s="168" t="s">
        <v>742</v>
      </c>
    </row>
    <row r="97" spans="1:16" ht="12.75" customHeight="1" thickBot="1" x14ac:dyDescent="0.25">
      <c r="A97" s="14" t="str">
        <f t="shared" si="12"/>
        <v>BAVM 215 </v>
      </c>
      <c r="B97" s="5" t="str">
        <f t="shared" si="13"/>
        <v>I</v>
      </c>
      <c r="C97" s="14">
        <f t="shared" si="14"/>
        <v>55388.537300000004</v>
      </c>
      <c r="D97" s="25" t="str">
        <f t="shared" si="15"/>
        <v>vis</v>
      </c>
      <c r="E97" s="164">
        <f>VLOOKUP(C97,'Active 1'!C$21:E$966,3,FALSE)</f>
        <v>17905.679201793053</v>
      </c>
      <c r="F97" s="5" t="s">
        <v>160</v>
      </c>
      <c r="G97" s="25" t="str">
        <f t="shared" si="16"/>
        <v>55388.5373</v>
      </c>
      <c r="H97" s="14">
        <f t="shared" si="17"/>
        <v>30962</v>
      </c>
      <c r="I97" s="165" t="s">
        <v>768</v>
      </c>
      <c r="J97" s="166" t="s">
        <v>769</v>
      </c>
      <c r="K97" s="165">
        <v>30962</v>
      </c>
      <c r="L97" s="165" t="s">
        <v>553</v>
      </c>
      <c r="M97" s="166" t="s">
        <v>541</v>
      </c>
      <c r="N97" s="166" t="s">
        <v>583</v>
      </c>
      <c r="O97" s="167" t="s">
        <v>323</v>
      </c>
      <c r="P97" s="168" t="s">
        <v>770</v>
      </c>
    </row>
    <row r="98" spans="1:16" ht="12.75" customHeight="1" thickBot="1" x14ac:dyDescent="0.25">
      <c r="A98" s="14" t="str">
        <f t="shared" si="12"/>
        <v>BAVM 220 </v>
      </c>
      <c r="B98" s="5" t="str">
        <f t="shared" si="13"/>
        <v>I</v>
      </c>
      <c r="C98" s="14">
        <f t="shared" si="14"/>
        <v>55393.481899999999</v>
      </c>
      <c r="D98" s="25" t="str">
        <f t="shared" si="15"/>
        <v>vis</v>
      </c>
      <c r="E98" s="164">
        <f>VLOOKUP(C98,'Active 1'!C$21:E$966,3,FALSE)</f>
        <v>17916.170913519014</v>
      </c>
      <c r="F98" s="5" t="s">
        <v>160</v>
      </c>
      <c r="G98" s="25" t="str">
        <f t="shared" si="16"/>
        <v>55393.4819</v>
      </c>
      <c r="H98" s="14">
        <f t="shared" si="17"/>
        <v>30973</v>
      </c>
      <c r="I98" s="165" t="s">
        <v>771</v>
      </c>
      <c r="J98" s="166" t="s">
        <v>772</v>
      </c>
      <c r="K98" s="165">
        <v>30973</v>
      </c>
      <c r="L98" s="165" t="s">
        <v>773</v>
      </c>
      <c r="M98" s="166" t="s">
        <v>541</v>
      </c>
      <c r="N98" s="166" t="s">
        <v>583</v>
      </c>
      <c r="O98" s="167" t="s">
        <v>664</v>
      </c>
      <c r="P98" s="168" t="s">
        <v>774</v>
      </c>
    </row>
    <row r="99" spans="1:16" ht="12.75" customHeight="1" thickBot="1" x14ac:dyDescent="0.25">
      <c r="A99" s="14" t="str">
        <f t="shared" si="12"/>
        <v>BAVM 220 </v>
      </c>
      <c r="B99" s="5" t="str">
        <f t="shared" si="13"/>
        <v>I</v>
      </c>
      <c r="C99" s="14">
        <f t="shared" si="14"/>
        <v>55444.381699999998</v>
      </c>
      <c r="D99" s="25" t="str">
        <f t="shared" si="15"/>
        <v>vis</v>
      </c>
      <c r="E99" s="164">
        <f>VLOOKUP(C99,'Active 1'!C$21:E$966,3,FALSE)</f>
        <v>18024.172779900444</v>
      </c>
      <c r="F99" s="5" t="s">
        <v>160</v>
      </c>
      <c r="G99" s="25" t="str">
        <f t="shared" si="16"/>
        <v>55444.3817</v>
      </c>
      <c r="H99" s="14">
        <f t="shared" si="17"/>
        <v>31087</v>
      </c>
      <c r="I99" s="165" t="s">
        <v>775</v>
      </c>
      <c r="J99" s="166" t="s">
        <v>776</v>
      </c>
      <c r="K99" s="165">
        <v>31087</v>
      </c>
      <c r="L99" s="165" t="s">
        <v>777</v>
      </c>
      <c r="M99" s="166" t="s">
        <v>541</v>
      </c>
      <c r="N99" s="166" t="s">
        <v>583</v>
      </c>
      <c r="O99" s="167" t="s">
        <v>664</v>
      </c>
      <c r="P99" s="168" t="s">
        <v>774</v>
      </c>
    </row>
    <row r="100" spans="1:16" ht="12.75" customHeight="1" thickBot="1" x14ac:dyDescent="0.25">
      <c r="A100" s="14" t="str">
        <f t="shared" si="12"/>
        <v>IBVS 6018 </v>
      </c>
      <c r="B100" s="5" t="str">
        <f t="shared" si="13"/>
        <v>II</v>
      </c>
      <c r="C100" s="14">
        <f t="shared" si="14"/>
        <v>55695.816899999998</v>
      </c>
      <c r="D100" s="25" t="str">
        <f t="shared" si="15"/>
        <v>vis</v>
      </c>
      <c r="E100" s="164">
        <f>VLOOKUP(C100,'Active 1'!C$21:E$966,3,FALSE)</f>
        <v>18557.681180208285</v>
      </c>
      <c r="F100" s="5" t="s">
        <v>160</v>
      </c>
      <c r="G100" s="25" t="str">
        <f t="shared" si="16"/>
        <v>55695.8169</v>
      </c>
      <c r="H100" s="14">
        <f t="shared" si="17"/>
        <v>31650.5</v>
      </c>
      <c r="I100" s="165" t="s">
        <v>782</v>
      </c>
      <c r="J100" s="166" t="s">
        <v>783</v>
      </c>
      <c r="K100" s="165">
        <v>31650.5</v>
      </c>
      <c r="L100" s="165" t="s">
        <v>784</v>
      </c>
      <c r="M100" s="166" t="s">
        <v>541</v>
      </c>
      <c r="N100" s="166" t="s">
        <v>135</v>
      </c>
      <c r="O100" s="167" t="s">
        <v>506</v>
      </c>
      <c r="P100" s="168" t="s">
        <v>785</v>
      </c>
    </row>
    <row r="101" spans="1:16" ht="12.75" customHeight="1" thickBot="1" x14ac:dyDescent="0.25">
      <c r="A101" s="14" t="str">
        <f t="shared" si="12"/>
        <v>BAVM 220 </v>
      </c>
      <c r="B101" s="5" t="str">
        <f t="shared" si="13"/>
        <v>I</v>
      </c>
      <c r="C101" s="14">
        <f t="shared" si="14"/>
        <v>55710.427799999998</v>
      </c>
      <c r="D101" s="25" t="str">
        <f t="shared" si="15"/>
        <v>vis</v>
      </c>
      <c r="E101" s="164">
        <f>VLOOKUP(C101,'Active 1'!C$21:E$966,3,FALSE)</f>
        <v>18588.683354470508</v>
      </c>
      <c r="F101" s="5" t="s">
        <v>160</v>
      </c>
      <c r="G101" s="25" t="str">
        <f t="shared" si="16"/>
        <v>55710.4278</v>
      </c>
      <c r="H101" s="14">
        <f t="shared" si="17"/>
        <v>31683</v>
      </c>
      <c r="I101" s="165" t="s">
        <v>786</v>
      </c>
      <c r="J101" s="166" t="s">
        <v>787</v>
      </c>
      <c r="K101" s="165">
        <v>31683</v>
      </c>
      <c r="L101" s="165" t="s">
        <v>788</v>
      </c>
      <c r="M101" s="166" t="s">
        <v>541</v>
      </c>
      <c r="N101" s="166" t="s">
        <v>583</v>
      </c>
      <c r="O101" s="167" t="s">
        <v>323</v>
      </c>
      <c r="P101" s="168" t="s">
        <v>774</v>
      </c>
    </row>
    <row r="102" spans="1:16" ht="12.75" customHeight="1" thickBot="1" x14ac:dyDescent="0.25">
      <c r="A102" s="14" t="str">
        <f t="shared" si="12"/>
        <v>IBVS 5992 </v>
      </c>
      <c r="B102" s="5" t="str">
        <f t="shared" si="13"/>
        <v>II</v>
      </c>
      <c r="C102" s="14">
        <f t="shared" si="14"/>
        <v>55737.763800000001</v>
      </c>
      <c r="D102" s="25" t="str">
        <f t="shared" si="15"/>
        <v>vis</v>
      </c>
      <c r="E102" s="164">
        <f>VLOOKUP(C102,'Active 1'!C$21:E$966,3,FALSE)</f>
        <v>18646.686313605973</v>
      </c>
      <c r="F102" s="5" t="s">
        <v>160</v>
      </c>
      <c r="G102" s="25" t="str">
        <f t="shared" si="16"/>
        <v>55737.7638</v>
      </c>
      <c r="H102" s="14">
        <f t="shared" si="17"/>
        <v>31744.5</v>
      </c>
      <c r="I102" s="165" t="s">
        <v>789</v>
      </c>
      <c r="J102" s="166" t="s">
        <v>790</v>
      </c>
      <c r="K102" s="165">
        <v>31744.5</v>
      </c>
      <c r="L102" s="165" t="s">
        <v>791</v>
      </c>
      <c r="M102" s="166" t="s">
        <v>541</v>
      </c>
      <c r="N102" s="166" t="s">
        <v>160</v>
      </c>
      <c r="O102" s="167" t="s">
        <v>314</v>
      </c>
      <c r="P102" s="168" t="s">
        <v>792</v>
      </c>
    </row>
    <row r="103" spans="1:16" ht="12.75" customHeight="1" thickBot="1" x14ac:dyDescent="0.25">
      <c r="A103" s="14" t="str">
        <f t="shared" si="12"/>
        <v>BAVM 228 </v>
      </c>
      <c r="B103" s="5" t="str">
        <f t="shared" si="13"/>
        <v>II</v>
      </c>
      <c r="C103" s="14">
        <f t="shared" si="14"/>
        <v>56055.416499999999</v>
      </c>
      <c r="D103" s="25" t="str">
        <f t="shared" si="15"/>
        <v>vis</v>
      </c>
      <c r="E103" s="164">
        <f>VLOOKUP(C103,'Active 1'!C$21:E$966,3,FALSE)</f>
        <v>19320.698479883664</v>
      </c>
      <c r="F103" s="5" t="s">
        <v>160</v>
      </c>
      <c r="G103" s="25" t="str">
        <f t="shared" si="16"/>
        <v>56055.4165</v>
      </c>
      <c r="H103" s="14">
        <f t="shared" si="17"/>
        <v>32456.5</v>
      </c>
      <c r="I103" s="165" t="s">
        <v>793</v>
      </c>
      <c r="J103" s="166" t="s">
        <v>794</v>
      </c>
      <c r="K103" s="165">
        <v>32456.5</v>
      </c>
      <c r="L103" s="165" t="s">
        <v>795</v>
      </c>
      <c r="M103" s="166" t="s">
        <v>541</v>
      </c>
      <c r="N103" s="166" t="s">
        <v>160</v>
      </c>
      <c r="O103" s="167" t="s">
        <v>323</v>
      </c>
      <c r="P103" s="168" t="s">
        <v>796</v>
      </c>
    </row>
    <row r="104" spans="1:16" ht="12.75" customHeight="1" thickBot="1" x14ac:dyDescent="0.25">
      <c r="A104" s="14" t="str">
        <f t="shared" si="12"/>
        <v>BAVM 231 </v>
      </c>
      <c r="B104" s="5" t="str">
        <f t="shared" si="13"/>
        <v>I</v>
      </c>
      <c r="C104" s="14">
        <f t="shared" si="14"/>
        <v>56070.496899999998</v>
      </c>
      <c r="D104" s="25" t="str">
        <f t="shared" si="15"/>
        <v>vis</v>
      </c>
      <c r="E104" s="164">
        <f>VLOOKUP(C104,'Active 1'!C$21:E$966,3,FALSE)</f>
        <v>19352.696863880821</v>
      </c>
      <c r="F104" s="5" t="s">
        <v>160</v>
      </c>
      <c r="G104" s="25" t="str">
        <f t="shared" si="16"/>
        <v>56070.4969</v>
      </c>
      <c r="H104" s="14">
        <f t="shared" si="17"/>
        <v>32490</v>
      </c>
      <c r="I104" s="165" t="s">
        <v>802</v>
      </c>
      <c r="J104" s="166" t="s">
        <v>803</v>
      </c>
      <c r="K104" s="165">
        <v>32490</v>
      </c>
      <c r="L104" s="165" t="s">
        <v>804</v>
      </c>
      <c r="M104" s="166" t="s">
        <v>541</v>
      </c>
      <c r="N104" s="166" t="s">
        <v>805</v>
      </c>
      <c r="O104" s="167" t="s">
        <v>664</v>
      </c>
      <c r="P104" s="168" t="s">
        <v>806</v>
      </c>
    </row>
    <row r="105" spans="1:16" ht="12.75" customHeight="1" thickBot="1" x14ac:dyDescent="0.25">
      <c r="A105" s="14" t="str">
        <f t="shared" si="12"/>
        <v>BAVM 231 </v>
      </c>
      <c r="B105" s="5" t="str">
        <f t="shared" si="13"/>
        <v>I</v>
      </c>
      <c r="C105" s="14">
        <f t="shared" si="14"/>
        <v>56132.474800000004</v>
      </c>
      <c r="D105" s="25" t="str">
        <f t="shared" si="15"/>
        <v>vis</v>
      </c>
      <c r="E105" s="164">
        <f>VLOOKUP(C105,'Active 1'!C$21:E$966,3,FALSE)</f>
        <v>19484.204824116467</v>
      </c>
      <c r="F105" s="5" t="s">
        <v>160</v>
      </c>
      <c r="G105" s="25" t="str">
        <f t="shared" si="16"/>
        <v>56132.4748</v>
      </c>
      <c r="H105" s="14">
        <f t="shared" si="17"/>
        <v>32629</v>
      </c>
      <c r="I105" s="165" t="s">
        <v>807</v>
      </c>
      <c r="J105" s="166" t="s">
        <v>808</v>
      </c>
      <c r="K105" s="165" t="s">
        <v>809</v>
      </c>
      <c r="L105" s="165" t="s">
        <v>810</v>
      </c>
      <c r="M105" s="166" t="s">
        <v>541</v>
      </c>
      <c r="N105" s="166" t="s">
        <v>805</v>
      </c>
      <c r="O105" s="167" t="s">
        <v>323</v>
      </c>
      <c r="P105" s="168" t="s">
        <v>806</v>
      </c>
    </row>
    <row r="106" spans="1:16" ht="12.75" customHeight="1" thickBot="1" x14ac:dyDescent="0.25">
      <c r="A106" s="14" t="str">
        <f t="shared" si="12"/>
        <v>OEJV 0160 </v>
      </c>
      <c r="B106" s="5" t="str">
        <f t="shared" si="13"/>
        <v>I</v>
      </c>
      <c r="C106" s="14">
        <f t="shared" si="14"/>
        <v>56407.47466</v>
      </c>
      <c r="D106" s="25" t="str">
        <f t="shared" si="15"/>
        <v>vis</v>
      </c>
      <c r="E106" s="164">
        <f>VLOOKUP(C106,'Active 1'!C$21:E$966,3,FALSE)</f>
        <v>20067.713956463402</v>
      </c>
      <c r="F106" s="5" t="s">
        <v>160</v>
      </c>
      <c r="G106" s="25" t="str">
        <f t="shared" si="16"/>
        <v>56407.47466</v>
      </c>
      <c r="H106" s="14">
        <f t="shared" si="17"/>
        <v>33245</v>
      </c>
      <c r="I106" s="165" t="s">
        <v>815</v>
      </c>
      <c r="J106" s="166" t="s">
        <v>816</v>
      </c>
      <c r="K106" s="165" t="s">
        <v>817</v>
      </c>
      <c r="L106" s="165" t="s">
        <v>818</v>
      </c>
      <c r="M106" s="166" t="s">
        <v>541</v>
      </c>
      <c r="N106" s="166" t="s">
        <v>160</v>
      </c>
      <c r="O106" s="167" t="s">
        <v>722</v>
      </c>
      <c r="P106" s="168" t="s">
        <v>819</v>
      </c>
    </row>
    <row r="107" spans="1:16" ht="12.75" customHeight="1" thickBot="1" x14ac:dyDescent="0.25">
      <c r="A107" s="14" t="str">
        <f t="shared" ref="A107:A138" si="18">P107</f>
        <v>OEJV 0160 </v>
      </c>
      <c r="B107" s="5" t="str">
        <f t="shared" ref="B107:B138" si="19">IF(H107=INT(H107),"I","II")</f>
        <v>I</v>
      </c>
      <c r="C107" s="14">
        <f t="shared" ref="C107:C138" si="20">1*G107</f>
        <v>56407.47494</v>
      </c>
      <c r="D107" s="25" t="str">
        <f t="shared" ref="D107:D138" si="21">VLOOKUP(F107,I$1:J$5,2,FALSE)</f>
        <v>vis</v>
      </c>
      <c r="E107" s="164">
        <f>VLOOKUP(C107,'Active 1'!C$21:E$966,3,FALSE)</f>
        <v>20067.714550582092</v>
      </c>
      <c r="F107" s="5" t="s">
        <v>160</v>
      </c>
      <c r="G107" s="25" t="str">
        <f t="shared" ref="G107:G138" si="22">MID(I107,3,LEN(I107)-3)</f>
        <v>56407.47494</v>
      </c>
      <c r="H107" s="14">
        <f t="shared" ref="H107:H138" si="23">1*K107</f>
        <v>33245</v>
      </c>
      <c r="I107" s="165" t="s">
        <v>820</v>
      </c>
      <c r="J107" s="166" t="s">
        <v>816</v>
      </c>
      <c r="K107" s="165" t="s">
        <v>817</v>
      </c>
      <c r="L107" s="165" t="s">
        <v>821</v>
      </c>
      <c r="M107" s="166" t="s">
        <v>541</v>
      </c>
      <c r="N107" s="166" t="s">
        <v>135</v>
      </c>
      <c r="O107" s="167" t="s">
        <v>722</v>
      </c>
      <c r="P107" s="168" t="s">
        <v>819</v>
      </c>
    </row>
    <row r="108" spans="1:16" ht="12.75" customHeight="1" thickBot="1" x14ac:dyDescent="0.25">
      <c r="A108" s="14" t="str">
        <f t="shared" si="18"/>
        <v>OEJV 0160 </v>
      </c>
      <c r="B108" s="5" t="str">
        <f t="shared" si="19"/>
        <v>I</v>
      </c>
      <c r="C108" s="14">
        <f t="shared" si="20"/>
        <v>56407.475870000002</v>
      </c>
      <c r="D108" s="25" t="str">
        <f t="shared" si="21"/>
        <v>vis</v>
      </c>
      <c r="E108" s="164">
        <f>VLOOKUP(C108,'Active 1'!C$21:E$966,3,FALSE)</f>
        <v>20067.716523904895</v>
      </c>
      <c r="F108" s="5" t="s">
        <v>160</v>
      </c>
      <c r="G108" s="25" t="str">
        <f t="shared" si="22"/>
        <v>56407.47587</v>
      </c>
      <c r="H108" s="14">
        <f t="shared" si="23"/>
        <v>33245</v>
      </c>
      <c r="I108" s="165" t="s">
        <v>822</v>
      </c>
      <c r="J108" s="166" t="s">
        <v>823</v>
      </c>
      <c r="K108" s="165" t="s">
        <v>817</v>
      </c>
      <c r="L108" s="165" t="s">
        <v>824</v>
      </c>
      <c r="M108" s="166" t="s">
        <v>541</v>
      </c>
      <c r="N108" s="166" t="s">
        <v>64</v>
      </c>
      <c r="O108" s="167" t="s">
        <v>722</v>
      </c>
      <c r="P108" s="168" t="s">
        <v>819</v>
      </c>
    </row>
    <row r="109" spans="1:16" ht="12.75" customHeight="1" thickBot="1" x14ac:dyDescent="0.25">
      <c r="A109" s="14" t="str">
        <f t="shared" si="18"/>
        <v> PZP 3.208 </v>
      </c>
      <c r="B109" s="5" t="str">
        <f t="shared" si="19"/>
        <v>II</v>
      </c>
      <c r="C109" s="14">
        <f t="shared" si="20"/>
        <v>17439.335999999999</v>
      </c>
      <c r="D109" s="25" t="str">
        <f t="shared" si="21"/>
        <v>vis</v>
      </c>
      <c r="E109" s="164">
        <f>VLOOKUP(C109,'Active 1'!C$21:E$966,3,FALSE)</f>
        <v>-62616.927332706262</v>
      </c>
      <c r="F109" s="5" t="s">
        <v>160</v>
      </c>
      <c r="G109" s="25" t="str">
        <f t="shared" si="22"/>
        <v>17439.336</v>
      </c>
      <c r="H109" s="14">
        <f t="shared" si="23"/>
        <v>-54076.5</v>
      </c>
      <c r="I109" s="165" t="s">
        <v>240</v>
      </c>
      <c r="J109" s="166" t="s">
        <v>241</v>
      </c>
      <c r="K109" s="165">
        <v>-54076.5</v>
      </c>
      <c r="L109" s="165" t="s">
        <v>242</v>
      </c>
      <c r="M109" s="166" t="s">
        <v>243</v>
      </c>
      <c r="N109" s="166"/>
      <c r="O109" s="167" t="s">
        <v>244</v>
      </c>
      <c r="P109" s="167" t="s">
        <v>245</v>
      </c>
    </row>
    <row r="110" spans="1:16" ht="12.75" customHeight="1" thickBot="1" x14ac:dyDescent="0.25">
      <c r="A110" s="14" t="str">
        <f t="shared" si="18"/>
        <v> PZP 3.208 </v>
      </c>
      <c r="B110" s="5" t="str">
        <f t="shared" si="19"/>
        <v>II</v>
      </c>
      <c r="C110" s="14">
        <f t="shared" si="20"/>
        <v>17796.394</v>
      </c>
      <c r="D110" s="25" t="str">
        <f t="shared" si="21"/>
        <v>vis</v>
      </c>
      <c r="E110" s="164">
        <f>VLOOKUP(C110,'Active 1'!C$21:E$966,3,FALSE)</f>
        <v>-61859.302933270083</v>
      </c>
      <c r="F110" s="5" t="s">
        <v>160</v>
      </c>
      <c r="G110" s="25" t="str">
        <f t="shared" si="22"/>
        <v>17796.394</v>
      </c>
      <c r="H110" s="14">
        <f t="shared" si="23"/>
        <v>-53276.5</v>
      </c>
      <c r="I110" s="165" t="s">
        <v>246</v>
      </c>
      <c r="J110" s="166" t="s">
        <v>247</v>
      </c>
      <c r="K110" s="165">
        <v>-53276.5</v>
      </c>
      <c r="L110" s="165" t="s">
        <v>248</v>
      </c>
      <c r="M110" s="166" t="s">
        <v>243</v>
      </c>
      <c r="N110" s="166"/>
      <c r="O110" s="167" t="s">
        <v>244</v>
      </c>
      <c r="P110" s="167" t="s">
        <v>245</v>
      </c>
    </row>
    <row r="111" spans="1:16" ht="12.75" customHeight="1" thickBot="1" x14ac:dyDescent="0.25">
      <c r="A111" s="14" t="str">
        <f t="shared" si="18"/>
        <v> PZP 3.208 </v>
      </c>
      <c r="B111" s="5" t="str">
        <f t="shared" si="19"/>
        <v>II</v>
      </c>
      <c r="C111" s="14">
        <f t="shared" si="20"/>
        <v>17826.304</v>
      </c>
      <c r="D111" s="25" t="str">
        <f t="shared" si="21"/>
        <v>vis</v>
      </c>
      <c r="E111" s="164">
        <f>VLOOKUP(C111,'Active 1'!C$21:E$966,3,FALSE)</f>
        <v>-61795.838325875382</v>
      </c>
      <c r="F111" s="5" t="s">
        <v>160</v>
      </c>
      <c r="G111" s="25" t="str">
        <f t="shared" si="22"/>
        <v>17826.304</v>
      </c>
      <c r="H111" s="14">
        <f t="shared" si="23"/>
        <v>-53209.5</v>
      </c>
      <c r="I111" s="165" t="s">
        <v>249</v>
      </c>
      <c r="J111" s="166" t="s">
        <v>250</v>
      </c>
      <c r="K111" s="165">
        <v>-53209.5</v>
      </c>
      <c r="L111" s="165" t="s">
        <v>251</v>
      </c>
      <c r="M111" s="166" t="s">
        <v>243</v>
      </c>
      <c r="N111" s="166"/>
      <c r="O111" s="167" t="s">
        <v>244</v>
      </c>
      <c r="P111" s="167" t="s">
        <v>245</v>
      </c>
    </row>
    <row r="112" spans="1:16" ht="12.75" customHeight="1" thickBot="1" x14ac:dyDescent="0.25">
      <c r="A112" s="14" t="str">
        <f t="shared" si="18"/>
        <v> PZP 3.208 </v>
      </c>
      <c r="B112" s="5" t="str">
        <f t="shared" si="19"/>
        <v>II</v>
      </c>
      <c r="C112" s="14">
        <f t="shared" si="20"/>
        <v>17888.366999999998</v>
      </c>
      <c r="D112" s="25" t="str">
        <f t="shared" si="21"/>
        <v>vis</v>
      </c>
      <c r="E112" s="164">
        <f>VLOOKUP(C112,'Active 1'!C$21:E$966,3,FALSE)</f>
        <v>-61664.149795994505</v>
      </c>
      <c r="F112" s="5" t="s">
        <v>160</v>
      </c>
      <c r="G112" s="25" t="str">
        <f t="shared" si="22"/>
        <v>17888.367</v>
      </c>
      <c r="H112" s="14">
        <f t="shared" si="23"/>
        <v>-53070.5</v>
      </c>
      <c r="I112" s="165" t="s">
        <v>252</v>
      </c>
      <c r="J112" s="166" t="s">
        <v>253</v>
      </c>
      <c r="K112" s="165">
        <v>-53070.5</v>
      </c>
      <c r="L112" s="165" t="s">
        <v>254</v>
      </c>
      <c r="M112" s="166" t="s">
        <v>243</v>
      </c>
      <c r="N112" s="166"/>
      <c r="O112" s="167" t="s">
        <v>244</v>
      </c>
      <c r="P112" s="167" t="s">
        <v>245</v>
      </c>
    </row>
    <row r="113" spans="1:16" ht="12.75" customHeight="1" thickBot="1" x14ac:dyDescent="0.25">
      <c r="A113" s="14" t="str">
        <f t="shared" si="18"/>
        <v> PZP 3.212 </v>
      </c>
      <c r="B113" s="5" t="str">
        <f t="shared" si="19"/>
        <v>I</v>
      </c>
      <c r="C113" s="14">
        <f t="shared" si="20"/>
        <v>40361.508999999998</v>
      </c>
      <c r="D113" s="25" t="str">
        <f t="shared" si="21"/>
        <v>vis</v>
      </c>
      <c r="E113" s="164">
        <f>VLOOKUP(C113,'Active 1'!C$21:E$966,3,FALSE)</f>
        <v>-13979.457921861944</v>
      </c>
      <c r="F113" s="5" t="s">
        <v>160</v>
      </c>
      <c r="G113" s="25" t="str">
        <f t="shared" si="22"/>
        <v>40361.509</v>
      </c>
      <c r="H113" s="14">
        <f t="shared" si="23"/>
        <v>-2711</v>
      </c>
      <c r="I113" s="165" t="s">
        <v>255</v>
      </c>
      <c r="J113" s="166" t="s">
        <v>256</v>
      </c>
      <c r="K113" s="165">
        <v>-2711</v>
      </c>
      <c r="L113" s="165" t="s">
        <v>257</v>
      </c>
      <c r="M113" s="166" t="s">
        <v>243</v>
      </c>
      <c r="N113" s="166"/>
      <c r="O113" s="167" t="s">
        <v>244</v>
      </c>
      <c r="P113" s="167" t="s">
        <v>258</v>
      </c>
    </row>
    <row r="114" spans="1:16" ht="12.75" customHeight="1" thickBot="1" x14ac:dyDescent="0.25">
      <c r="A114" s="14" t="str">
        <f t="shared" si="18"/>
        <v> PZP 3.212 </v>
      </c>
      <c r="B114" s="5" t="str">
        <f t="shared" si="19"/>
        <v>I</v>
      </c>
      <c r="C114" s="14">
        <f t="shared" si="20"/>
        <v>40810.404999999999</v>
      </c>
      <c r="D114" s="25" t="str">
        <f t="shared" si="21"/>
        <v>vis</v>
      </c>
      <c r="E114" s="164">
        <f>VLOOKUP(C114,'Active 1'!C$21:E$966,3,FALSE)</f>
        <v>-13026.966835233708</v>
      </c>
      <c r="F114" s="5" t="s">
        <v>160</v>
      </c>
      <c r="G114" s="25" t="str">
        <f t="shared" si="22"/>
        <v>40810.405</v>
      </c>
      <c r="H114" s="14">
        <f t="shared" si="23"/>
        <v>-1705</v>
      </c>
      <c r="I114" s="165" t="s">
        <v>259</v>
      </c>
      <c r="J114" s="166" t="s">
        <v>260</v>
      </c>
      <c r="K114" s="165">
        <v>-1705</v>
      </c>
      <c r="L114" s="165" t="s">
        <v>261</v>
      </c>
      <c r="M114" s="166" t="s">
        <v>243</v>
      </c>
      <c r="N114" s="166"/>
      <c r="O114" s="167" t="s">
        <v>244</v>
      </c>
      <c r="P114" s="167" t="s">
        <v>258</v>
      </c>
    </row>
    <row r="115" spans="1:16" ht="12.75" customHeight="1" thickBot="1" x14ac:dyDescent="0.25">
      <c r="A115" s="14" t="str">
        <f t="shared" si="18"/>
        <v> PZP 3.212 </v>
      </c>
      <c r="B115" s="5" t="str">
        <f t="shared" si="19"/>
        <v>I</v>
      </c>
      <c r="C115" s="14">
        <f t="shared" si="20"/>
        <v>40827.372000000003</v>
      </c>
      <c r="D115" s="25" t="str">
        <f t="shared" si="21"/>
        <v>vis</v>
      </c>
      <c r="E115" s="164">
        <f>VLOOKUP(C115,'Active 1'!C$21:E$966,3,FALSE)</f>
        <v>-12990.965364365567</v>
      </c>
      <c r="F115" s="5" t="s">
        <v>160</v>
      </c>
      <c r="G115" s="25" t="str">
        <f t="shared" si="22"/>
        <v>40827.372</v>
      </c>
      <c r="H115" s="14">
        <f t="shared" si="23"/>
        <v>-1667</v>
      </c>
      <c r="I115" s="165" t="s">
        <v>262</v>
      </c>
      <c r="J115" s="166" t="s">
        <v>263</v>
      </c>
      <c r="K115" s="165">
        <v>-1667</v>
      </c>
      <c r="L115" s="165" t="s">
        <v>264</v>
      </c>
      <c r="M115" s="166" t="s">
        <v>243</v>
      </c>
      <c r="N115" s="166"/>
      <c r="O115" s="167" t="s">
        <v>244</v>
      </c>
      <c r="P115" s="167" t="s">
        <v>258</v>
      </c>
    </row>
    <row r="116" spans="1:16" ht="12.75" customHeight="1" thickBot="1" x14ac:dyDescent="0.25">
      <c r="A116" s="14" t="str">
        <f t="shared" si="18"/>
        <v> PZP 3.212 </v>
      </c>
      <c r="B116" s="5" t="str">
        <f t="shared" si="19"/>
        <v>I</v>
      </c>
      <c r="C116" s="14">
        <f t="shared" si="20"/>
        <v>41533.337</v>
      </c>
      <c r="D116" s="25" t="str">
        <f t="shared" si="21"/>
        <v>vis</v>
      </c>
      <c r="E116" s="164">
        <f>VLOOKUP(C116,'Active 1'!C$21:E$966,3,FALSE)</f>
        <v>-11493.011784980814</v>
      </c>
      <c r="F116" s="5" t="s">
        <v>160</v>
      </c>
      <c r="G116" s="25" t="str">
        <f t="shared" si="22"/>
        <v>41533.337</v>
      </c>
      <c r="H116" s="14">
        <f t="shared" si="23"/>
        <v>-85</v>
      </c>
      <c r="I116" s="165" t="s">
        <v>265</v>
      </c>
      <c r="J116" s="166" t="s">
        <v>266</v>
      </c>
      <c r="K116" s="165">
        <v>-85</v>
      </c>
      <c r="L116" s="165" t="s">
        <v>267</v>
      </c>
      <c r="M116" s="166" t="s">
        <v>243</v>
      </c>
      <c r="N116" s="166"/>
      <c r="O116" s="167" t="s">
        <v>244</v>
      </c>
      <c r="P116" s="167" t="s">
        <v>258</v>
      </c>
    </row>
    <row r="117" spans="1:16" ht="12.75" customHeight="1" thickBot="1" x14ac:dyDescent="0.25">
      <c r="A117" s="14" t="str">
        <f t="shared" si="18"/>
        <v> PZP 3.213 </v>
      </c>
      <c r="B117" s="5" t="str">
        <f t="shared" si="19"/>
        <v>I</v>
      </c>
      <c r="C117" s="14">
        <f t="shared" si="20"/>
        <v>41567.286999999997</v>
      </c>
      <c r="D117" s="25" t="str">
        <f t="shared" si="21"/>
        <v>vis</v>
      </c>
      <c r="E117" s="164">
        <f>VLOOKUP(C117,'Active 1'!C$21:E$966,3,FALSE)</f>
        <v>-11420.974893605025</v>
      </c>
      <c r="F117" s="5" t="s">
        <v>160</v>
      </c>
      <c r="G117" s="25" t="str">
        <f t="shared" si="22"/>
        <v>41567.287</v>
      </c>
      <c r="H117" s="14">
        <f t="shared" si="23"/>
        <v>-9</v>
      </c>
      <c r="I117" s="165" t="s">
        <v>268</v>
      </c>
      <c r="J117" s="166" t="s">
        <v>269</v>
      </c>
      <c r="K117" s="165">
        <v>-9</v>
      </c>
      <c r="L117" s="165" t="s">
        <v>270</v>
      </c>
      <c r="M117" s="166" t="s">
        <v>243</v>
      </c>
      <c r="N117" s="166"/>
      <c r="O117" s="167" t="s">
        <v>244</v>
      </c>
      <c r="P117" s="167" t="s">
        <v>271</v>
      </c>
    </row>
    <row r="118" spans="1:16" ht="12.75" customHeight="1" thickBot="1" x14ac:dyDescent="0.25">
      <c r="A118" s="14" t="str">
        <f t="shared" si="18"/>
        <v> PZP 3.213 </v>
      </c>
      <c r="B118" s="5" t="str">
        <f t="shared" si="19"/>
        <v>I</v>
      </c>
      <c r="C118" s="14">
        <f t="shared" si="20"/>
        <v>41571.292000000001</v>
      </c>
      <c r="D118" s="25" t="str">
        <f t="shared" si="21"/>
        <v>vis</v>
      </c>
      <c r="E118" s="164">
        <f>VLOOKUP(C118,'Active 1'!C$21:E$966,3,FALSE)</f>
        <v>-11412.47687446039</v>
      </c>
      <c r="F118" s="5" t="s">
        <v>160</v>
      </c>
      <c r="G118" s="25" t="str">
        <f t="shared" si="22"/>
        <v>41571.292</v>
      </c>
      <c r="H118" s="14">
        <f t="shared" si="23"/>
        <v>0</v>
      </c>
      <c r="I118" s="165" t="s">
        <v>272</v>
      </c>
      <c r="J118" s="166" t="s">
        <v>273</v>
      </c>
      <c r="K118" s="165">
        <v>0</v>
      </c>
      <c r="L118" s="165" t="s">
        <v>274</v>
      </c>
      <c r="M118" s="166" t="s">
        <v>243</v>
      </c>
      <c r="N118" s="166"/>
      <c r="O118" s="167" t="s">
        <v>244</v>
      </c>
      <c r="P118" s="167" t="s">
        <v>271</v>
      </c>
    </row>
    <row r="119" spans="1:16" ht="12.75" customHeight="1" thickBot="1" x14ac:dyDescent="0.25">
      <c r="A119" s="14" t="str">
        <f t="shared" si="18"/>
        <v> PZP 3.213 </v>
      </c>
      <c r="B119" s="5" t="str">
        <f t="shared" si="19"/>
        <v>I</v>
      </c>
      <c r="C119" s="14">
        <f t="shared" si="20"/>
        <v>41957.241000000002</v>
      </c>
      <c r="D119" s="25" t="str">
        <f t="shared" si="21"/>
        <v>vis</v>
      </c>
      <c r="E119" s="164">
        <f>VLOOKUP(C119,'Active 1'!C$21:E$966,3,FALSE)</f>
        <v>-10593.550035297019</v>
      </c>
      <c r="F119" s="5" t="s">
        <v>160</v>
      </c>
      <c r="G119" s="25" t="str">
        <f t="shared" si="22"/>
        <v>41957.241</v>
      </c>
      <c r="H119" s="14">
        <f t="shared" si="23"/>
        <v>865</v>
      </c>
      <c r="I119" s="165" t="s">
        <v>275</v>
      </c>
      <c r="J119" s="166" t="s">
        <v>276</v>
      </c>
      <c r="K119" s="165">
        <v>865</v>
      </c>
      <c r="L119" s="165" t="s">
        <v>277</v>
      </c>
      <c r="M119" s="166" t="s">
        <v>243</v>
      </c>
      <c r="N119" s="166"/>
      <c r="O119" s="167" t="s">
        <v>244</v>
      </c>
      <c r="P119" s="167" t="s">
        <v>271</v>
      </c>
    </row>
    <row r="120" spans="1:16" ht="12.75" customHeight="1" thickBot="1" x14ac:dyDescent="0.25">
      <c r="A120" s="14" t="str">
        <f t="shared" si="18"/>
        <v> PZP 3.213 </v>
      </c>
      <c r="B120" s="5" t="str">
        <f t="shared" si="19"/>
        <v>I</v>
      </c>
      <c r="C120" s="14">
        <f t="shared" si="20"/>
        <v>41957.292000000001</v>
      </c>
      <c r="D120" s="25" t="str">
        <f t="shared" si="21"/>
        <v>vis</v>
      </c>
      <c r="E120" s="164">
        <f>VLOOKUP(C120,'Active 1'!C$21:E$966,3,FALSE)</f>
        <v>-10593.441820821021</v>
      </c>
      <c r="F120" s="5" t="s">
        <v>160</v>
      </c>
      <c r="G120" s="25" t="str">
        <f t="shared" si="22"/>
        <v>41957.292</v>
      </c>
      <c r="H120" s="14">
        <f t="shared" si="23"/>
        <v>865</v>
      </c>
      <c r="I120" s="165" t="s">
        <v>278</v>
      </c>
      <c r="J120" s="166" t="s">
        <v>279</v>
      </c>
      <c r="K120" s="165">
        <v>865</v>
      </c>
      <c r="L120" s="165" t="s">
        <v>280</v>
      </c>
      <c r="M120" s="166" t="s">
        <v>243</v>
      </c>
      <c r="N120" s="166"/>
      <c r="O120" s="167" t="s">
        <v>244</v>
      </c>
      <c r="P120" s="167" t="s">
        <v>271</v>
      </c>
    </row>
    <row r="121" spans="1:16" ht="12.75" customHeight="1" thickBot="1" x14ac:dyDescent="0.25">
      <c r="A121" s="14" t="str">
        <f t="shared" si="18"/>
        <v>BAVM 52 </v>
      </c>
      <c r="B121" s="5" t="str">
        <f t="shared" si="19"/>
        <v>II</v>
      </c>
      <c r="C121" s="14">
        <f t="shared" si="20"/>
        <v>47322.392099999997</v>
      </c>
      <c r="D121" s="25" t="str">
        <f t="shared" si="21"/>
        <v>vis</v>
      </c>
      <c r="E121" s="164">
        <f>VLOOKUP(C121,'Active 1'!C$21:E$966,3,FALSE)</f>
        <v>790.50908121028419</v>
      </c>
      <c r="F121" s="5" t="s">
        <v>160</v>
      </c>
      <c r="G121" s="25" t="str">
        <f t="shared" si="22"/>
        <v>47322.3921</v>
      </c>
      <c r="H121" s="14">
        <f t="shared" si="23"/>
        <v>12887.5</v>
      </c>
      <c r="I121" s="165" t="s">
        <v>319</v>
      </c>
      <c r="J121" s="166" t="s">
        <v>320</v>
      </c>
      <c r="K121" s="165">
        <v>12887.5</v>
      </c>
      <c r="L121" s="165" t="s">
        <v>321</v>
      </c>
      <c r="M121" s="166" t="s">
        <v>284</v>
      </c>
      <c r="N121" s="166" t="s">
        <v>322</v>
      </c>
      <c r="O121" s="167" t="s">
        <v>323</v>
      </c>
      <c r="P121" s="168" t="s">
        <v>324</v>
      </c>
    </row>
    <row r="122" spans="1:16" ht="12.75" customHeight="1" thickBot="1" x14ac:dyDescent="0.25">
      <c r="A122" s="14" t="str">
        <f t="shared" si="18"/>
        <v>BAVM 51 </v>
      </c>
      <c r="B122" s="5" t="str">
        <f t="shared" si="19"/>
        <v>I</v>
      </c>
      <c r="C122" s="14">
        <f t="shared" si="20"/>
        <v>47365.512300000002</v>
      </c>
      <c r="D122" s="25" t="str">
        <f t="shared" si="21"/>
        <v>vis</v>
      </c>
      <c r="E122" s="164">
        <f>VLOOKUP(C122,'Active 1'!C$21:E$966,3,FALSE)</f>
        <v>882.00378411169424</v>
      </c>
      <c r="F122" s="5" t="s">
        <v>160</v>
      </c>
      <c r="G122" s="25" t="str">
        <f t="shared" si="22"/>
        <v>47365.5123</v>
      </c>
      <c r="H122" s="14">
        <f t="shared" si="23"/>
        <v>12984</v>
      </c>
      <c r="I122" s="165" t="s">
        <v>340</v>
      </c>
      <c r="J122" s="166" t="s">
        <v>341</v>
      </c>
      <c r="K122" s="165">
        <v>12984</v>
      </c>
      <c r="L122" s="165" t="s">
        <v>342</v>
      </c>
      <c r="M122" s="166" t="s">
        <v>284</v>
      </c>
      <c r="N122" s="166" t="s">
        <v>322</v>
      </c>
      <c r="O122" s="167" t="s">
        <v>323</v>
      </c>
      <c r="P122" s="168" t="s">
        <v>339</v>
      </c>
    </row>
    <row r="123" spans="1:16" ht="12.75" customHeight="1" thickBot="1" x14ac:dyDescent="0.25">
      <c r="A123" s="14" t="str">
        <f t="shared" si="18"/>
        <v>BAVM 51 </v>
      </c>
      <c r="B123" s="5" t="str">
        <f t="shared" si="19"/>
        <v>I</v>
      </c>
      <c r="C123" s="14">
        <f t="shared" si="20"/>
        <v>47378.473100000003</v>
      </c>
      <c r="D123" s="25" t="str">
        <f t="shared" si="21"/>
        <v>vis</v>
      </c>
      <c r="E123" s="164">
        <f>VLOOKUP(C123,'Active 1'!C$21:E$966,3,FALSE)</f>
        <v>909.50468961223771</v>
      </c>
      <c r="F123" s="5" t="s">
        <v>160</v>
      </c>
      <c r="G123" s="25" t="str">
        <f t="shared" si="22"/>
        <v>47378.4731</v>
      </c>
      <c r="H123" s="14">
        <f t="shared" si="23"/>
        <v>13013</v>
      </c>
      <c r="I123" s="165" t="s">
        <v>346</v>
      </c>
      <c r="J123" s="166" t="s">
        <v>347</v>
      </c>
      <c r="K123" s="165">
        <v>13013</v>
      </c>
      <c r="L123" s="165" t="s">
        <v>348</v>
      </c>
      <c r="M123" s="166" t="s">
        <v>284</v>
      </c>
      <c r="N123" s="166" t="s">
        <v>322</v>
      </c>
      <c r="O123" s="167" t="s">
        <v>323</v>
      </c>
      <c r="P123" s="168" t="s">
        <v>339</v>
      </c>
    </row>
    <row r="124" spans="1:16" ht="12.75" customHeight="1" thickBot="1" x14ac:dyDescent="0.25">
      <c r="A124" s="14" t="str">
        <f t="shared" si="18"/>
        <v> AJ 110.2400 </v>
      </c>
      <c r="B124" s="5" t="str">
        <f t="shared" si="19"/>
        <v>I</v>
      </c>
      <c r="C124" s="14">
        <f t="shared" si="20"/>
        <v>47695.883399999999</v>
      </c>
      <c r="D124" s="25" t="str">
        <f t="shared" si="21"/>
        <v>vis</v>
      </c>
      <c r="E124" s="164">
        <f>VLOOKUP(C124,'Active 1'!C$21:E$966,3,FALSE)</f>
        <v>1583.002518851059</v>
      </c>
      <c r="F124" s="5" t="s">
        <v>160</v>
      </c>
      <c r="G124" s="25" t="str">
        <f t="shared" si="22"/>
        <v>47695.8834</v>
      </c>
      <c r="H124" s="14">
        <f t="shared" si="23"/>
        <v>13724</v>
      </c>
      <c r="I124" s="165" t="s">
        <v>368</v>
      </c>
      <c r="J124" s="166" t="s">
        <v>369</v>
      </c>
      <c r="K124" s="165">
        <v>13724</v>
      </c>
      <c r="L124" s="165" t="s">
        <v>370</v>
      </c>
      <c r="M124" s="166" t="s">
        <v>284</v>
      </c>
      <c r="N124" s="166" t="s">
        <v>285</v>
      </c>
      <c r="O124" s="167" t="s">
        <v>296</v>
      </c>
      <c r="P124" s="167" t="s">
        <v>307</v>
      </c>
    </row>
    <row r="125" spans="1:16" ht="12.75" customHeight="1" thickBot="1" x14ac:dyDescent="0.25">
      <c r="A125" s="14" t="str">
        <f t="shared" si="18"/>
        <v> BRNO 30 </v>
      </c>
      <c r="B125" s="5" t="str">
        <f t="shared" si="19"/>
        <v>I</v>
      </c>
      <c r="C125" s="14">
        <f t="shared" si="20"/>
        <v>47735.451000000001</v>
      </c>
      <c r="D125" s="25" t="str">
        <f t="shared" si="21"/>
        <v>vis</v>
      </c>
      <c r="E125" s="164">
        <f>VLOOKUP(C125,'Active 1'!C$21:E$966,3,FALSE)</f>
        <v>1666.9591286655225</v>
      </c>
      <c r="F125" s="5" t="s">
        <v>160</v>
      </c>
      <c r="G125" s="25" t="str">
        <f t="shared" si="22"/>
        <v>47735.451</v>
      </c>
      <c r="H125" s="14">
        <f t="shared" si="23"/>
        <v>13813</v>
      </c>
      <c r="I125" s="165" t="s">
        <v>377</v>
      </c>
      <c r="J125" s="166" t="s">
        <v>378</v>
      </c>
      <c r="K125" s="165">
        <v>13813</v>
      </c>
      <c r="L125" s="165" t="s">
        <v>379</v>
      </c>
      <c r="M125" s="166" t="s">
        <v>352</v>
      </c>
      <c r="N125" s="166"/>
      <c r="O125" s="167" t="s">
        <v>380</v>
      </c>
      <c r="P125" s="167" t="s">
        <v>381</v>
      </c>
    </row>
    <row r="126" spans="1:16" ht="12.75" customHeight="1" thickBot="1" x14ac:dyDescent="0.25">
      <c r="A126" s="14" t="str">
        <f t="shared" si="18"/>
        <v>BAVM 56 </v>
      </c>
      <c r="B126" s="5" t="str">
        <f t="shared" si="19"/>
        <v>I</v>
      </c>
      <c r="C126" s="14">
        <f t="shared" si="20"/>
        <v>47963.574999999997</v>
      </c>
      <c r="D126" s="25" t="str">
        <f t="shared" si="21"/>
        <v>vis</v>
      </c>
      <c r="E126" s="164">
        <f>VLOOKUP(C126,'Active 1'!C$21:E$966,3,FALSE)</f>
        <v>2151.0046016614406</v>
      </c>
      <c r="F126" s="5" t="s">
        <v>160</v>
      </c>
      <c r="G126" s="25" t="str">
        <f t="shared" si="22"/>
        <v>47963.5750</v>
      </c>
      <c r="H126" s="14">
        <f t="shared" si="23"/>
        <v>14324</v>
      </c>
      <c r="I126" s="165" t="s">
        <v>400</v>
      </c>
      <c r="J126" s="166" t="s">
        <v>401</v>
      </c>
      <c r="K126" s="165">
        <v>14324</v>
      </c>
      <c r="L126" s="165" t="s">
        <v>402</v>
      </c>
      <c r="M126" s="166" t="s">
        <v>284</v>
      </c>
      <c r="N126" s="166" t="s">
        <v>322</v>
      </c>
      <c r="O126" s="167" t="s">
        <v>323</v>
      </c>
      <c r="P126" s="168" t="s">
        <v>403</v>
      </c>
    </row>
    <row r="127" spans="1:16" ht="12.75" customHeight="1" thickBot="1" x14ac:dyDescent="0.25">
      <c r="A127" s="14" t="str">
        <f t="shared" si="18"/>
        <v>BAVM 59 </v>
      </c>
      <c r="B127" s="5" t="str">
        <f t="shared" si="19"/>
        <v>I</v>
      </c>
      <c r="C127" s="14">
        <f t="shared" si="20"/>
        <v>48084.4611</v>
      </c>
      <c r="D127" s="25" t="str">
        <f t="shared" si="21"/>
        <v>vis</v>
      </c>
      <c r="E127" s="164">
        <f>VLOOKUP(C127,'Active 1'!C$21:E$966,3,FALSE)</f>
        <v>2407.5070716038158</v>
      </c>
      <c r="F127" s="5" t="s">
        <v>160</v>
      </c>
      <c r="G127" s="25" t="str">
        <f t="shared" si="22"/>
        <v>48084.4611</v>
      </c>
      <c r="H127" s="14">
        <f t="shared" si="23"/>
        <v>14595</v>
      </c>
      <c r="I127" s="165" t="s">
        <v>417</v>
      </c>
      <c r="J127" s="166" t="s">
        <v>418</v>
      </c>
      <c r="K127" s="165">
        <v>14595</v>
      </c>
      <c r="L127" s="165" t="s">
        <v>419</v>
      </c>
      <c r="M127" s="166" t="s">
        <v>284</v>
      </c>
      <c r="N127" s="166" t="s">
        <v>322</v>
      </c>
      <c r="O127" s="167" t="s">
        <v>323</v>
      </c>
      <c r="P127" s="168" t="s">
        <v>420</v>
      </c>
    </row>
    <row r="128" spans="1:16" ht="12.75" customHeight="1" thickBot="1" x14ac:dyDescent="0.25">
      <c r="A128" s="14" t="str">
        <f t="shared" si="18"/>
        <v>BAVM 59 </v>
      </c>
      <c r="B128" s="5" t="str">
        <f t="shared" si="19"/>
        <v>I</v>
      </c>
      <c r="C128" s="14">
        <f t="shared" si="20"/>
        <v>48358.516000000003</v>
      </c>
      <c r="D128" s="25" t="str">
        <f t="shared" si="21"/>
        <v>vis</v>
      </c>
      <c r="E128" s="164">
        <f>VLOOKUP(C128,'Active 1'!C$21:E$966,3,FALSE)</f>
        <v>2989.0111382401742</v>
      </c>
      <c r="F128" s="5" t="s">
        <v>160</v>
      </c>
      <c r="G128" s="25" t="str">
        <f t="shared" si="22"/>
        <v>48358.516</v>
      </c>
      <c r="H128" s="14">
        <f t="shared" si="23"/>
        <v>15209</v>
      </c>
      <c r="I128" s="165" t="s">
        <v>437</v>
      </c>
      <c r="J128" s="166" t="s">
        <v>438</v>
      </c>
      <c r="K128" s="165">
        <v>15209</v>
      </c>
      <c r="L128" s="165" t="s">
        <v>439</v>
      </c>
      <c r="M128" s="166" t="s">
        <v>284</v>
      </c>
      <c r="N128" s="166" t="s">
        <v>322</v>
      </c>
      <c r="O128" s="167" t="s">
        <v>323</v>
      </c>
      <c r="P128" s="168" t="s">
        <v>420</v>
      </c>
    </row>
    <row r="129" spans="1:16" ht="12.75" customHeight="1" thickBot="1" x14ac:dyDescent="0.25">
      <c r="A129" s="14" t="str">
        <f t="shared" si="18"/>
        <v>BAVM 60 </v>
      </c>
      <c r="B129" s="5" t="str">
        <f t="shared" si="19"/>
        <v>I</v>
      </c>
      <c r="C129" s="14">
        <f t="shared" si="20"/>
        <v>48449.4738</v>
      </c>
      <c r="D129" s="25" t="str">
        <f t="shared" si="21"/>
        <v>vis</v>
      </c>
      <c r="E129" s="164">
        <f>VLOOKUP(C129,'Active 1'!C$21:E$966,3,FALSE)</f>
        <v>3182.0101708876255</v>
      </c>
      <c r="F129" s="5" t="s">
        <v>160</v>
      </c>
      <c r="G129" s="25" t="str">
        <f t="shared" si="22"/>
        <v>48449.4738</v>
      </c>
      <c r="H129" s="14">
        <f t="shared" si="23"/>
        <v>15413</v>
      </c>
      <c r="I129" s="165" t="s">
        <v>450</v>
      </c>
      <c r="J129" s="166" t="s">
        <v>451</v>
      </c>
      <c r="K129" s="165">
        <v>15413</v>
      </c>
      <c r="L129" s="165" t="s">
        <v>452</v>
      </c>
      <c r="M129" s="166" t="s">
        <v>284</v>
      </c>
      <c r="N129" s="166" t="s">
        <v>120</v>
      </c>
      <c r="O129" s="167" t="s">
        <v>323</v>
      </c>
      <c r="P129" s="168" t="s">
        <v>453</v>
      </c>
    </row>
    <row r="130" spans="1:16" ht="12.75" customHeight="1" thickBot="1" x14ac:dyDescent="0.25">
      <c r="A130" s="14" t="str">
        <f t="shared" si="18"/>
        <v>BAVM 60 </v>
      </c>
      <c r="B130" s="5" t="str">
        <f t="shared" si="19"/>
        <v>I</v>
      </c>
      <c r="C130" s="14">
        <f t="shared" si="20"/>
        <v>48449.474399999999</v>
      </c>
      <c r="D130" s="25" t="str">
        <f t="shared" si="21"/>
        <v>vis</v>
      </c>
      <c r="E130" s="164">
        <f>VLOOKUP(C130,'Active 1'!C$21:E$966,3,FALSE)</f>
        <v>3182.0114439991066</v>
      </c>
      <c r="F130" s="5" t="s">
        <v>160</v>
      </c>
      <c r="G130" s="25" t="str">
        <f t="shared" si="22"/>
        <v>48449.4744</v>
      </c>
      <c r="H130" s="14">
        <f t="shared" si="23"/>
        <v>15413</v>
      </c>
      <c r="I130" s="165" t="s">
        <v>454</v>
      </c>
      <c r="J130" s="166" t="s">
        <v>455</v>
      </c>
      <c r="K130" s="165">
        <v>15413</v>
      </c>
      <c r="L130" s="165" t="s">
        <v>456</v>
      </c>
      <c r="M130" s="166" t="s">
        <v>284</v>
      </c>
      <c r="N130" s="166" t="s">
        <v>322</v>
      </c>
      <c r="O130" s="167" t="s">
        <v>323</v>
      </c>
      <c r="P130" s="168" t="s">
        <v>453</v>
      </c>
    </row>
    <row r="131" spans="1:16" ht="12.75" customHeight="1" thickBot="1" x14ac:dyDescent="0.25">
      <c r="A131" s="14" t="str">
        <f t="shared" si="18"/>
        <v>BAVM 60 </v>
      </c>
      <c r="B131" s="5" t="str">
        <f t="shared" si="19"/>
        <v>I</v>
      </c>
      <c r="C131" s="14">
        <f t="shared" si="20"/>
        <v>48474.452899999997</v>
      </c>
      <c r="D131" s="25" t="str">
        <f t="shared" si="21"/>
        <v>vis</v>
      </c>
      <c r="E131" s="164">
        <f>VLOOKUP(C131,'Active 1'!C$21:E$966,3,FALSE)</f>
        <v>3235.012135935192</v>
      </c>
      <c r="F131" s="5" t="s">
        <v>160</v>
      </c>
      <c r="G131" s="25" t="str">
        <f t="shared" si="22"/>
        <v>48474.4529</v>
      </c>
      <c r="H131" s="14">
        <f t="shared" si="23"/>
        <v>15469</v>
      </c>
      <c r="I131" s="165" t="s">
        <v>460</v>
      </c>
      <c r="J131" s="166" t="s">
        <v>461</v>
      </c>
      <c r="K131" s="165">
        <v>15469</v>
      </c>
      <c r="L131" s="165" t="s">
        <v>462</v>
      </c>
      <c r="M131" s="166" t="s">
        <v>284</v>
      </c>
      <c r="N131" s="166" t="s">
        <v>92</v>
      </c>
      <c r="O131" s="167" t="s">
        <v>323</v>
      </c>
      <c r="P131" s="168" t="s">
        <v>453</v>
      </c>
    </row>
    <row r="132" spans="1:16" ht="12.75" customHeight="1" thickBot="1" x14ac:dyDescent="0.25">
      <c r="A132" s="14" t="str">
        <f t="shared" si="18"/>
        <v>BAVM 60 </v>
      </c>
      <c r="B132" s="5" t="str">
        <f t="shared" si="19"/>
        <v>I</v>
      </c>
      <c r="C132" s="14">
        <f t="shared" si="20"/>
        <v>48474.454700000002</v>
      </c>
      <c r="D132" s="25" t="str">
        <f t="shared" si="21"/>
        <v>vis</v>
      </c>
      <c r="E132" s="164">
        <f>VLOOKUP(C132,'Active 1'!C$21:E$966,3,FALSE)</f>
        <v>3235.0159552696505</v>
      </c>
      <c r="F132" s="5" t="s">
        <v>160</v>
      </c>
      <c r="G132" s="25" t="str">
        <f t="shared" si="22"/>
        <v>48474.4547</v>
      </c>
      <c r="H132" s="14">
        <f t="shared" si="23"/>
        <v>15469</v>
      </c>
      <c r="I132" s="165" t="s">
        <v>463</v>
      </c>
      <c r="J132" s="166" t="s">
        <v>464</v>
      </c>
      <c r="K132" s="165">
        <v>15469</v>
      </c>
      <c r="L132" s="165" t="s">
        <v>465</v>
      </c>
      <c r="M132" s="166" t="s">
        <v>284</v>
      </c>
      <c r="N132" s="166" t="s">
        <v>322</v>
      </c>
      <c r="O132" s="167" t="s">
        <v>323</v>
      </c>
      <c r="P132" s="168" t="s">
        <v>453</v>
      </c>
    </row>
    <row r="133" spans="1:16" ht="12.75" customHeight="1" thickBot="1" x14ac:dyDescent="0.25">
      <c r="A133" s="14" t="str">
        <f t="shared" si="18"/>
        <v>BAVM 68 </v>
      </c>
      <c r="B133" s="5" t="str">
        <f t="shared" si="19"/>
        <v>I</v>
      </c>
      <c r="C133" s="14">
        <f t="shared" si="20"/>
        <v>49147.451300000001</v>
      </c>
      <c r="D133" s="25" t="str">
        <f t="shared" si="21"/>
        <v>PE</v>
      </c>
      <c r="E133" s="164">
        <f>VLOOKUP(C133,'Active 1'!C$21:E$966,3,FALSE)</f>
        <v>4663.0154536637237</v>
      </c>
      <c r="F133" s="5" t="str">
        <f>LEFT(M133,1)</f>
        <v>E</v>
      </c>
      <c r="G133" s="25" t="str">
        <f t="shared" si="22"/>
        <v>49147.4513</v>
      </c>
      <c r="H133" s="14">
        <f t="shared" si="23"/>
        <v>16977</v>
      </c>
      <c r="I133" s="165" t="s">
        <v>481</v>
      </c>
      <c r="J133" s="166" t="s">
        <v>482</v>
      </c>
      <c r="K133" s="165">
        <v>16977</v>
      </c>
      <c r="L133" s="165" t="s">
        <v>483</v>
      </c>
      <c r="M133" s="166" t="s">
        <v>284</v>
      </c>
      <c r="N133" s="166" t="s">
        <v>322</v>
      </c>
      <c r="O133" s="167" t="s">
        <v>323</v>
      </c>
      <c r="P133" s="168" t="s">
        <v>484</v>
      </c>
    </row>
    <row r="134" spans="1:16" ht="12.75" customHeight="1" thickBot="1" x14ac:dyDescent="0.25">
      <c r="A134" s="14" t="str">
        <f t="shared" si="18"/>
        <v>BAVM 68 </v>
      </c>
      <c r="B134" s="5" t="str">
        <f t="shared" si="19"/>
        <v>I</v>
      </c>
      <c r="C134" s="14">
        <f t="shared" si="20"/>
        <v>49147.451300000001</v>
      </c>
      <c r="D134" s="25" t="str">
        <f t="shared" si="21"/>
        <v>PE</v>
      </c>
      <c r="E134" s="164">
        <f>VLOOKUP(C134,'Active 1'!C$21:E$966,3,FALSE)</f>
        <v>4663.0154536637237</v>
      </c>
      <c r="F134" s="5" t="str">
        <f>LEFT(M134,1)</f>
        <v>E</v>
      </c>
      <c r="G134" s="25" t="str">
        <f t="shared" si="22"/>
        <v>49147.4513</v>
      </c>
      <c r="H134" s="14">
        <f t="shared" si="23"/>
        <v>16977</v>
      </c>
      <c r="I134" s="165" t="s">
        <v>481</v>
      </c>
      <c r="J134" s="166" t="s">
        <v>482</v>
      </c>
      <c r="K134" s="165">
        <v>16977</v>
      </c>
      <c r="L134" s="165" t="s">
        <v>483</v>
      </c>
      <c r="M134" s="166" t="s">
        <v>284</v>
      </c>
      <c r="N134" s="166" t="s">
        <v>92</v>
      </c>
      <c r="O134" s="167" t="s">
        <v>323</v>
      </c>
      <c r="P134" s="168" t="s">
        <v>484</v>
      </c>
    </row>
    <row r="135" spans="1:16" ht="12.75" customHeight="1" thickBot="1" x14ac:dyDescent="0.25">
      <c r="A135" s="14" t="str">
        <f t="shared" si="18"/>
        <v>BAVM 68 </v>
      </c>
      <c r="B135" s="5" t="str">
        <f t="shared" si="19"/>
        <v>I</v>
      </c>
      <c r="C135" s="14">
        <f t="shared" si="20"/>
        <v>49474.525600000001</v>
      </c>
      <c r="D135" s="25" t="str">
        <f t="shared" si="21"/>
        <v>PE</v>
      </c>
      <c r="E135" s="164">
        <f>VLOOKUP(C135,'Active 1'!C$21:E$966,3,FALSE)</f>
        <v>5357.0188651781264</v>
      </c>
      <c r="F135" s="5" t="str">
        <f>LEFT(M135,1)</f>
        <v>E</v>
      </c>
      <c r="G135" s="25" t="str">
        <f t="shared" si="22"/>
        <v>49474.5256</v>
      </c>
      <c r="H135" s="14">
        <f t="shared" si="23"/>
        <v>17710</v>
      </c>
      <c r="I135" s="165" t="s">
        <v>485</v>
      </c>
      <c r="J135" s="166" t="s">
        <v>486</v>
      </c>
      <c r="K135" s="165">
        <v>17710</v>
      </c>
      <c r="L135" s="165" t="s">
        <v>487</v>
      </c>
      <c r="M135" s="166" t="s">
        <v>284</v>
      </c>
      <c r="N135" s="166" t="s">
        <v>92</v>
      </c>
      <c r="O135" s="167" t="s">
        <v>323</v>
      </c>
      <c r="P135" s="168" t="s">
        <v>484</v>
      </c>
    </row>
    <row r="136" spans="1:16" ht="12.75" customHeight="1" thickBot="1" x14ac:dyDescent="0.25">
      <c r="A136" s="14" t="str">
        <f t="shared" si="18"/>
        <v>BAVM 68 </v>
      </c>
      <c r="B136" s="5" t="str">
        <f t="shared" si="19"/>
        <v>I</v>
      </c>
      <c r="C136" s="14">
        <f t="shared" si="20"/>
        <v>49474.525699999998</v>
      </c>
      <c r="D136" s="25" t="str">
        <f t="shared" si="21"/>
        <v>PE</v>
      </c>
      <c r="E136" s="164">
        <f>VLOOKUP(C136,'Active 1'!C$21:E$966,3,FALSE)</f>
        <v>5357.0190773633676</v>
      </c>
      <c r="F136" s="5" t="str">
        <f>LEFT(M136,1)</f>
        <v>E</v>
      </c>
      <c r="G136" s="25" t="str">
        <f t="shared" si="22"/>
        <v>49474.5257</v>
      </c>
      <c r="H136" s="14">
        <f t="shared" si="23"/>
        <v>17710</v>
      </c>
      <c r="I136" s="165" t="s">
        <v>488</v>
      </c>
      <c r="J136" s="166" t="s">
        <v>489</v>
      </c>
      <c r="K136" s="165">
        <v>17710</v>
      </c>
      <c r="L136" s="165" t="s">
        <v>490</v>
      </c>
      <c r="M136" s="166" t="s">
        <v>284</v>
      </c>
      <c r="N136" s="166" t="s">
        <v>322</v>
      </c>
      <c r="O136" s="167" t="s">
        <v>323</v>
      </c>
      <c r="P136" s="168" t="s">
        <v>484</v>
      </c>
    </row>
    <row r="137" spans="1:16" ht="12.75" customHeight="1" thickBot="1" x14ac:dyDescent="0.25">
      <c r="A137" s="14" t="str">
        <f t="shared" si="18"/>
        <v> BRNO 32 </v>
      </c>
      <c r="B137" s="5" t="str">
        <f t="shared" si="19"/>
        <v>II</v>
      </c>
      <c r="C137" s="14">
        <f t="shared" si="20"/>
        <v>49926.432099999998</v>
      </c>
      <c r="D137" s="25" t="str">
        <f t="shared" si="21"/>
        <v>vis</v>
      </c>
      <c r="E137" s="164">
        <f>VLOOKUP(C137,'Active 1'!C$21:E$966,3,FALSE)</f>
        <v>6315.8977886690009</v>
      </c>
      <c r="F137" s="5" t="s">
        <v>160</v>
      </c>
      <c r="G137" s="25" t="str">
        <f t="shared" si="22"/>
        <v>49926.4321</v>
      </c>
      <c r="H137" s="14">
        <f t="shared" si="23"/>
        <v>18722.5</v>
      </c>
      <c r="I137" s="165" t="s">
        <v>498</v>
      </c>
      <c r="J137" s="166" t="s">
        <v>499</v>
      </c>
      <c r="K137" s="165">
        <v>18722.5</v>
      </c>
      <c r="L137" s="165" t="s">
        <v>500</v>
      </c>
      <c r="M137" s="166" t="s">
        <v>352</v>
      </c>
      <c r="N137" s="166"/>
      <c r="O137" s="167" t="s">
        <v>501</v>
      </c>
      <c r="P137" s="167" t="s">
        <v>502</v>
      </c>
    </row>
    <row r="138" spans="1:16" ht="12.75" customHeight="1" thickBot="1" x14ac:dyDescent="0.25">
      <c r="A138" s="14" t="str">
        <f t="shared" si="18"/>
        <v> AVSJ 27.26 </v>
      </c>
      <c r="B138" s="5" t="str">
        <f t="shared" si="19"/>
        <v>I</v>
      </c>
      <c r="C138" s="14">
        <f t="shared" si="20"/>
        <v>50349.7091</v>
      </c>
      <c r="D138" s="25" t="str">
        <f t="shared" si="21"/>
        <v>vis</v>
      </c>
      <c r="E138" s="164">
        <f>VLOOKUP(C138,'Active 1'!C$21:E$966,3,FALSE)</f>
        <v>7214.0291368537492</v>
      </c>
      <c r="F138" s="5" t="s">
        <v>160</v>
      </c>
      <c r="G138" s="25" t="str">
        <f t="shared" si="22"/>
        <v>50349.7091</v>
      </c>
      <c r="H138" s="14">
        <f t="shared" si="23"/>
        <v>19671</v>
      </c>
      <c r="I138" s="165" t="s">
        <v>503</v>
      </c>
      <c r="J138" s="166" t="s">
        <v>504</v>
      </c>
      <c r="K138" s="165">
        <v>19671</v>
      </c>
      <c r="L138" s="165" t="s">
        <v>505</v>
      </c>
      <c r="M138" s="166" t="s">
        <v>284</v>
      </c>
      <c r="N138" s="166" t="s">
        <v>120</v>
      </c>
      <c r="O138" s="167" t="s">
        <v>506</v>
      </c>
      <c r="P138" s="167" t="s">
        <v>507</v>
      </c>
    </row>
    <row r="139" spans="1:16" ht="12.75" customHeight="1" thickBot="1" x14ac:dyDescent="0.25">
      <c r="A139" s="14" t="str">
        <f t="shared" ref="A139:A160" si="24">P139</f>
        <v> AVSJ 27.26 </v>
      </c>
      <c r="B139" s="5" t="str">
        <f t="shared" ref="B139:B160" si="25">IF(H139=INT(H139),"I","II")</f>
        <v>I</v>
      </c>
      <c r="C139" s="14">
        <f t="shared" ref="C139:C160" si="26">1*G139</f>
        <v>50349.709699999999</v>
      </c>
      <c r="D139" s="25" t="str">
        <f t="shared" ref="D139:D160" si="27">VLOOKUP(F139,I$1:J$5,2,FALSE)</f>
        <v>vis</v>
      </c>
      <c r="E139" s="164">
        <f>VLOOKUP(C139,'Active 1'!C$21:E$966,3,FALSE)</f>
        <v>7214.0304099652303</v>
      </c>
      <c r="F139" s="5" t="s">
        <v>160</v>
      </c>
      <c r="G139" s="25" t="str">
        <f t="shared" ref="G139:G160" si="28">MID(I139,3,LEN(I139)-3)</f>
        <v>50349.7097</v>
      </c>
      <c r="H139" s="14">
        <f t="shared" ref="H139:H160" si="29">1*K139</f>
        <v>19671</v>
      </c>
      <c r="I139" s="165" t="s">
        <v>508</v>
      </c>
      <c r="J139" s="166" t="s">
        <v>504</v>
      </c>
      <c r="K139" s="165">
        <v>19671</v>
      </c>
      <c r="L139" s="165" t="s">
        <v>509</v>
      </c>
      <c r="M139" s="166" t="s">
        <v>284</v>
      </c>
      <c r="N139" s="166" t="s">
        <v>92</v>
      </c>
      <c r="O139" s="167" t="s">
        <v>506</v>
      </c>
      <c r="P139" s="167" t="s">
        <v>507</v>
      </c>
    </row>
    <row r="140" spans="1:16" ht="12.75" customHeight="1" thickBot="1" x14ac:dyDescent="0.25">
      <c r="A140" s="14" t="str">
        <f t="shared" si="24"/>
        <v> AVSJ 27.26 </v>
      </c>
      <c r="B140" s="5" t="str">
        <f t="shared" si="25"/>
        <v>II</v>
      </c>
      <c r="C140" s="14">
        <f t="shared" si="26"/>
        <v>51020.825700000001</v>
      </c>
      <c r="D140" s="25" t="str">
        <f t="shared" si="27"/>
        <v>vis</v>
      </c>
      <c r="E140" s="164">
        <f>VLOOKUP(C140,'Active 1'!C$21:E$966,3,FALSE)</f>
        <v>8638.0395526031589</v>
      </c>
      <c r="F140" s="5" t="s">
        <v>160</v>
      </c>
      <c r="G140" s="25" t="str">
        <f t="shared" si="28"/>
        <v>51020.8257</v>
      </c>
      <c r="H140" s="14">
        <f t="shared" si="29"/>
        <v>21174.5</v>
      </c>
      <c r="I140" s="165" t="s">
        <v>520</v>
      </c>
      <c r="J140" s="166" t="s">
        <v>521</v>
      </c>
      <c r="K140" s="165">
        <v>21174.5</v>
      </c>
      <c r="L140" s="165" t="s">
        <v>522</v>
      </c>
      <c r="M140" s="166" t="s">
        <v>284</v>
      </c>
      <c r="N140" s="166" t="s">
        <v>92</v>
      </c>
      <c r="O140" s="167" t="s">
        <v>506</v>
      </c>
      <c r="P140" s="167" t="s">
        <v>507</v>
      </c>
    </row>
    <row r="141" spans="1:16" ht="12.75" customHeight="1" thickBot="1" x14ac:dyDescent="0.25">
      <c r="A141" s="14" t="str">
        <f t="shared" si="24"/>
        <v> BRNO 32 </v>
      </c>
      <c r="B141" s="5" t="str">
        <f t="shared" si="25"/>
        <v>II</v>
      </c>
      <c r="C141" s="14">
        <f t="shared" si="26"/>
        <v>51657.538800000002</v>
      </c>
      <c r="D141" s="25" t="str">
        <f t="shared" si="27"/>
        <v>vis</v>
      </c>
      <c r="E141" s="164">
        <f>VLOOKUP(C141,'Active 1'!C$21:E$966,3,FALSE)</f>
        <v>9989.0508168813722</v>
      </c>
      <c r="F141" s="5" t="s">
        <v>160</v>
      </c>
      <c r="G141" s="25" t="str">
        <f t="shared" si="28"/>
        <v>51657.5388</v>
      </c>
      <c r="H141" s="14">
        <f t="shared" si="29"/>
        <v>22601.5</v>
      </c>
      <c r="I141" s="165" t="s">
        <v>530</v>
      </c>
      <c r="J141" s="166" t="s">
        <v>531</v>
      </c>
      <c r="K141" s="165">
        <v>22601.5</v>
      </c>
      <c r="L141" s="165" t="s">
        <v>532</v>
      </c>
      <c r="M141" s="166" t="s">
        <v>284</v>
      </c>
      <c r="N141" s="166" t="s">
        <v>285</v>
      </c>
      <c r="O141" s="167" t="s">
        <v>533</v>
      </c>
      <c r="P141" s="167" t="s">
        <v>502</v>
      </c>
    </row>
    <row r="142" spans="1:16" ht="12.75" customHeight="1" thickBot="1" x14ac:dyDescent="0.25">
      <c r="A142" s="14" t="str">
        <f t="shared" si="24"/>
        <v> BRNO 32 </v>
      </c>
      <c r="B142" s="5" t="str">
        <f t="shared" si="25"/>
        <v>II</v>
      </c>
      <c r="C142" s="14">
        <f t="shared" si="26"/>
        <v>51658.444300000003</v>
      </c>
      <c r="D142" s="25" t="str">
        <f t="shared" si="27"/>
        <v>vis</v>
      </c>
      <c r="E142" s="164">
        <f>VLOOKUP(C142,'Active 1'!C$21:E$966,3,FALSE)</f>
        <v>9990.9721542934731</v>
      </c>
      <c r="F142" s="5" t="s">
        <v>160</v>
      </c>
      <c r="G142" s="25" t="str">
        <f t="shared" si="28"/>
        <v>51658.4443</v>
      </c>
      <c r="H142" s="14">
        <f t="shared" si="29"/>
        <v>22603.5</v>
      </c>
      <c r="I142" s="165" t="s">
        <v>534</v>
      </c>
      <c r="J142" s="166" t="s">
        <v>535</v>
      </c>
      <c r="K142" s="165">
        <v>22603.5</v>
      </c>
      <c r="L142" s="165" t="s">
        <v>536</v>
      </c>
      <c r="M142" s="166" t="s">
        <v>352</v>
      </c>
      <c r="N142" s="166"/>
      <c r="O142" s="167" t="s">
        <v>537</v>
      </c>
      <c r="P142" s="167" t="s">
        <v>502</v>
      </c>
    </row>
    <row r="143" spans="1:16" ht="12.75" customHeight="1" thickBot="1" x14ac:dyDescent="0.25">
      <c r="A143" s="14" t="str">
        <f t="shared" si="24"/>
        <v> BRNO 32 </v>
      </c>
      <c r="B143" s="5" t="str">
        <f t="shared" si="25"/>
        <v>II</v>
      </c>
      <c r="C143" s="14">
        <f t="shared" si="26"/>
        <v>51667.4306</v>
      </c>
      <c r="D143" s="25" t="str">
        <f t="shared" si="27"/>
        <v>vis</v>
      </c>
      <c r="E143" s="164">
        <f>VLOOKUP(C143,'Active 1'!C$21:E$966,3,FALSE)</f>
        <v>10010.039757149734</v>
      </c>
      <c r="F143" s="5" t="s">
        <v>160</v>
      </c>
      <c r="G143" s="25" t="str">
        <f t="shared" si="28"/>
        <v>51667.4306</v>
      </c>
      <c r="H143" s="14">
        <f t="shared" si="29"/>
        <v>22623.5</v>
      </c>
      <c r="I143" s="165" t="s">
        <v>544</v>
      </c>
      <c r="J143" s="166" t="s">
        <v>545</v>
      </c>
      <c r="K143" s="165">
        <v>22623.5</v>
      </c>
      <c r="L143" s="165" t="s">
        <v>546</v>
      </c>
      <c r="M143" s="166" t="s">
        <v>352</v>
      </c>
      <c r="N143" s="166"/>
      <c r="O143" s="167" t="s">
        <v>537</v>
      </c>
      <c r="P143" s="167" t="s">
        <v>502</v>
      </c>
    </row>
    <row r="144" spans="1:16" ht="12.75" customHeight="1" thickBot="1" x14ac:dyDescent="0.25">
      <c r="A144" s="14" t="str">
        <f t="shared" si="24"/>
        <v> BRNO 32 </v>
      </c>
      <c r="B144" s="5" t="str">
        <f t="shared" si="25"/>
        <v>II</v>
      </c>
      <c r="C144" s="14">
        <f t="shared" si="26"/>
        <v>51678.511400000003</v>
      </c>
      <c r="D144" s="25" t="str">
        <f t="shared" si="27"/>
        <v>vis</v>
      </c>
      <c r="E144" s="164">
        <f>VLOOKUP(C144,'Active 1'!C$21:E$966,3,FALSE)</f>
        <v>10033.551580005615</v>
      </c>
      <c r="F144" s="5" t="s">
        <v>160</v>
      </c>
      <c r="G144" s="25" t="str">
        <f t="shared" si="28"/>
        <v>51678.5114</v>
      </c>
      <c r="H144" s="14">
        <f t="shared" si="29"/>
        <v>22648.5</v>
      </c>
      <c r="I144" s="165" t="s">
        <v>547</v>
      </c>
      <c r="J144" s="166" t="s">
        <v>548</v>
      </c>
      <c r="K144" s="165">
        <v>22648.5</v>
      </c>
      <c r="L144" s="165" t="s">
        <v>549</v>
      </c>
      <c r="M144" s="166" t="s">
        <v>284</v>
      </c>
      <c r="N144" s="166" t="s">
        <v>285</v>
      </c>
      <c r="O144" s="167" t="s">
        <v>550</v>
      </c>
      <c r="P144" s="167" t="s">
        <v>502</v>
      </c>
    </row>
    <row r="145" spans="1:16" ht="12.75" customHeight="1" thickBot="1" x14ac:dyDescent="0.25">
      <c r="A145" s="14" t="str">
        <f t="shared" si="24"/>
        <v> BBS 125 </v>
      </c>
      <c r="B145" s="5" t="str">
        <f t="shared" si="25"/>
        <v>II</v>
      </c>
      <c r="C145" s="14">
        <f t="shared" si="26"/>
        <v>52065.444000000003</v>
      </c>
      <c r="D145" s="25" t="str">
        <f t="shared" si="27"/>
        <v>vis</v>
      </c>
      <c r="E145" s="164">
        <f>VLOOKUP(C145,'Active 1'!C$21:E$966,3,FALSE)</f>
        <v>10854.565473259037</v>
      </c>
      <c r="F145" s="5" t="s">
        <v>160</v>
      </c>
      <c r="G145" s="25" t="str">
        <f t="shared" si="28"/>
        <v>52065.444</v>
      </c>
      <c r="H145" s="14">
        <f t="shared" si="29"/>
        <v>23515.5</v>
      </c>
      <c r="I145" s="165" t="s">
        <v>564</v>
      </c>
      <c r="J145" s="166" t="s">
        <v>565</v>
      </c>
      <c r="K145" s="165">
        <v>23515.5</v>
      </c>
      <c r="L145" s="165" t="s">
        <v>566</v>
      </c>
      <c r="M145" s="166" t="s">
        <v>284</v>
      </c>
      <c r="N145" s="166" t="s">
        <v>285</v>
      </c>
      <c r="O145" s="167" t="s">
        <v>314</v>
      </c>
      <c r="P145" s="167" t="s">
        <v>567</v>
      </c>
    </row>
    <row r="146" spans="1:16" ht="12.75" customHeight="1" thickBot="1" x14ac:dyDescent="0.25">
      <c r="A146" s="14" t="str">
        <f t="shared" si="24"/>
        <v>IBVS 5493 </v>
      </c>
      <c r="B146" s="5" t="str">
        <f t="shared" si="25"/>
        <v>II</v>
      </c>
      <c r="C146" s="14">
        <f t="shared" si="26"/>
        <v>52701.922700000003</v>
      </c>
      <c r="D146" s="25" t="str">
        <f t="shared" si="27"/>
        <v>vis</v>
      </c>
      <c r="E146" s="164" t="e">
        <f>VLOOKUP(C146,'Active 1'!C$21:E$966,3,FALSE)</f>
        <v>#N/A</v>
      </c>
      <c r="F146" s="5" t="s">
        <v>160</v>
      </c>
      <c r="G146" s="25" t="str">
        <f t="shared" si="28"/>
        <v>52701.9227</v>
      </c>
      <c r="H146" s="14">
        <f t="shared" si="29"/>
        <v>24941.5</v>
      </c>
      <c r="I146" s="165" t="s">
        <v>576</v>
      </c>
      <c r="J146" s="166" t="s">
        <v>577</v>
      </c>
      <c r="K146" s="165">
        <v>24941.5</v>
      </c>
      <c r="L146" s="165" t="s">
        <v>578</v>
      </c>
      <c r="M146" s="166" t="s">
        <v>284</v>
      </c>
      <c r="N146" s="166" t="s">
        <v>285</v>
      </c>
      <c r="O146" s="167" t="s">
        <v>506</v>
      </c>
      <c r="P146" s="168" t="s">
        <v>579</v>
      </c>
    </row>
    <row r="147" spans="1:16" ht="12.75" customHeight="1" thickBot="1" x14ac:dyDescent="0.25">
      <c r="A147" s="14" t="str">
        <f t="shared" si="24"/>
        <v>IBVS 5760 </v>
      </c>
      <c r="B147" s="5" t="str">
        <f t="shared" si="25"/>
        <v>I</v>
      </c>
      <c r="C147" s="14">
        <f t="shared" si="26"/>
        <v>53784.011500000001</v>
      </c>
      <c r="D147" s="25" t="str">
        <f t="shared" si="27"/>
        <v>vis</v>
      </c>
      <c r="E147" s="164" t="e">
        <f>VLOOKUP(C147,'Active 1'!C$21:E$966,3,FALSE)</f>
        <v>#N/A</v>
      </c>
      <c r="F147" s="5" t="s">
        <v>160</v>
      </c>
      <c r="G147" s="25" t="str">
        <f t="shared" si="28"/>
        <v>53784.0115</v>
      </c>
      <c r="H147" s="14">
        <f t="shared" si="29"/>
        <v>27366</v>
      </c>
      <c r="I147" s="165" t="s">
        <v>623</v>
      </c>
      <c r="J147" s="166" t="s">
        <v>624</v>
      </c>
      <c r="K147" s="165" t="s">
        <v>625</v>
      </c>
      <c r="L147" s="165" t="s">
        <v>626</v>
      </c>
      <c r="M147" s="166" t="s">
        <v>541</v>
      </c>
      <c r="N147" s="166" t="s">
        <v>135</v>
      </c>
      <c r="O147" s="167" t="s">
        <v>616</v>
      </c>
      <c r="P147" s="168" t="s">
        <v>627</v>
      </c>
    </row>
    <row r="148" spans="1:16" ht="12.75" customHeight="1" thickBot="1" x14ac:dyDescent="0.25">
      <c r="A148" s="14" t="str">
        <f t="shared" si="24"/>
        <v>VSB 50 </v>
      </c>
      <c r="B148" s="5" t="str">
        <f t="shared" si="25"/>
        <v>II</v>
      </c>
      <c r="C148" s="14">
        <f t="shared" si="26"/>
        <v>54963.188300000002</v>
      </c>
      <c r="D148" s="25" t="str">
        <f t="shared" si="27"/>
        <v>vis</v>
      </c>
      <c r="E148" s="164">
        <f>VLOOKUP(C148,'Active 1'!C$21:E$966,3,FALSE)</f>
        <v>17003.151375289286</v>
      </c>
      <c r="F148" s="5" t="s">
        <v>160</v>
      </c>
      <c r="G148" s="25" t="str">
        <f t="shared" si="28"/>
        <v>54963.1883</v>
      </c>
      <c r="H148" s="14">
        <f t="shared" si="29"/>
        <v>30008.5</v>
      </c>
      <c r="I148" s="165" t="s">
        <v>698</v>
      </c>
      <c r="J148" s="166" t="s">
        <v>699</v>
      </c>
      <c r="K148" s="165" t="s">
        <v>700</v>
      </c>
      <c r="L148" s="165" t="s">
        <v>701</v>
      </c>
      <c r="M148" s="166" t="s">
        <v>541</v>
      </c>
      <c r="N148" s="166" t="s">
        <v>702</v>
      </c>
      <c r="O148" s="167" t="s">
        <v>703</v>
      </c>
      <c r="P148" s="168" t="s">
        <v>704</v>
      </c>
    </row>
    <row r="149" spans="1:16" ht="12.75" customHeight="1" thickBot="1" x14ac:dyDescent="0.25">
      <c r="A149" s="14" t="str">
        <f t="shared" si="24"/>
        <v>OEJV 0137 </v>
      </c>
      <c r="B149" s="5" t="str">
        <f t="shared" si="25"/>
        <v>I</v>
      </c>
      <c r="C149" s="14">
        <f t="shared" si="26"/>
        <v>55050.378599999996</v>
      </c>
      <c r="D149" s="25" t="str">
        <f t="shared" si="27"/>
        <v>vis</v>
      </c>
      <c r="E149" s="164">
        <f>VLOOKUP(C149,'Active 1'!C$21:E$966,3,FALSE)</f>
        <v>17188.156328753867</v>
      </c>
      <c r="F149" s="5" t="s">
        <v>160</v>
      </c>
      <c r="G149" s="25" t="str">
        <f t="shared" si="28"/>
        <v>55050.3786</v>
      </c>
      <c r="H149" s="14">
        <f t="shared" si="29"/>
        <v>30204</v>
      </c>
      <c r="I149" s="165" t="s">
        <v>718</v>
      </c>
      <c r="J149" s="166" t="s">
        <v>719</v>
      </c>
      <c r="K149" s="165" t="s">
        <v>720</v>
      </c>
      <c r="L149" s="165" t="s">
        <v>721</v>
      </c>
      <c r="M149" s="166" t="s">
        <v>541</v>
      </c>
      <c r="N149" s="166" t="s">
        <v>135</v>
      </c>
      <c r="O149" s="167" t="s">
        <v>722</v>
      </c>
      <c r="P149" s="168" t="s">
        <v>723</v>
      </c>
    </row>
    <row r="150" spans="1:16" ht="12.75" customHeight="1" thickBot="1" x14ac:dyDescent="0.25">
      <c r="A150" s="14" t="str">
        <f t="shared" si="24"/>
        <v>OEJV 0137 </v>
      </c>
      <c r="B150" s="5" t="str">
        <f t="shared" si="25"/>
        <v>I</v>
      </c>
      <c r="C150" s="14">
        <f t="shared" si="26"/>
        <v>55050.378700000001</v>
      </c>
      <c r="D150" s="25" t="str">
        <f t="shared" si="27"/>
        <v>vis</v>
      </c>
      <c r="E150" s="164">
        <f>VLOOKUP(C150,'Active 1'!C$21:E$966,3,FALSE)</f>
        <v>17188.156540939122</v>
      </c>
      <c r="F150" s="5" t="s">
        <v>160</v>
      </c>
      <c r="G150" s="25" t="str">
        <f t="shared" si="28"/>
        <v>55050.3787</v>
      </c>
      <c r="H150" s="14">
        <f t="shared" si="29"/>
        <v>30204</v>
      </c>
      <c r="I150" s="165" t="s">
        <v>724</v>
      </c>
      <c r="J150" s="166" t="s">
        <v>719</v>
      </c>
      <c r="K150" s="165" t="s">
        <v>720</v>
      </c>
      <c r="L150" s="165" t="s">
        <v>725</v>
      </c>
      <c r="M150" s="166" t="s">
        <v>541</v>
      </c>
      <c r="N150" s="166" t="s">
        <v>64</v>
      </c>
      <c r="O150" s="167" t="s">
        <v>722</v>
      </c>
      <c r="P150" s="168" t="s">
        <v>723</v>
      </c>
    </row>
    <row r="151" spans="1:16" ht="12.75" customHeight="1" thickBot="1" x14ac:dyDescent="0.25">
      <c r="A151" s="14" t="str">
        <f t="shared" si="24"/>
        <v>OEJV 0137 </v>
      </c>
      <c r="B151" s="5" t="str">
        <f t="shared" si="25"/>
        <v>I</v>
      </c>
      <c r="C151" s="14">
        <f t="shared" si="26"/>
        <v>55050.379099999998</v>
      </c>
      <c r="D151" s="25" t="str">
        <f t="shared" si="27"/>
        <v>vis</v>
      </c>
      <c r="E151" s="164">
        <f>VLOOKUP(C151,'Active 1'!C$21:E$966,3,FALSE)</f>
        <v>17188.157389680106</v>
      </c>
      <c r="F151" s="5" t="s">
        <v>160</v>
      </c>
      <c r="G151" s="25" t="str">
        <f t="shared" si="28"/>
        <v>55050.3791</v>
      </c>
      <c r="H151" s="14">
        <f t="shared" si="29"/>
        <v>30204</v>
      </c>
      <c r="I151" s="165" t="s">
        <v>726</v>
      </c>
      <c r="J151" s="166" t="s">
        <v>719</v>
      </c>
      <c r="K151" s="165" t="s">
        <v>720</v>
      </c>
      <c r="L151" s="165" t="s">
        <v>727</v>
      </c>
      <c r="M151" s="166" t="s">
        <v>541</v>
      </c>
      <c r="N151" s="166" t="s">
        <v>160</v>
      </c>
      <c r="O151" s="167" t="s">
        <v>722</v>
      </c>
      <c r="P151" s="168" t="s">
        <v>723</v>
      </c>
    </row>
    <row r="152" spans="1:16" ht="12.75" customHeight="1" thickBot="1" x14ac:dyDescent="0.25">
      <c r="A152" s="14" t="str">
        <f t="shared" si="24"/>
        <v>BAVM 212 </v>
      </c>
      <c r="B152" s="5" t="str">
        <f t="shared" si="25"/>
        <v>I</v>
      </c>
      <c r="C152" s="14">
        <f t="shared" si="26"/>
        <v>55058.390700000004</v>
      </c>
      <c r="D152" s="25" t="str">
        <f t="shared" si="27"/>
        <v>vis</v>
      </c>
      <c r="E152" s="164">
        <f>VLOOKUP(C152,'Active 1'!C$21:E$966,3,FALSE)</f>
        <v>17205.156822933324</v>
      </c>
      <c r="F152" s="5" t="s">
        <v>160</v>
      </c>
      <c r="G152" s="25" t="str">
        <f t="shared" si="28"/>
        <v>55058.3907</v>
      </c>
      <c r="H152" s="14">
        <f t="shared" si="29"/>
        <v>30222</v>
      </c>
      <c r="I152" s="165" t="s">
        <v>728</v>
      </c>
      <c r="J152" s="166" t="s">
        <v>729</v>
      </c>
      <c r="K152" s="165" t="s">
        <v>730</v>
      </c>
      <c r="L152" s="165" t="s">
        <v>731</v>
      </c>
      <c r="M152" s="166" t="s">
        <v>541</v>
      </c>
      <c r="N152" s="166"/>
      <c r="O152" s="167" t="s">
        <v>732</v>
      </c>
      <c r="P152" s="168" t="s">
        <v>733</v>
      </c>
    </row>
    <row r="153" spans="1:16" ht="12.75" customHeight="1" thickBot="1" x14ac:dyDescent="0.25">
      <c r="A153" s="14" t="str">
        <f t="shared" si="24"/>
        <v>BAVM 212 </v>
      </c>
      <c r="B153" s="5" t="str">
        <f t="shared" si="25"/>
        <v>I</v>
      </c>
      <c r="C153" s="14">
        <f t="shared" si="26"/>
        <v>55125.315199999997</v>
      </c>
      <c r="D153" s="25" t="str">
        <f t="shared" si="27"/>
        <v>vis</v>
      </c>
      <c r="E153" s="164">
        <f>VLOOKUP(C153,'Active 1'!C$21:E$966,3,FALSE)</f>
        <v>17347.160738599858</v>
      </c>
      <c r="F153" s="5" t="s">
        <v>160</v>
      </c>
      <c r="G153" s="25" t="str">
        <f t="shared" si="28"/>
        <v>55125.3152</v>
      </c>
      <c r="H153" s="14">
        <f t="shared" si="29"/>
        <v>30372</v>
      </c>
      <c r="I153" s="165" t="s">
        <v>747</v>
      </c>
      <c r="J153" s="166" t="s">
        <v>748</v>
      </c>
      <c r="K153" s="165" t="s">
        <v>749</v>
      </c>
      <c r="L153" s="165" t="s">
        <v>750</v>
      </c>
      <c r="M153" s="166" t="s">
        <v>541</v>
      </c>
      <c r="N153" s="166"/>
      <c r="O153" s="167" t="s">
        <v>732</v>
      </c>
      <c r="P153" s="168" t="s">
        <v>733</v>
      </c>
    </row>
    <row r="154" spans="1:16" ht="12.75" customHeight="1" thickBot="1" x14ac:dyDescent="0.25">
      <c r="A154" s="14" t="str">
        <f t="shared" si="24"/>
        <v>VSB 51 </v>
      </c>
      <c r="B154" s="5" t="str">
        <f t="shared" si="25"/>
        <v>I</v>
      </c>
      <c r="C154" s="14">
        <f t="shared" si="26"/>
        <v>55350.123800000001</v>
      </c>
      <c r="D154" s="25" t="str">
        <f t="shared" si="27"/>
        <v>vis</v>
      </c>
      <c r="E154" s="164">
        <f>VLOOKUP(C154,'Active 1'!C$21:E$966,3,FALSE)</f>
        <v>17824.171421914871</v>
      </c>
      <c r="F154" s="5" t="s">
        <v>160</v>
      </c>
      <c r="G154" s="25" t="str">
        <f t="shared" si="28"/>
        <v>55350.1238</v>
      </c>
      <c r="H154" s="14">
        <f t="shared" si="29"/>
        <v>30876</v>
      </c>
      <c r="I154" s="165" t="s">
        <v>751</v>
      </c>
      <c r="J154" s="166" t="s">
        <v>752</v>
      </c>
      <c r="K154" s="165">
        <v>30876</v>
      </c>
      <c r="L154" s="165" t="s">
        <v>753</v>
      </c>
      <c r="M154" s="166" t="s">
        <v>541</v>
      </c>
      <c r="N154" s="166" t="s">
        <v>160</v>
      </c>
      <c r="O154" s="167" t="s">
        <v>754</v>
      </c>
      <c r="P154" s="168" t="s">
        <v>755</v>
      </c>
    </row>
    <row r="155" spans="1:16" ht="12.75" customHeight="1" thickBot="1" x14ac:dyDescent="0.25">
      <c r="A155" s="14" t="str">
        <f t="shared" si="24"/>
        <v>OEJV 0137 </v>
      </c>
      <c r="B155" s="5" t="str">
        <f t="shared" si="25"/>
        <v>I</v>
      </c>
      <c r="C155" s="14">
        <f t="shared" si="26"/>
        <v>55352.475599999998</v>
      </c>
      <c r="D155" s="25" t="str">
        <f t="shared" si="27"/>
        <v>vis</v>
      </c>
      <c r="E155" s="164">
        <f>VLOOKUP(C155,'Active 1'!C$21:E$966,3,FALSE)</f>
        <v>17829.161594555146</v>
      </c>
      <c r="F155" s="5" t="s">
        <v>160</v>
      </c>
      <c r="G155" s="25" t="str">
        <f t="shared" si="28"/>
        <v>55352.4756</v>
      </c>
      <c r="H155" s="14">
        <f t="shared" si="29"/>
        <v>30881</v>
      </c>
      <c r="I155" s="165" t="s">
        <v>756</v>
      </c>
      <c r="J155" s="166" t="s">
        <v>757</v>
      </c>
      <c r="K155" s="165">
        <v>30881</v>
      </c>
      <c r="L155" s="165" t="s">
        <v>758</v>
      </c>
      <c r="M155" s="166" t="s">
        <v>541</v>
      </c>
      <c r="N155" s="166" t="s">
        <v>135</v>
      </c>
      <c r="O155" s="167" t="s">
        <v>722</v>
      </c>
      <c r="P155" s="168" t="s">
        <v>723</v>
      </c>
    </row>
    <row r="156" spans="1:16" ht="12.75" customHeight="1" thickBot="1" x14ac:dyDescent="0.25">
      <c r="A156" s="14" t="str">
        <f t="shared" si="24"/>
        <v>OEJV 0137 </v>
      </c>
      <c r="B156" s="5" t="str">
        <f t="shared" si="25"/>
        <v>I</v>
      </c>
      <c r="C156" s="14">
        <f t="shared" si="26"/>
        <v>55352.476900000001</v>
      </c>
      <c r="D156" s="25" t="str">
        <f t="shared" si="27"/>
        <v>vis</v>
      </c>
      <c r="E156" s="164">
        <f>VLOOKUP(C156,'Active 1'!C$21:E$966,3,FALSE)</f>
        <v>17829.164352963366</v>
      </c>
      <c r="F156" s="5" t="s">
        <v>160</v>
      </c>
      <c r="G156" s="25" t="str">
        <f t="shared" si="28"/>
        <v>55352.4769</v>
      </c>
      <c r="H156" s="14">
        <f t="shared" si="29"/>
        <v>30881</v>
      </c>
      <c r="I156" s="165" t="s">
        <v>759</v>
      </c>
      <c r="J156" s="166" t="s">
        <v>760</v>
      </c>
      <c r="K156" s="165">
        <v>30881</v>
      </c>
      <c r="L156" s="165" t="s">
        <v>761</v>
      </c>
      <c r="M156" s="166" t="s">
        <v>541</v>
      </c>
      <c r="N156" s="166" t="s">
        <v>160</v>
      </c>
      <c r="O156" s="167" t="s">
        <v>722</v>
      </c>
      <c r="P156" s="168" t="s">
        <v>723</v>
      </c>
    </row>
    <row r="157" spans="1:16" ht="12.75" customHeight="1" thickBot="1" x14ac:dyDescent="0.25">
      <c r="A157" s="14" t="str">
        <f t="shared" si="24"/>
        <v>OEJV 0137 </v>
      </c>
      <c r="B157" s="5" t="str">
        <f t="shared" si="25"/>
        <v>I</v>
      </c>
      <c r="C157" s="14">
        <f t="shared" si="26"/>
        <v>55352.477500000001</v>
      </c>
      <c r="D157" s="25" t="str">
        <f t="shared" si="27"/>
        <v>vis</v>
      </c>
      <c r="E157" s="164">
        <f>VLOOKUP(C157,'Active 1'!C$21:E$966,3,FALSE)</f>
        <v>17829.165626074846</v>
      </c>
      <c r="F157" s="5" t="s">
        <v>160</v>
      </c>
      <c r="G157" s="25" t="str">
        <f t="shared" si="28"/>
        <v>55352.4775</v>
      </c>
      <c r="H157" s="14">
        <f t="shared" si="29"/>
        <v>30881</v>
      </c>
      <c r="I157" s="165" t="s">
        <v>762</v>
      </c>
      <c r="J157" s="166" t="s">
        <v>763</v>
      </c>
      <c r="K157" s="165">
        <v>30881</v>
      </c>
      <c r="L157" s="165" t="s">
        <v>764</v>
      </c>
      <c r="M157" s="166" t="s">
        <v>541</v>
      </c>
      <c r="N157" s="166" t="s">
        <v>64</v>
      </c>
      <c r="O157" s="167" t="s">
        <v>722</v>
      </c>
      <c r="P157" s="168" t="s">
        <v>723</v>
      </c>
    </row>
    <row r="158" spans="1:16" ht="12.75" customHeight="1" thickBot="1" x14ac:dyDescent="0.25">
      <c r="A158" s="14" t="str">
        <f t="shared" si="24"/>
        <v>IBVS 6044 </v>
      </c>
      <c r="B158" s="5" t="str">
        <f t="shared" si="25"/>
        <v>I</v>
      </c>
      <c r="C158" s="14">
        <f t="shared" si="26"/>
        <v>55629.6014</v>
      </c>
      <c r="D158" s="25" t="str">
        <f t="shared" si="27"/>
        <v>vis</v>
      </c>
      <c r="E158" s="164">
        <f>VLOOKUP(C158,'Active 1'!C$21:E$966,3,FALSE)</f>
        <v>18417.181657943369</v>
      </c>
      <c r="F158" s="5" t="s">
        <v>160</v>
      </c>
      <c r="G158" s="25" t="str">
        <f t="shared" si="28"/>
        <v>55629.6014</v>
      </c>
      <c r="H158" s="14">
        <f t="shared" si="29"/>
        <v>31502</v>
      </c>
      <c r="I158" s="165" t="s">
        <v>778</v>
      </c>
      <c r="J158" s="166" t="s">
        <v>779</v>
      </c>
      <c r="K158" s="165">
        <v>31502</v>
      </c>
      <c r="L158" s="165" t="s">
        <v>780</v>
      </c>
      <c r="M158" s="166" t="s">
        <v>541</v>
      </c>
      <c r="N158" s="166" t="s">
        <v>160</v>
      </c>
      <c r="O158" s="167" t="s">
        <v>683</v>
      </c>
      <c r="P158" s="168" t="s">
        <v>781</v>
      </c>
    </row>
    <row r="159" spans="1:16" ht="12.75" customHeight="1" thickBot="1" x14ac:dyDescent="0.25">
      <c r="A159" s="14" t="str">
        <f t="shared" si="24"/>
        <v>VSB 55 </v>
      </c>
      <c r="B159" s="5" t="str">
        <f t="shared" si="25"/>
        <v>I</v>
      </c>
      <c r="C159" s="14">
        <f t="shared" si="26"/>
        <v>56060.127399999998</v>
      </c>
      <c r="D159" s="25" t="str">
        <f t="shared" si="27"/>
        <v>vis</v>
      </c>
      <c r="E159" s="164">
        <f>VLOOKUP(C159,'Active 1'!C$21:E$966,3,FALSE)</f>
        <v>19330.694314687262</v>
      </c>
      <c r="F159" s="5" t="s">
        <v>160</v>
      </c>
      <c r="G159" s="25" t="str">
        <f t="shared" si="28"/>
        <v>56060.1274</v>
      </c>
      <c r="H159" s="14">
        <f t="shared" si="29"/>
        <v>32467</v>
      </c>
      <c r="I159" s="165" t="s">
        <v>797</v>
      </c>
      <c r="J159" s="166" t="s">
        <v>798</v>
      </c>
      <c r="K159" s="165">
        <v>32467</v>
      </c>
      <c r="L159" s="165" t="s">
        <v>799</v>
      </c>
      <c r="M159" s="166" t="s">
        <v>541</v>
      </c>
      <c r="N159" s="166" t="s">
        <v>702</v>
      </c>
      <c r="O159" s="167" t="s">
        <v>800</v>
      </c>
      <c r="P159" s="168" t="s">
        <v>801</v>
      </c>
    </row>
    <row r="160" spans="1:16" ht="12.75" customHeight="1" thickBot="1" x14ac:dyDescent="0.25">
      <c r="A160" s="14" t="str">
        <f t="shared" si="24"/>
        <v>IBVS 6044 </v>
      </c>
      <c r="B160" s="5" t="str">
        <f t="shared" si="25"/>
        <v>I</v>
      </c>
      <c r="C160" s="14">
        <f t="shared" si="26"/>
        <v>56159.336000000003</v>
      </c>
      <c r="D160" s="25" t="str">
        <f t="shared" si="27"/>
        <v>vis</v>
      </c>
      <c r="E160" s="164">
        <f>VLOOKUP(C160,'Active 1'!C$21:E$966,3,FALSE)</f>
        <v>19541.200327698894</v>
      </c>
      <c r="F160" s="5" t="s">
        <v>160</v>
      </c>
      <c r="G160" s="25" t="str">
        <f t="shared" si="28"/>
        <v>56159.3360</v>
      </c>
      <c r="H160" s="14">
        <f t="shared" si="29"/>
        <v>32689</v>
      </c>
      <c r="I160" s="165" t="s">
        <v>811</v>
      </c>
      <c r="J160" s="166" t="s">
        <v>812</v>
      </c>
      <c r="K160" s="165" t="s">
        <v>813</v>
      </c>
      <c r="L160" s="165" t="s">
        <v>814</v>
      </c>
      <c r="M160" s="166" t="s">
        <v>541</v>
      </c>
      <c r="N160" s="166" t="s">
        <v>135</v>
      </c>
      <c r="O160" s="167" t="s">
        <v>683</v>
      </c>
      <c r="P160" s="168" t="s">
        <v>781</v>
      </c>
    </row>
    <row r="161" spans="2:6" x14ac:dyDescent="0.2">
      <c r="B161" s="5"/>
      <c r="E161" s="164"/>
      <c r="F161" s="5"/>
    </row>
    <row r="162" spans="2:6" x14ac:dyDescent="0.2">
      <c r="B162" s="5"/>
      <c r="E162" s="164"/>
      <c r="F162" s="5"/>
    </row>
    <row r="163" spans="2:6" x14ac:dyDescent="0.2">
      <c r="B163" s="5"/>
      <c r="E163" s="164"/>
      <c r="F163" s="5"/>
    </row>
    <row r="164" spans="2:6" x14ac:dyDescent="0.2">
      <c r="B164" s="5"/>
      <c r="E164" s="164"/>
      <c r="F164" s="5"/>
    </row>
    <row r="165" spans="2:6" x14ac:dyDescent="0.2">
      <c r="B165" s="5"/>
      <c r="E165" s="164"/>
      <c r="F165" s="5"/>
    </row>
    <row r="166" spans="2:6" x14ac:dyDescent="0.2">
      <c r="B166" s="5"/>
      <c r="E166" s="164"/>
      <c r="F166" s="5"/>
    </row>
    <row r="167" spans="2:6" x14ac:dyDescent="0.2">
      <c r="B167" s="5"/>
      <c r="E167" s="164"/>
      <c r="F167" s="5"/>
    </row>
    <row r="168" spans="2:6" x14ac:dyDescent="0.2">
      <c r="B168" s="5"/>
      <c r="E168" s="164"/>
      <c r="F168" s="5"/>
    </row>
    <row r="169" spans="2:6" x14ac:dyDescent="0.2">
      <c r="B169" s="5"/>
      <c r="E169" s="164"/>
      <c r="F169" s="5"/>
    </row>
    <row r="170" spans="2:6" x14ac:dyDescent="0.2">
      <c r="B170" s="5"/>
      <c r="E170" s="164"/>
      <c r="F170" s="5"/>
    </row>
    <row r="171" spans="2:6" x14ac:dyDescent="0.2">
      <c r="B171" s="5"/>
      <c r="E171" s="164"/>
      <c r="F171" s="5"/>
    </row>
    <row r="172" spans="2:6" x14ac:dyDescent="0.2">
      <c r="B172" s="5"/>
      <c r="E172" s="164"/>
      <c r="F172" s="5"/>
    </row>
    <row r="173" spans="2:6" x14ac:dyDescent="0.2">
      <c r="B173" s="5"/>
      <c r="E173" s="164"/>
      <c r="F173" s="5"/>
    </row>
    <row r="174" spans="2:6" x14ac:dyDescent="0.2">
      <c r="B174" s="5"/>
      <c r="E174" s="164"/>
      <c r="F174" s="5"/>
    </row>
    <row r="175" spans="2:6" x14ac:dyDescent="0.2">
      <c r="B175" s="5"/>
      <c r="E175" s="164"/>
      <c r="F175" s="5"/>
    </row>
    <row r="176" spans="2:6" x14ac:dyDescent="0.2">
      <c r="B176" s="5"/>
      <c r="E176" s="164"/>
      <c r="F176" s="5"/>
    </row>
    <row r="177" spans="2:6" x14ac:dyDescent="0.2">
      <c r="B177" s="5"/>
      <c r="E177" s="164"/>
      <c r="F177" s="5"/>
    </row>
    <row r="178" spans="2:6" x14ac:dyDescent="0.2">
      <c r="B178" s="5"/>
      <c r="E178" s="164"/>
      <c r="F178" s="5"/>
    </row>
    <row r="179" spans="2:6" x14ac:dyDescent="0.2">
      <c r="B179" s="5"/>
      <c r="E179" s="164"/>
      <c r="F179" s="5"/>
    </row>
    <row r="180" spans="2:6" x14ac:dyDescent="0.2">
      <c r="B180" s="5"/>
      <c r="E180" s="164"/>
      <c r="F180" s="5"/>
    </row>
    <row r="181" spans="2:6" x14ac:dyDescent="0.2">
      <c r="B181" s="5"/>
      <c r="E181" s="164"/>
      <c r="F181" s="5"/>
    </row>
    <row r="182" spans="2:6" x14ac:dyDescent="0.2">
      <c r="B182" s="5"/>
      <c r="E182" s="164"/>
      <c r="F182" s="5"/>
    </row>
    <row r="183" spans="2:6" x14ac:dyDescent="0.2">
      <c r="B183" s="5"/>
      <c r="E183" s="164"/>
      <c r="F183" s="5"/>
    </row>
    <row r="184" spans="2:6" x14ac:dyDescent="0.2">
      <c r="B184" s="5"/>
      <c r="E184" s="164"/>
      <c r="F184" s="5"/>
    </row>
    <row r="185" spans="2:6" x14ac:dyDescent="0.2">
      <c r="B185" s="5"/>
      <c r="E185" s="164"/>
      <c r="F185" s="5"/>
    </row>
    <row r="186" spans="2:6" x14ac:dyDescent="0.2">
      <c r="B186" s="5"/>
      <c r="E186" s="164"/>
      <c r="F186" s="5"/>
    </row>
    <row r="187" spans="2:6" x14ac:dyDescent="0.2">
      <c r="B187" s="5"/>
      <c r="E187" s="164"/>
      <c r="F187" s="5"/>
    </row>
    <row r="188" spans="2:6" x14ac:dyDescent="0.2">
      <c r="B188" s="5"/>
      <c r="E188" s="164"/>
      <c r="F188" s="5"/>
    </row>
    <row r="189" spans="2:6" x14ac:dyDescent="0.2">
      <c r="B189" s="5"/>
      <c r="E189" s="164"/>
      <c r="F189" s="5"/>
    </row>
    <row r="190" spans="2:6" x14ac:dyDescent="0.2">
      <c r="B190" s="5"/>
      <c r="E190" s="164"/>
      <c r="F190" s="5"/>
    </row>
    <row r="191" spans="2:6" x14ac:dyDescent="0.2">
      <c r="B191" s="5"/>
      <c r="E191" s="164"/>
      <c r="F191" s="5"/>
    </row>
    <row r="192" spans="2:6" x14ac:dyDescent="0.2">
      <c r="B192" s="5"/>
      <c r="E192" s="164"/>
      <c r="F192" s="5"/>
    </row>
    <row r="193" spans="2:6" x14ac:dyDescent="0.2">
      <c r="B193" s="5"/>
      <c r="E193" s="164"/>
      <c r="F193" s="5"/>
    </row>
    <row r="194" spans="2:6" x14ac:dyDescent="0.2">
      <c r="B194" s="5"/>
      <c r="E194" s="164"/>
      <c r="F194" s="5"/>
    </row>
    <row r="195" spans="2:6" x14ac:dyDescent="0.2">
      <c r="B195" s="5"/>
      <c r="E195" s="164"/>
      <c r="F195" s="5"/>
    </row>
    <row r="196" spans="2:6" x14ac:dyDescent="0.2">
      <c r="B196" s="5"/>
      <c r="E196" s="164"/>
      <c r="F196" s="5"/>
    </row>
    <row r="197" spans="2:6" x14ac:dyDescent="0.2">
      <c r="B197" s="5"/>
      <c r="E197" s="164"/>
      <c r="F197" s="5"/>
    </row>
    <row r="198" spans="2:6" x14ac:dyDescent="0.2">
      <c r="B198" s="5"/>
      <c r="E198" s="164"/>
      <c r="F198" s="5"/>
    </row>
    <row r="199" spans="2:6" x14ac:dyDescent="0.2">
      <c r="B199" s="5"/>
      <c r="E199" s="164"/>
      <c r="F199" s="5"/>
    </row>
    <row r="200" spans="2:6" x14ac:dyDescent="0.2">
      <c r="B200" s="5"/>
      <c r="E200" s="164"/>
      <c r="F200" s="5"/>
    </row>
    <row r="201" spans="2:6" x14ac:dyDescent="0.2">
      <c r="B201" s="5"/>
      <c r="E201" s="164"/>
      <c r="F201" s="5"/>
    </row>
    <row r="202" spans="2:6" x14ac:dyDescent="0.2">
      <c r="B202" s="5"/>
      <c r="E202" s="164"/>
      <c r="F202" s="5"/>
    </row>
    <row r="203" spans="2:6" x14ac:dyDescent="0.2">
      <c r="B203" s="5"/>
      <c r="E203" s="164"/>
      <c r="F203" s="5"/>
    </row>
    <row r="204" spans="2:6" x14ac:dyDescent="0.2">
      <c r="B204" s="5"/>
      <c r="E204" s="164"/>
      <c r="F204" s="5"/>
    </row>
    <row r="205" spans="2:6" x14ac:dyDescent="0.2">
      <c r="B205" s="5"/>
      <c r="E205" s="164"/>
      <c r="F205" s="5"/>
    </row>
    <row r="206" spans="2:6" x14ac:dyDescent="0.2">
      <c r="B206" s="5"/>
      <c r="E206" s="164"/>
      <c r="F206" s="5"/>
    </row>
    <row r="207" spans="2:6" x14ac:dyDescent="0.2">
      <c r="B207" s="5"/>
      <c r="E207" s="164"/>
      <c r="F207" s="5"/>
    </row>
    <row r="208" spans="2:6" x14ac:dyDescent="0.2">
      <c r="B208" s="5"/>
      <c r="E208" s="164"/>
      <c r="F208" s="5"/>
    </row>
    <row r="209" spans="2:6" x14ac:dyDescent="0.2">
      <c r="B209" s="5"/>
      <c r="E209" s="164"/>
      <c r="F209" s="5"/>
    </row>
    <row r="210" spans="2:6" x14ac:dyDescent="0.2">
      <c r="B210" s="5"/>
      <c r="E210" s="164"/>
      <c r="F210" s="5"/>
    </row>
    <row r="211" spans="2:6" x14ac:dyDescent="0.2">
      <c r="B211" s="5"/>
      <c r="E211" s="164"/>
      <c r="F211" s="5"/>
    </row>
    <row r="212" spans="2:6" x14ac:dyDescent="0.2">
      <c r="B212" s="5"/>
      <c r="E212" s="164"/>
      <c r="F212" s="5"/>
    </row>
    <row r="213" spans="2:6" x14ac:dyDescent="0.2">
      <c r="B213" s="5"/>
      <c r="E213" s="164"/>
      <c r="F213" s="5"/>
    </row>
    <row r="214" spans="2:6" x14ac:dyDescent="0.2">
      <c r="B214" s="5"/>
      <c r="E214" s="164"/>
      <c r="F214" s="5"/>
    </row>
    <row r="215" spans="2:6" x14ac:dyDescent="0.2">
      <c r="B215" s="5"/>
      <c r="E215" s="164"/>
      <c r="F215" s="5"/>
    </row>
    <row r="216" spans="2:6" x14ac:dyDescent="0.2">
      <c r="B216" s="5"/>
      <c r="E216" s="164"/>
      <c r="F216" s="5"/>
    </row>
    <row r="217" spans="2:6" x14ac:dyDescent="0.2">
      <c r="B217" s="5"/>
      <c r="E217" s="164"/>
      <c r="F217" s="5"/>
    </row>
    <row r="218" spans="2:6" x14ac:dyDescent="0.2">
      <c r="B218" s="5"/>
      <c r="E218" s="164"/>
      <c r="F218" s="5"/>
    </row>
    <row r="219" spans="2:6" x14ac:dyDescent="0.2">
      <c r="B219" s="5"/>
      <c r="E219" s="164"/>
      <c r="F219" s="5"/>
    </row>
    <row r="220" spans="2:6" x14ac:dyDescent="0.2">
      <c r="B220" s="5"/>
      <c r="E220" s="164"/>
      <c r="F220" s="5"/>
    </row>
    <row r="221" spans="2:6" x14ac:dyDescent="0.2">
      <c r="B221" s="5"/>
      <c r="E221" s="164"/>
      <c r="F221" s="5"/>
    </row>
    <row r="222" spans="2:6" x14ac:dyDescent="0.2">
      <c r="B222" s="5"/>
      <c r="E222" s="164"/>
      <c r="F222" s="5"/>
    </row>
    <row r="223" spans="2:6" x14ac:dyDescent="0.2">
      <c r="B223" s="5"/>
      <c r="E223" s="164"/>
      <c r="F223" s="5"/>
    </row>
    <row r="224" spans="2:6" x14ac:dyDescent="0.2">
      <c r="B224" s="5"/>
      <c r="E224" s="164"/>
      <c r="F224" s="5"/>
    </row>
    <row r="225" spans="2:6" x14ac:dyDescent="0.2">
      <c r="B225" s="5"/>
      <c r="E225" s="164"/>
      <c r="F225" s="5"/>
    </row>
    <row r="226" spans="2:6" x14ac:dyDescent="0.2">
      <c r="B226" s="5"/>
      <c r="E226" s="164"/>
      <c r="F226" s="5"/>
    </row>
    <row r="227" spans="2:6" x14ac:dyDescent="0.2">
      <c r="B227" s="5"/>
      <c r="E227" s="164"/>
      <c r="F227" s="5"/>
    </row>
    <row r="228" spans="2:6" x14ac:dyDescent="0.2">
      <c r="B228" s="5"/>
      <c r="E228" s="164"/>
      <c r="F228" s="5"/>
    </row>
    <row r="229" spans="2:6" x14ac:dyDescent="0.2">
      <c r="B229" s="5"/>
      <c r="E229" s="164"/>
      <c r="F229" s="5"/>
    </row>
    <row r="230" spans="2:6" x14ac:dyDescent="0.2">
      <c r="B230" s="5"/>
      <c r="E230" s="164"/>
      <c r="F230" s="5"/>
    </row>
    <row r="231" spans="2:6" x14ac:dyDescent="0.2">
      <c r="B231" s="5"/>
      <c r="E231" s="164"/>
      <c r="F231" s="5"/>
    </row>
    <row r="232" spans="2:6" x14ac:dyDescent="0.2">
      <c r="B232" s="5"/>
      <c r="E232" s="164"/>
      <c r="F232" s="5"/>
    </row>
    <row r="233" spans="2:6" x14ac:dyDescent="0.2">
      <c r="B233" s="5"/>
      <c r="E233" s="164"/>
      <c r="F233" s="5"/>
    </row>
    <row r="234" spans="2:6" x14ac:dyDescent="0.2">
      <c r="B234" s="5"/>
      <c r="E234" s="164"/>
      <c r="F234" s="5"/>
    </row>
    <row r="235" spans="2:6" x14ac:dyDescent="0.2">
      <c r="B235" s="5"/>
      <c r="E235" s="164"/>
      <c r="F235" s="5"/>
    </row>
    <row r="236" spans="2:6" x14ac:dyDescent="0.2">
      <c r="B236" s="5"/>
      <c r="E236" s="164"/>
      <c r="F236" s="5"/>
    </row>
    <row r="237" spans="2:6" x14ac:dyDescent="0.2">
      <c r="B237" s="5"/>
      <c r="E237" s="164"/>
      <c r="F237" s="5"/>
    </row>
    <row r="238" spans="2:6" x14ac:dyDescent="0.2">
      <c r="B238" s="5"/>
      <c r="E238" s="164"/>
      <c r="F238" s="5"/>
    </row>
    <row r="239" spans="2:6" x14ac:dyDescent="0.2">
      <c r="B239" s="5"/>
      <c r="E239" s="164"/>
      <c r="F239" s="5"/>
    </row>
    <row r="240" spans="2:6" x14ac:dyDescent="0.2">
      <c r="B240" s="5"/>
      <c r="E240" s="164"/>
      <c r="F240" s="5"/>
    </row>
    <row r="241" spans="2:6" x14ac:dyDescent="0.2">
      <c r="B241" s="5"/>
      <c r="E241" s="164"/>
      <c r="F241" s="5"/>
    </row>
    <row r="242" spans="2:6" x14ac:dyDescent="0.2">
      <c r="B242" s="5"/>
      <c r="E242" s="164"/>
      <c r="F242" s="5"/>
    </row>
    <row r="243" spans="2:6" x14ac:dyDescent="0.2">
      <c r="B243" s="5"/>
      <c r="E243" s="164"/>
      <c r="F243" s="5"/>
    </row>
    <row r="244" spans="2:6" x14ac:dyDescent="0.2">
      <c r="B244" s="5"/>
      <c r="E244" s="164"/>
      <c r="F244" s="5"/>
    </row>
    <row r="245" spans="2:6" x14ac:dyDescent="0.2">
      <c r="B245" s="5"/>
      <c r="E245" s="164"/>
      <c r="F245" s="5"/>
    </row>
    <row r="246" spans="2:6" x14ac:dyDescent="0.2">
      <c r="B246" s="5"/>
      <c r="E246" s="164"/>
      <c r="F246" s="5"/>
    </row>
    <row r="247" spans="2:6" x14ac:dyDescent="0.2">
      <c r="B247" s="5"/>
      <c r="E247" s="164"/>
      <c r="F247" s="5"/>
    </row>
    <row r="248" spans="2:6" x14ac:dyDescent="0.2">
      <c r="B248" s="5"/>
      <c r="E248" s="164"/>
      <c r="F248" s="5"/>
    </row>
    <row r="249" spans="2:6" x14ac:dyDescent="0.2">
      <c r="B249" s="5"/>
      <c r="E249" s="164"/>
      <c r="F249" s="5"/>
    </row>
    <row r="250" spans="2:6" x14ac:dyDescent="0.2">
      <c r="B250" s="5"/>
      <c r="E250" s="164"/>
      <c r="F250" s="5"/>
    </row>
    <row r="251" spans="2:6" x14ac:dyDescent="0.2">
      <c r="B251" s="5"/>
      <c r="E251" s="164"/>
      <c r="F251" s="5"/>
    </row>
    <row r="252" spans="2:6" x14ac:dyDescent="0.2">
      <c r="B252" s="5"/>
      <c r="E252" s="164"/>
      <c r="F252" s="5"/>
    </row>
    <row r="253" spans="2:6" x14ac:dyDescent="0.2">
      <c r="B253" s="5"/>
      <c r="E253" s="164"/>
      <c r="F253" s="5"/>
    </row>
    <row r="254" spans="2:6" x14ac:dyDescent="0.2">
      <c r="B254" s="5"/>
      <c r="E254" s="164"/>
      <c r="F254" s="5"/>
    </row>
    <row r="255" spans="2:6" x14ac:dyDescent="0.2">
      <c r="B255" s="5"/>
      <c r="E255" s="164"/>
      <c r="F255" s="5"/>
    </row>
    <row r="256" spans="2:6" x14ac:dyDescent="0.2">
      <c r="B256" s="5"/>
      <c r="E256" s="164"/>
      <c r="F256" s="5"/>
    </row>
    <row r="257" spans="2:6" x14ac:dyDescent="0.2">
      <c r="B257" s="5"/>
      <c r="E257" s="164"/>
      <c r="F257" s="5"/>
    </row>
    <row r="258" spans="2:6" x14ac:dyDescent="0.2">
      <c r="B258" s="5"/>
      <c r="E258" s="164"/>
      <c r="F258" s="5"/>
    </row>
    <row r="259" spans="2:6" x14ac:dyDescent="0.2">
      <c r="B259" s="5"/>
      <c r="E259" s="164"/>
      <c r="F259" s="5"/>
    </row>
    <row r="260" spans="2:6" x14ac:dyDescent="0.2">
      <c r="B260" s="5"/>
      <c r="E260" s="164"/>
      <c r="F260" s="5"/>
    </row>
    <row r="261" spans="2:6" x14ac:dyDescent="0.2">
      <c r="B261" s="5"/>
      <c r="E261" s="164"/>
      <c r="F261" s="5"/>
    </row>
    <row r="262" spans="2:6" x14ac:dyDescent="0.2">
      <c r="B262" s="5"/>
      <c r="E262" s="164"/>
      <c r="F262" s="5"/>
    </row>
    <row r="263" spans="2:6" x14ac:dyDescent="0.2">
      <c r="B263" s="5"/>
      <c r="E263" s="164"/>
      <c r="F263" s="5"/>
    </row>
    <row r="264" spans="2:6" x14ac:dyDescent="0.2">
      <c r="B264" s="5"/>
      <c r="E264" s="164"/>
      <c r="F264" s="5"/>
    </row>
    <row r="265" spans="2:6" x14ac:dyDescent="0.2">
      <c r="B265" s="5"/>
      <c r="E265" s="164"/>
      <c r="F265" s="5"/>
    </row>
    <row r="266" spans="2:6" x14ac:dyDescent="0.2">
      <c r="B266" s="5"/>
      <c r="E266" s="164"/>
      <c r="F266" s="5"/>
    </row>
    <row r="267" spans="2:6" x14ac:dyDescent="0.2">
      <c r="B267" s="5"/>
      <c r="E267" s="164"/>
      <c r="F267" s="5"/>
    </row>
    <row r="268" spans="2:6" x14ac:dyDescent="0.2">
      <c r="B268" s="5"/>
      <c r="E268" s="164"/>
      <c r="F268" s="5"/>
    </row>
    <row r="269" spans="2:6" x14ac:dyDescent="0.2">
      <c r="B269" s="5"/>
      <c r="E269" s="164"/>
      <c r="F269" s="5"/>
    </row>
    <row r="270" spans="2:6" x14ac:dyDescent="0.2">
      <c r="B270" s="5"/>
      <c r="E270" s="164"/>
      <c r="F270" s="5"/>
    </row>
    <row r="271" spans="2:6" x14ac:dyDescent="0.2">
      <c r="B271" s="5"/>
      <c r="E271" s="164"/>
      <c r="F271" s="5"/>
    </row>
    <row r="272" spans="2:6" x14ac:dyDescent="0.2">
      <c r="B272" s="5"/>
      <c r="E272" s="164"/>
      <c r="F272" s="5"/>
    </row>
    <row r="273" spans="2:6" x14ac:dyDescent="0.2">
      <c r="B273" s="5"/>
      <c r="E273" s="164"/>
      <c r="F273" s="5"/>
    </row>
    <row r="274" spans="2:6" x14ac:dyDescent="0.2">
      <c r="B274" s="5"/>
      <c r="E274" s="164"/>
      <c r="F274" s="5"/>
    </row>
    <row r="275" spans="2:6" x14ac:dyDescent="0.2">
      <c r="B275" s="5"/>
      <c r="E275" s="164"/>
      <c r="F275" s="5"/>
    </row>
    <row r="276" spans="2:6" x14ac:dyDescent="0.2">
      <c r="B276" s="5"/>
      <c r="E276" s="164"/>
      <c r="F276" s="5"/>
    </row>
    <row r="277" spans="2:6" x14ac:dyDescent="0.2">
      <c r="B277" s="5"/>
      <c r="E277" s="164"/>
      <c r="F277" s="5"/>
    </row>
    <row r="278" spans="2:6" x14ac:dyDescent="0.2">
      <c r="B278" s="5"/>
      <c r="E278" s="164"/>
      <c r="F278" s="5"/>
    </row>
    <row r="279" spans="2:6" x14ac:dyDescent="0.2">
      <c r="B279" s="5"/>
      <c r="E279" s="164"/>
      <c r="F279" s="5"/>
    </row>
    <row r="280" spans="2:6" x14ac:dyDescent="0.2">
      <c r="B280" s="5"/>
      <c r="E280" s="164"/>
      <c r="F280" s="5"/>
    </row>
    <row r="281" spans="2:6" x14ac:dyDescent="0.2">
      <c r="B281" s="5"/>
      <c r="E281" s="164"/>
      <c r="F281" s="5"/>
    </row>
    <row r="282" spans="2:6" x14ac:dyDescent="0.2">
      <c r="B282" s="5"/>
      <c r="E282" s="164"/>
      <c r="F282" s="5"/>
    </row>
    <row r="283" spans="2:6" x14ac:dyDescent="0.2">
      <c r="B283" s="5"/>
      <c r="E283" s="164"/>
      <c r="F283" s="5"/>
    </row>
    <row r="284" spans="2:6" x14ac:dyDescent="0.2">
      <c r="B284" s="5"/>
      <c r="E284" s="164"/>
      <c r="F284" s="5"/>
    </row>
    <row r="285" spans="2:6" x14ac:dyDescent="0.2">
      <c r="B285" s="5"/>
      <c r="E285" s="164"/>
      <c r="F285" s="5"/>
    </row>
    <row r="286" spans="2:6" x14ac:dyDescent="0.2">
      <c r="B286" s="5"/>
      <c r="E286" s="164"/>
      <c r="F286" s="5"/>
    </row>
    <row r="287" spans="2:6" x14ac:dyDescent="0.2">
      <c r="B287" s="5"/>
      <c r="E287" s="164"/>
      <c r="F287" s="5"/>
    </row>
    <row r="288" spans="2:6" x14ac:dyDescent="0.2">
      <c r="B288" s="5"/>
      <c r="E288" s="164"/>
      <c r="F288" s="5"/>
    </row>
    <row r="289" spans="2:6" x14ac:dyDescent="0.2">
      <c r="B289" s="5"/>
      <c r="E289" s="164"/>
      <c r="F289" s="5"/>
    </row>
    <row r="290" spans="2:6" x14ac:dyDescent="0.2">
      <c r="B290" s="5"/>
      <c r="E290" s="164"/>
      <c r="F290" s="5"/>
    </row>
    <row r="291" spans="2:6" x14ac:dyDescent="0.2">
      <c r="B291" s="5"/>
      <c r="E291" s="164"/>
      <c r="F291" s="5"/>
    </row>
    <row r="292" spans="2:6" x14ac:dyDescent="0.2">
      <c r="B292" s="5"/>
      <c r="E292" s="164"/>
      <c r="F292" s="5"/>
    </row>
    <row r="293" spans="2:6" x14ac:dyDescent="0.2">
      <c r="B293" s="5"/>
      <c r="E293" s="164"/>
      <c r="F293" s="5"/>
    </row>
    <row r="294" spans="2:6" x14ac:dyDescent="0.2">
      <c r="B294" s="5"/>
      <c r="E294" s="164"/>
      <c r="F294" s="5"/>
    </row>
    <row r="295" spans="2:6" x14ac:dyDescent="0.2">
      <c r="B295" s="5"/>
      <c r="E295" s="164"/>
      <c r="F295" s="5"/>
    </row>
    <row r="296" spans="2:6" x14ac:dyDescent="0.2">
      <c r="B296" s="5"/>
      <c r="E296" s="164"/>
      <c r="F296" s="5"/>
    </row>
    <row r="297" spans="2:6" x14ac:dyDescent="0.2">
      <c r="B297" s="5"/>
      <c r="E297" s="164"/>
      <c r="F297" s="5"/>
    </row>
    <row r="298" spans="2:6" x14ac:dyDescent="0.2">
      <c r="B298" s="5"/>
      <c r="E298" s="164"/>
      <c r="F298" s="5"/>
    </row>
    <row r="299" spans="2:6" x14ac:dyDescent="0.2">
      <c r="B299" s="5"/>
      <c r="E299" s="164"/>
      <c r="F299" s="5"/>
    </row>
    <row r="300" spans="2:6" x14ac:dyDescent="0.2">
      <c r="B300" s="5"/>
      <c r="E300" s="164"/>
      <c r="F300" s="5"/>
    </row>
    <row r="301" spans="2:6" x14ac:dyDescent="0.2">
      <c r="B301" s="5"/>
      <c r="E301" s="164"/>
      <c r="F301" s="5"/>
    </row>
    <row r="302" spans="2:6" x14ac:dyDescent="0.2">
      <c r="B302" s="5"/>
      <c r="E302" s="164"/>
      <c r="F302" s="5"/>
    </row>
    <row r="303" spans="2:6" x14ac:dyDescent="0.2">
      <c r="B303" s="5"/>
      <c r="E303" s="164"/>
      <c r="F303" s="5"/>
    </row>
    <row r="304" spans="2:6" x14ac:dyDescent="0.2">
      <c r="B304" s="5"/>
      <c r="E304" s="164"/>
      <c r="F304" s="5"/>
    </row>
    <row r="305" spans="2:6" x14ac:dyDescent="0.2">
      <c r="B305" s="5"/>
      <c r="E305" s="164"/>
      <c r="F305" s="5"/>
    </row>
    <row r="306" spans="2:6" x14ac:dyDescent="0.2">
      <c r="B306" s="5"/>
      <c r="E306" s="164"/>
      <c r="F306" s="5"/>
    </row>
    <row r="307" spans="2:6" x14ac:dyDescent="0.2">
      <c r="B307" s="5"/>
      <c r="E307" s="164"/>
      <c r="F307" s="5"/>
    </row>
    <row r="308" spans="2:6" x14ac:dyDescent="0.2">
      <c r="B308" s="5"/>
      <c r="E308" s="164"/>
      <c r="F308" s="5"/>
    </row>
    <row r="309" spans="2:6" x14ac:dyDescent="0.2">
      <c r="B309" s="5"/>
      <c r="E309" s="164"/>
      <c r="F309" s="5"/>
    </row>
    <row r="310" spans="2:6" x14ac:dyDescent="0.2">
      <c r="B310" s="5"/>
      <c r="E310" s="164"/>
      <c r="F310" s="5"/>
    </row>
    <row r="311" spans="2:6" x14ac:dyDescent="0.2">
      <c r="B311" s="5"/>
      <c r="E311" s="164"/>
      <c r="F311" s="5"/>
    </row>
    <row r="312" spans="2:6" x14ac:dyDescent="0.2">
      <c r="B312" s="5"/>
      <c r="E312" s="164"/>
      <c r="F312" s="5"/>
    </row>
    <row r="313" spans="2:6" x14ac:dyDescent="0.2">
      <c r="B313" s="5"/>
      <c r="E313" s="164"/>
      <c r="F313" s="5"/>
    </row>
    <row r="314" spans="2:6" x14ac:dyDescent="0.2">
      <c r="B314" s="5"/>
      <c r="E314" s="164"/>
      <c r="F314" s="5"/>
    </row>
    <row r="315" spans="2:6" x14ac:dyDescent="0.2">
      <c r="B315" s="5"/>
      <c r="E315" s="164"/>
      <c r="F315" s="5"/>
    </row>
    <row r="316" spans="2:6" x14ac:dyDescent="0.2">
      <c r="B316" s="5"/>
      <c r="E316" s="164"/>
      <c r="F316" s="5"/>
    </row>
    <row r="317" spans="2:6" x14ac:dyDescent="0.2">
      <c r="B317" s="5"/>
      <c r="E317" s="164"/>
      <c r="F317" s="5"/>
    </row>
    <row r="318" spans="2:6" x14ac:dyDescent="0.2">
      <c r="B318" s="5"/>
      <c r="E318" s="164"/>
      <c r="F318" s="5"/>
    </row>
    <row r="319" spans="2:6" x14ac:dyDescent="0.2">
      <c r="B319" s="5"/>
      <c r="E319" s="164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</sheetData>
  <phoneticPr fontId="10" type="noConversion"/>
  <hyperlinks>
    <hyperlink ref="A3" r:id="rId1" xr:uid="{00000000-0004-0000-0700-000000000000}"/>
    <hyperlink ref="P13" r:id="rId2" display="http://www.konkoly.hu/cgi-bin/IBVS?3201" xr:uid="{00000000-0004-0000-0700-000001000000}"/>
    <hyperlink ref="P14" r:id="rId3" display="http://www.konkoly.hu/cgi-bin/IBVS?3201" xr:uid="{00000000-0004-0000-0700-000002000000}"/>
    <hyperlink ref="P15" r:id="rId4" display="http://www.konkoly.hu/cgi-bin/IBVS?3201" xr:uid="{00000000-0004-0000-0700-000003000000}"/>
    <hyperlink ref="P121" r:id="rId5" display="http://www.bav-astro.de/sfs/BAVM_link.php?BAVMnr=52" xr:uid="{00000000-0004-0000-0700-000004000000}"/>
    <hyperlink ref="P20" r:id="rId6" display="http://www.konkoly.hu/cgi-bin/IBVS?3356" xr:uid="{00000000-0004-0000-0700-000005000000}"/>
    <hyperlink ref="P21" r:id="rId7" display="http://www.konkoly.hu/cgi-bin/IBVS?3356" xr:uid="{00000000-0004-0000-0700-000006000000}"/>
    <hyperlink ref="P22" r:id="rId8" display="http://www.konkoly.hu/cgi-bin/IBVS?3356" xr:uid="{00000000-0004-0000-0700-000007000000}"/>
    <hyperlink ref="P23" r:id="rId9" display="http://www.bav-astro.de/sfs/BAVM_link.php?BAVMnr=51" xr:uid="{00000000-0004-0000-0700-000008000000}"/>
    <hyperlink ref="P122" r:id="rId10" display="http://www.bav-astro.de/sfs/BAVM_link.php?BAVMnr=51" xr:uid="{00000000-0004-0000-0700-000009000000}"/>
    <hyperlink ref="P24" r:id="rId11" display="http://www.bav-astro.de/sfs/BAVM_link.php?BAVMnr=51" xr:uid="{00000000-0004-0000-0700-00000A000000}"/>
    <hyperlink ref="P123" r:id="rId12" display="http://www.bav-astro.de/sfs/BAVM_link.php?BAVMnr=51" xr:uid="{00000000-0004-0000-0700-00000B000000}"/>
    <hyperlink ref="P126" r:id="rId13" display="http://www.bav-astro.de/sfs/BAVM_link.php?BAVMnr=56" xr:uid="{00000000-0004-0000-0700-00000C000000}"/>
    <hyperlink ref="P127" r:id="rId14" display="http://www.bav-astro.de/sfs/BAVM_link.php?BAVMnr=59" xr:uid="{00000000-0004-0000-0700-00000D000000}"/>
    <hyperlink ref="P128" r:id="rId15" display="http://www.bav-astro.de/sfs/BAVM_link.php?BAVMnr=59" xr:uid="{00000000-0004-0000-0700-00000E000000}"/>
    <hyperlink ref="P129" r:id="rId16" display="http://www.bav-astro.de/sfs/BAVM_link.php?BAVMnr=60" xr:uid="{00000000-0004-0000-0700-00000F000000}"/>
    <hyperlink ref="P130" r:id="rId17" display="http://www.bav-astro.de/sfs/BAVM_link.php?BAVMnr=60" xr:uid="{00000000-0004-0000-0700-000010000000}"/>
    <hyperlink ref="P131" r:id="rId18" display="http://www.bav-astro.de/sfs/BAVM_link.php?BAVMnr=60" xr:uid="{00000000-0004-0000-0700-000011000000}"/>
    <hyperlink ref="P132" r:id="rId19" display="http://www.bav-astro.de/sfs/BAVM_link.php?BAVMnr=60" xr:uid="{00000000-0004-0000-0700-000012000000}"/>
    <hyperlink ref="P133" r:id="rId20" display="http://www.bav-astro.de/sfs/BAVM_link.php?BAVMnr=68" xr:uid="{00000000-0004-0000-0700-000013000000}"/>
    <hyperlink ref="P134" r:id="rId21" display="http://www.bav-astro.de/sfs/BAVM_link.php?BAVMnr=68" xr:uid="{00000000-0004-0000-0700-000014000000}"/>
    <hyperlink ref="P135" r:id="rId22" display="http://www.bav-astro.de/sfs/BAVM_link.php?BAVMnr=68" xr:uid="{00000000-0004-0000-0700-000015000000}"/>
    <hyperlink ref="P136" r:id="rId23" display="http://www.bav-astro.de/sfs/BAVM_link.php?BAVMnr=68" xr:uid="{00000000-0004-0000-0700-000016000000}"/>
    <hyperlink ref="P55" r:id="rId24" display="http://www.bav-astro.de/sfs/BAVM_link.php?BAVMnr=80" xr:uid="{00000000-0004-0000-0700-000017000000}"/>
    <hyperlink ref="P56" r:id="rId25" display="http://www.bav-astro.de/sfs/BAVM_link.php?BAVMnr=80" xr:uid="{00000000-0004-0000-0700-000018000000}"/>
    <hyperlink ref="P58" r:id="rId26" display="http://www.bav-astro.de/sfs/BAVM_link.php?BAVMnr=117" xr:uid="{00000000-0004-0000-0700-000019000000}"/>
    <hyperlink ref="P59" r:id="rId27" display="http://www.konkoly.hu/cgi-bin/IBVS?5027" xr:uid="{00000000-0004-0000-0700-00001A000000}"/>
    <hyperlink ref="P60" r:id="rId28" display="http://www.konkoly.hu/cgi-bin/IBVS?5027" xr:uid="{00000000-0004-0000-0700-00001B000000}"/>
    <hyperlink ref="P61" r:id="rId29" display="http://var.astro.cz/oejv/issues/oejv0074.pdf" xr:uid="{00000000-0004-0000-0700-00001C000000}"/>
    <hyperlink ref="P63" r:id="rId30" display="http://www.konkoly.hu/cgi-bin/IBVS?5224" xr:uid="{00000000-0004-0000-0700-00001D000000}"/>
    <hyperlink ref="P64" r:id="rId31" display="http://www.bav-astro.de/sfs/BAVM_link.php?BAVMnr=152" xr:uid="{00000000-0004-0000-0700-00001E000000}"/>
    <hyperlink ref="P65" r:id="rId32" display="http://www.bav-astro.de/sfs/BAVM_link.php?BAVMnr=158" xr:uid="{00000000-0004-0000-0700-00001F000000}"/>
    <hyperlink ref="P66" r:id="rId33" display="http://www.bav-astro.de/sfs/BAVM_link.php?BAVMnr=158" xr:uid="{00000000-0004-0000-0700-000020000000}"/>
    <hyperlink ref="P146" r:id="rId34" display="http://www.konkoly.hu/cgi-bin/IBVS?5493" xr:uid="{00000000-0004-0000-0700-000021000000}"/>
    <hyperlink ref="P67" r:id="rId35" display="http://www.bav-astro.de/sfs/BAVM_link.php?BAVMnr=158" xr:uid="{00000000-0004-0000-0700-000022000000}"/>
    <hyperlink ref="P69" r:id="rId36" display="http://www.konkoly.hu/cgi-bin/IBVS?5493" xr:uid="{00000000-0004-0000-0700-000023000000}"/>
    <hyperlink ref="P70" r:id="rId37" display="http://www.bav-astro.de/sfs/BAVM_link.php?BAVMnr=186" xr:uid="{00000000-0004-0000-0700-000024000000}"/>
    <hyperlink ref="P71" r:id="rId38" display="http://www.bav-astro.de/sfs/BAVM_link.php?BAVMnr=173" xr:uid="{00000000-0004-0000-0700-000025000000}"/>
    <hyperlink ref="P72" r:id="rId39" display="http://www.bav-astro.de/sfs/BAVM_link.php?BAVMnr=173" xr:uid="{00000000-0004-0000-0700-000026000000}"/>
    <hyperlink ref="P73" r:id="rId40" display="http://www.bav-astro.de/sfs/BAVM_link.php?BAVMnr=173" xr:uid="{00000000-0004-0000-0700-000027000000}"/>
    <hyperlink ref="P74" r:id="rId41" display="http://www.konkoly.hu/cgi-bin/IBVS?5672" xr:uid="{00000000-0004-0000-0700-000028000000}"/>
    <hyperlink ref="P75" r:id="rId42" display="http://var.astro.cz/oejv/issues/oejv0074.pdf" xr:uid="{00000000-0004-0000-0700-000029000000}"/>
    <hyperlink ref="P147" r:id="rId43" display="http://www.konkoly.hu/cgi-bin/IBVS?5760" xr:uid="{00000000-0004-0000-0700-00002A000000}"/>
    <hyperlink ref="P76" r:id="rId44" display="http://www.bav-astro.de/sfs/BAVM_link.php?BAVMnr=178" xr:uid="{00000000-0004-0000-0700-00002B000000}"/>
    <hyperlink ref="P77" r:id="rId45" display="http://www.bav-astro.de/sfs/BAVM_link.php?BAVMnr=178" xr:uid="{00000000-0004-0000-0700-00002C000000}"/>
    <hyperlink ref="P78" r:id="rId46" display="http://www.bav-astro.de/sfs/BAVM_link.php?BAVMnr=186" xr:uid="{00000000-0004-0000-0700-00002D000000}"/>
    <hyperlink ref="P79" r:id="rId47" display="http://www.konkoly.hu/cgi-bin/IBVS?5713" xr:uid="{00000000-0004-0000-0700-00002E000000}"/>
    <hyperlink ref="P80" r:id="rId48" display="http://www.konkoly.hu/cgi-bin/IBVS?5820" xr:uid="{00000000-0004-0000-0700-00002F000000}"/>
    <hyperlink ref="P81" r:id="rId49" display="http://www.bav-astro.de/sfs/BAVM_link.php?BAVMnr=186" xr:uid="{00000000-0004-0000-0700-000030000000}"/>
    <hyperlink ref="P82" r:id="rId50" display="http://www.bav-astro.de/sfs/BAVM_link.php?BAVMnr=209" xr:uid="{00000000-0004-0000-0700-000031000000}"/>
    <hyperlink ref="P83" r:id="rId51" display="http://www.konkoly.hu/cgi-bin/IBVS?5938" xr:uid="{00000000-0004-0000-0700-000032000000}"/>
    <hyperlink ref="P84" r:id="rId52" display="http://www.bav-astro.de/sfs/BAVM_link.php?BAVMnr=209" xr:uid="{00000000-0004-0000-0700-000033000000}"/>
    <hyperlink ref="P85" r:id="rId53" display="http://www.konkoly.hu/cgi-bin/IBVS?5938" xr:uid="{00000000-0004-0000-0700-000034000000}"/>
    <hyperlink ref="P86" r:id="rId54" display="http://www.konkoly.hu/cgi-bin/IBVS?5898" xr:uid="{00000000-0004-0000-0700-000035000000}"/>
    <hyperlink ref="P87" r:id="rId55" display="http://www.konkoly.hu/cgi-bin/IBVS?5898" xr:uid="{00000000-0004-0000-0700-000036000000}"/>
    <hyperlink ref="P88" r:id="rId56" display="http://www.bav-astro.de/sfs/BAVM_link.php?BAVMnr=209" xr:uid="{00000000-0004-0000-0700-000037000000}"/>
    <hyperlink ref="P89" r:id="rId57" display="http://www.konkoly.hu/cgi-bin/IBVS?5898" xr:uid="{00000000-0004-0000-0700-000038000000}"/>
    <hyperlink ref="P148" r:id="rId58" display="http://vsolj.cetus-net.org/vsoljno50.pdf" xr:uid="{00000000-0004-0000-0700-000039000000}"/>
    <hyperlink ref="P90" r:id="rId59" display="http://www.konkoly.hu/cgi-bin/IBVS?5938" xr:uid="{00000000-0004-0000-0700-00003A000000}"/>
    <hyperlink ref="P91" r:id="rId60" display="http://www.konkoly.hu/cgi-bin/IBVS?5938" xr:uid="{00000000-0004-0000-0700-00003B000000}"/>
    <hyperlink ref="P92" r:id="rId61" display="http://www.konkoly.hu/cgi-bin/IBVS?5894" xr:uid="{00000000-0004-0000-0700-00003C000000}"/>
    <hyperlink ref="P149" r:id="rId62" display="http://var.astro.cz/oejv/issues/oejv0137.pdf" xr:uid="{00000000-0004-0000-0700-00003D000000}"/>
    <hyperlink ref="P150" r:id="rId63" display="http://var.astro.cz/oejv/issues/oejv0137.pdf" xr:uid="{00000000-0004-0000-0700-00003E000000}"/>
    <hyperlink ref="P151" r:id="rId64" display="http://var.astro.cz/oejv/issues/oejv0137.pdf" xr:uid="{00000000-0004-0000-0700-00003F000000}"/>
    <hyperlink ref="P152" r:id="rId65" display="http://www.bav-astro.de/sfs/BAVM_link.php?BAVMnr=212" xr:uid="{00000000-0004-0000-0700-000040000000}"/>
    <hyperlink ref="P93" r:id="rId66" display="http://www.konkoly.hu/cgi-bin/IBVS?5980" xr:uid="{00000000-0004-0000-0700-000041000000}"/>
    <hyperlink ref="P94" r:id="rId67" display="http://www.bav-astro.de/sfs/BAVM_link.php?BAVMnr=214" xr:uid="{00000000-0004-0000-0700-000042000000}"/>
    <hyperlink ref="P95" r:id="rId68" display="http://www.konkoly.hu/cgi-bin/IBVS?5980" xr:uid="{00000000-0004-0000-0700-000043000000}"/>
    <hyperlink ref="P153" r:id="rId69" display="http://www.bav-astro.de/sfs/BAVM_link.php?BAVMnr=212" xr:uid="{00000000-0004-0000-0700-000044000000}"/>
    <hyperlink ref="P154" r:id="rId70" display="http://vsolj.cetus-net.org/vsoljno51.pdf" xr:uid="{00000000-0004-0000-0700-000045000000}"/>
    <hyperlink ref="P155" r:id="rId71" display="http://var.astro.cz/oejv/issues/oejv0137.pdf" xr:uid="{00000000-0004-0000-0700-000046000000}"/>
    <hyperlink ref="P156" r:id="rId72" display="http://var.astro.cz/oejv/issues/oejv0137.pdf" xr:uid="{00000000-0004-0000-0700-000047000000}"/>
    <hyperlink ref="P157" r:id="rId73" display="http://var.astro.cz/oejv/issues/oejv0137.pdf" xr:uid="{00000000-0004-0000-0700-000048000000}"/>
    <hyperlink ref="P96" r:id="rId74" display="http://www.bav-astro.de/sfs/BAVM_link.php?BAVMnr=214" xr:uid="{00000000-0004-0000-0700-000049000000}"/>
    <hyperlink ref="P97" r:id="rId75" display="http://www.bav-astro.de/sfs/BAVM_link.php?BAVMnr=215" xr:uid="{00000000-0004-0000-0700-00004A000000}"/>
    <hyperlink ref="P98" r:id="rId76" display="http://www.bav-astro.de/sfs/BAVM_link.php?BAVMnr=220" xr:uid="{00000000-0004-0000-0700-00004B000000}"/>
    <hyperlink ref="P99" r:id="rId77" display="http://www.bav-astro.de/sfs/BAVM_link.php?BAVMnr=220" xr:uid="{00000000-0004-0000-0700-00004C000000}"/>
    <hyperlink ref="P158" r:id="rId78" display="http://www.konkoly.hu/cgi-bin/IBVS?6044" xr:uid="{00000000-0004-0000-0700-00004D000000}"/>
    <hyperlink ref="P100" r:id="rId79" display="http://www.konkoly.hu/cgi-bin/IBVS?6018" xr:uid="{00000000-0004-0000-0700-00004E000000}"/>
    <hyperlink ref="P101" r:id="rId80" display="http://www.bav-astro.de/sfs/BAVM_link.php?BAVMnr=220" xr:uid="{00000000-0004-0000-0700-00004F000000}"/>
    <hyperlink ref="P102" r:id="rId81" display="http://www.konkoly.hu/cgi-bin/IBVS?5992" xr:uid="{00000000-0004-0000-0700-000050000000}"/>
    <hyperlink ref="P103" r:id="rId82" display="http://www.bav-astro.de/sfs/BAVM_link.php?BAVMnr=228" xr:uid="{00000000-0004-0000-0700-000051000000}"/>
    <hyperlink ref="P159" r:id="rId83" display="http://vsolj.cetus-net.org/vsoljno55.pdf" xr:uid="{00000000-0004-0000-0700-000052000000}"/>
    <hyperlink ref="P104" r:id="rId84" display="http://www.bav-astro.de/sfs/BAVM_link.php?BAVMnr=231" xr:uid="{00000000-0004-0000-0700-000053000000}"/>
    <hyperlink ref="P105" r:id="rId85" display="http://www.bav-astro.de/sfs/BAVM_link.php?BAVMnr=231" xr:uid="{00000000-0004-0000-0700-000054000000}"/>
    <hyperlink ref="P160" r:id="rId86" display="http://www.konkoly.hu/cgi-bin/IBVS?6044" xr:uid="{00000000-0004-0000-0700-000055000000}"/>
    <hyperlink ref="P106" r:id="rId87" display="http://var.astro.cz/oejv/issues/oejv0160.pdf" xr:uid="{00000000-0004-0000-0700-000056000000}"/>
    <hyperlink ref="P107" r:id="rId88" display="http://var.astro.cz/oejv/issues/oejv0160.pdf" xr:uid="{00000000-0004-0000-0700-000057000000}"/>
    <hyperlink ref="P108" r:id="rId89" display="http://var.astro.cz/oejv/issues/oejv0160.pdf" xr:uid="{00000000-0004-0000-0700-000058000000}"/>
  </hyperlinks>
  <pageMargins left="0.75" right="0.75" top="1" bottom="1" header="0.5" footer="0.5"/>
  <pageSetup orientation="portrait" verticalDpi="0" r:id="rId9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68"/>
  <sheetViews>
    <sheetView topLeftCell="A112" workbookViewId="0">
      <selection activeCell="A126" sqref="A126:D153"/>
    </sheetView>
  </sheetViews>
  <sheetFormatPr defaultRowHeight="12.75" x14ac:dyDescent="0.2"/>
  <cols>
    <col min="1" max="1" width="18.140625" style="14" customWidth="1"/>
    <col min="2" max="2" width="4.28515625" style="25" customWidth="1"/>
    <col min="3" max="3" width="10.7109375" style="25" customWidth="1"/>
    <col min="4" max="4" width="5" style="25" customWidth="1"/>
    <col min="5" max="5" width="17.28515625" style="25" customWidth="1"/>
    <col min="6" max="6" width="4" style="170" customWidth="1"/>
    <col min="7" max="11" width="9.140625" style="25"/>
    <col min="12" max="12" width="14" style="25" customWidth="1"/>
    <col min="13" max="13" width="12" style="25" customWidth="1"/>
    <col min="14" max="14" width="14.28515625" style="25" customWidth="1"/>
    <col min="15" max="16384" width="9.140625" style="25"/>
  </cols>
  <sheetData>
    <row r="1" spans="1:14" ht="18" x14ac:dyDescent="0.25">
      <c r="A1" s="169" t="s">
        <v>237</v>
      </c>
      <c r="F1" s="25"/>
    </row>
    <row r="2" spans="1:14" x14ac:dyDescent="0.2">
      <c r="F2" s="25"/>
    </row>
    <row r="3" spans="1:14" x14ac:dyDescent="0.2">
      <c r="A3" s="161" t="s">
        <v>238</v>
      </c>
      <c r="F3" s="25"/>
    </row>
    <row r="4" spans="1:14" x14ac:dyDescent="0.2">
      <c r="F4" s="25"/>
    </row>
    <row r="5" spans="1:14" x14ac:dyDescent="0.2">
      <c r="F5" s="25"/>
    </row>
    <row r="6" spans="1:14" x14ac:dyDescent="0.2">
      <c r="F6" s="25"/>
    </row>
    <row r="7" spans="1:14" x14ac:dyDescent="0.2">
      <c r="F7" s="25"/>
    </row>
    <row r="8" spans="1:14" x14ac:dyDescent="0.2">
      <c r="F8" s="25"/>
    </row>
    <row r="9" spans="1:14" x14ac:dyDescent="0.2">
      <c r="F9" s="25"/>
    </row>
    <row r="10" spans="1:14" ht="13.5" thickBot="1" x14ac:dyDescent="0.25">
      <c r="F10" s="91"/>
      <c r="G10" s="91"/>
      <c r="H10" s="91"/>
      <c r="I10" s="91"/>
      <c r="J10" s="91"/>
      <c r="K10" s="91"/>
      <c r="L10" s="91"/>
      <c r="M10" s="91"/>
      <c r="N10" s="91"/>
    </row>
    <row r="11" spans="1:14" x14ac:dyDescent="0.2">
      <c r="A11" s="14" t="str">
        <f t="shared" ref="A11:A42" si="0">L11</f>
        <v>Kurochkin N E</v>
      </c>
      <c r="B11" s="5" t="str">
        <f t="shared" ref="B11:B42" si="1">IF(J11="s","II","I")</f>
        <v>I</v>
      </c>
      <c r="C11" s="14">
        <f t="shared" ref="C11:C42" si="2">I11</f>
        <v>17439.335999999999</v>
      </c>
      <c r="D11" s="25" t="str">
        <f t="shared" ref="D11:D42" si="3">K11</f>
        <v>pg</v>
      </c>
      <c r="E11" s="164">
        <f>VLOOKUP(C11,'Active 1'!C$21:E$928,3,FALSE)</f>
        <v>-62616.927332706262</v>
      </c>
      <c r="G11" s="25">
        <v>-62617</v>
      </c>
      <c r="H11" s="25">
        <v>0.17180000000000001</v>
      </c>
      <c r="I11" s="25">
        <v>17439.335999999999</v>
      </c>
      <c r="J11" s="25" t="s">
        <v>239</v>
      </c>
      <c r="K11" s="25" t="s">
        <v>235</v>
      </c>
      <c r="L11" s="25" t="s">
        <v>825</v>
      </c>
      <c r="N11" s="25" t="s">
        <v>826</v>
      </c>
    </row>
    <row r="12" spans="1:14" x14ac:dyDescent="0.2">
      <c r="A12" s="14" t="str">
        <f t="shared" si="0"/>
        <v>Kurochkin N E</v>
      </c>
      <c r="B12" s="5" t="str">
        <f t="shared" si="1"/>
        <v>II</v>
      </c>
      <c r="C12" s="14">
        <f t="shared" si="2"/>
        <v>17796.394</v>
      </c>
      <c r="D12" s="25" t="str">
        <f t="shared" si="3"/>
        <v>pg</v>
      </c>
      <c r="E12" s="164">
        <f>VLOOKUP(C12,'Active 1'!C$21:E$928,3,FALSE)</f>
        <v>-61859.302933270083</v>
      </c>
      <c r="G12" s="25">
        <v>-61860</v>
      </c>
      <c r="H12" s="25">
        <v>0.22789999999999999</v>
      </c>
      <c r="I12" s="25">
        <v>17796.394</v>
      </c>
      <c r="J12" s="25" t="s">
        <v>827</v>
      </c>
      <c r="K12" s="25" t="s">
        <v>235</v>
      </c>
      <c r="L12" s="25" t="s">
        <v>825</v>
      </c>
      <c r="N12" s="25" t="s">
        <v>826</v>
      </c>
    </row>
    <row r="13" spans="1:14" x14ac:dyDescent="0.2">
      <c r="A13" s="14" t="str">
        <f t="shared" si="0"/>
        <v>Kurochkin N E</v>
      </c>
      <c r="B13" s="5" t="str">
        <f t="shared" si="1"/>
        <v>I</v>
      </c>
      <c r="C13" s="14">
        <f t="shared" si="2"/>
        <v>17826.304</v>
      </c>
      <c r="D13" s="25" t="str">
        <f t="shared" si="3"/>
        <v>pg</v>
      </c>
      <c r="E13" s="164">
        <f>VLOOKUP(C13,'Active 1'!C$21:E$928,3,FALSE)</f>
        <v>-61795.838325875382</v>
      </c>
      <c r="G13" s="25">
        <v>-61796</v>
      </c>
      <c r="H13" s="25">
        <v>0.2114</v>
      </c>
      <c r="I13" s="25">
        <v>17826.304</v>
      </c>
      <c r="J13" s="25" t="s">
        <v>239</v>
      </c>
      <c r="K13" s="25" t="s">
        <v>235</v>
      </c>
      <c r="L13" s="25" t="s">
        <v>825</v>
      </c>
      <c r="N13" s="25" t="s">
        <v>826</v>
      </c>
    </row>
    <row r="14" spans="1:14" x14ac:dyDescent="0.2">
      <c r="A14" s="14" t="str">
        <f t="shared" si="0"/>
        <v>Kurochkin N E</v>
      </c>
      <c r="B14" s="5" t="str">
        <f t="shared" si="1"/>
        <v>II</v>
      </c>
      <c r="C14" s="14">
        <f t="shared" si="2"/>
        <v>17888.366999999998</v>
      </c>
      <c r="D14" s="25" t="str">
        <f t="shared" si="3"/>
        <v>pg</v>
      </c>
      <c r="E14" s="164">
        <f>VLOOKUP(C14,'Active 1'!C$21:E$928,3,FALSE)</f>
        <v>-61664.149795994505</v>
      </c>
      <c r="G14" s="25">
        <v>-61664</v>
      </c>
      <c r="H14" s="25">
        <v>-0.17180000000000001</v>
      </c>
      <c r="I14" s="25">
        <v>17888.366999999998</v>
      </c>
      <c r="J14" s="25" t="s">
        <v>827</v>
      </c>
      <c r="K14" s="25" t="s">
        <v>235</v>
      </c>
      <c r="L14" s="25" t="s">
        <v>825</v>
      </c>
      <c r="N14" s="25" t="s">
        <v>826</v>
      </c>
    </row>
    <row r="15" spans="1:14" x14ac:dyDescent="0.2">
      <c r="A15" s="14" t="str">
        <f t="shared" si="0"/>
        <v>Kurochkin N E</v>
      </c>
      <c r="B15" s="5" t="str">
        <f t="shared" si="1"/>
        <v>II</v>
      </c>
      <c r="C15" s="14">
        <f t="shared" si="2"/>
        <v>40361.508999999998</v>
      </c>
      <c r="D15" s="25" t="str">
        <f t="shared" si="3"/>
        <v>pg</v>
      </c>
      <c r="E15" s="164">
        <f>VLOOKUP(C15,'Active 1'!C$21:E$928,3,FALSE)</f>
        <v>-13979.457921861944</v>
      </c>
      <c r="G15" s="25">
        <v>-13980</v>
      </c>
      <c r="H15" s="25">
        <v>1.6E-2</v>
      </c>
      <c r="I15" s="25">
        <v>40361.508999999998</v>
      </c>
      <c r="J15" s="25" t="s">
        <v>827</v>
      </c>
      <c r="K15" s="25" t="s">
        <v>235</v>
      </c>
      <c r="L15" s="25" t="s">
        <v>825</v>
      </c>
      <c r="N15" s="25" t="s">
        <v>828</v>
      </c>
    </row>
    <row r="16" spans="1:14" x14ac:dyDescent="0.2">
      <c r="A16" s="14" t="str">
        <f t="shared" si="0"/>
        <v>Kurochkin N E</v>
      </c>
      <c r="B16" s="5" t="str">
        <f t="shared" si="1"/>
        <v>I</v>
      </c>
      <c r="C16" s="14">
        <f t="shared" si="2"/>
        <v>40810.404999999999</v>
      </c>
      <c r="D16" s="25" t="str">
        <f t="shared" si="3"/>
        <v>pg</v>
      </c>
      <c r="E16" s="164">
        <f>VLOOKUP(C16,'Active 1'!C$21:E$928,3,FALSE)</f>
        <v>-13026.966835233708</v>
      </c>
      <c r="G16" s="25">
        <v>-13027</v>
      </c>
      <c r="H16" s="25">
        <v>9.4000000000000004E-3</v>
      </c>
      <c r="I16" s="25">
        <v>40810.404999999999</v>
      </c>
      <c r="J16" s="25" t="s">
        <v>239</v>
      </c>
      <c r="K16" s="25" t="s">
        <v>235</v>
      </c>
      <c r="L16" s="25" t="s">
        <v>825</v>
      </c>
      <c r="N16" s="25" t="s">
        <v>828</v>
      </c>
    </row>
    <row r="17" spans="1:15" x14ac:dyDescent="0.2">
      <c r="A17" s="14" t="str">
        <f t="shared" si="0"/>
        <v>Kurochkin N E</v>
      </c>
      <c r="B17" s="5" t="str">
        <f t="shared" si="1"/>
        <v>I</v>
      </c>
      <c r="C17" s="14">
        <f t="shared" si="2"/>
        <v>40827.372000000003</v>
      </c>
      <c r="D17" s="25" t="str">
        <f t="shared" si="3"/>
        <v>pg</v>
      </c>
      <c r="E17" s="164">
        <f>VLOOKUP(C17,'Active 1'!C$21:E$928,3,FALSE)</f>
        <v>-12990.965364365567</v>
      </c>
      <c r="G17" s="25">
        <v>-12991</v>
      </c>
      <c r="H17" s="25">
        <v>0.01</v>
      </c>
      <c r="I17" s="25">
        <v>40827.372000000003</v>
      </c>
      <c r="J17" s="25" t="s">
        <v>239</v>
      </c>
      <c r="K17" s="25" t="s">
        <v>235</v>
      </c>
      <c r="L17" s="25" t="s">
        <v>825</v>
      </c>
      <c r="N17" s="25" t="s">
        <v>828</v>
      </c>
    </row>
    <row r="18" spans="1:15" x14ac:dyDescent="0.2">
      <c r="A18" s="14" t="str">
        <f t="shared" si="0"/>
        <v>Kurochkin N E</v>
      </c>
      <c r="B18" s="5" t="str">
        <f t="shared" si="1"/>
        <v>I</v>
      </c>
      <c r="C18" s="14">
        <f t="shared" si="2"/>
        <v>41533.337</v>
      </c>
      <c r="D18" s="25" t="str">
        <f t="shared" si="3"/>
        <v>pg</v>
      </c>
      <c r="E18" s="164">
        <f>VLOOKUP(C18,'Active 1'!C$21:E$928,3,FALSE)</f>
        <v>-11493.011784980814</v>
      </c>
      <c r="G18" s="25">
        <v>-11493</v>
      </c>
      <c r="H18" s="25">
        <v>-1.6199999999999999E-2</v>
      </c>
      <c r="I18" s="25">
        <v>41533.337</v>
      </c>
      <c r="J18" s="25" t="s">
        <v>239</v>
      </c>
      <c r="K18" s="25" t="s">
        <v>235</v>
      </c>
      <c r="L18" s="25" t="s">
        <v>825</v>
      </c>
      <c r="N18" s="25" t="s">
        <v>828</v>
      </c>
    </row>
    <row r="19" spans="1:15" x14ac:dyDescent="0.2">
      <c r="A19" s="14" t="str">
        <f t="shared" si="0"/>
        <v>Kurochkin N E</v>
      </c>
      <c r="B19" s="5" t="str">
        <f t="shared" si="1"/>
        <v>I</v>
      </c>
      <c r="C19" s="14">
        <f t="shared" si="2"/>
        <v>41567.286999999997</v>
      </c>
      <c r="D19" s="25" t="str">
        <f t="shared" si="3"/>
        <v>pg</v>
      </c>
      <c r="E19" s="164">
        <f>VLOOKUP(C19,'Active 1'!C$21:E$928,3,FALSE)</f>
        <v>-11420.974893605025</v>
      </c>
      <c r="G19" s="25">
        <v>-11421</v>
      </c>
      <c r="H19" s="25">
        <v>1E-3</v>
      </c>
      <c r="I19" s="25">
        <v>41567.286999999997</v>
      </c>
      <c r="J19" s="25" t="s">
        <v>239</v>
      </c>
      <c r="K19" s="25" t="s">
        <v>235</v>
      </c>
      <c r="L19" s="25" t="s">
        <v>825</v>
      </c>
      <c r="N19" s="25" t="s">
        <v>829</v>
      </c>
    </row>
    <row r="20" spans="1:15" x14ac:dyDescent="0.2">
      <c r="A20" s="14" t="str">
        <f t="shared" si="0"/>
        <v>none</v>
      </c>
      <c r="B20" s="5" t="str">
        <f t="shared" si="1"/>
        <v>II</v>
      </c>
      <c r="C20" s="14">
        <f t="shared" si="2"/>
        <v>41571.273000000001</v>
      </c>
      <c r="D20" s="25" t="str">
        <f t="shared" si="3"/>
        <v>pg</v>
      </c>
      <c r="E20" s="164">
        <f>VLOOKUP(C20,'Active 1'!C$21:E$928,3,FALSE)</f>
        <v>-11412.517189657332</v>
      </c>
      <c r="G20" s="25">
        <v>-11413</v>
      </c>
      <c r="H20" s="25">
        <v>-1.9400000000000001E-2</v>
      </c>
      <c r="I20" s="25">
        <v>41571.273000000001</v>
      </c>
      <c r="J20" s="25" t="s">
        <v>827</v>
      </c>
      <c r="K20" s="25" t="s">
        <v>235</v>
      </c>
      <c r="L20" s="25" t="s">
        <v>830</v>
      </c>
      <c r="O20" s="25" t="s">
        <v>831</v>
      </c>
    </row>
    <row r="21" spans="1:15" x14ac:dyDescent="0.2">
      <c r="A21" s="14" t="str">
        <f t="shared" si="0"/>
        <v>Kurochkin N E</v>
      </c>
      <c r="B21" s="5" t="str">
        <f t="shared" si="1"/>
        <v>II</v>
      </c>
      <c r="C21" s="14">
        <f t="shared" si="2"/>
        <v>41571.292000000001</v>
      </c>
      <c r="D21" s="25" t="str">
        <f t="shared" si="3"/>
        <v>pg</v>
      </c>
      <c r="E21" s="164">
        <f>VLOOKUP(C21,'Active 1'!C$21:E$928,3,FALSE)</f>
        <v>-11412.47687446039</v>
      </c>
      <c r="G21" s="25">
        <v>-11413</v>
      </c>
      <c r="H21" s="25">
        <v>-4.0000000000000002E-4</v>
      </c>
      <c r="I21" s="25">
        <v>41571.292000000001</v>
      </c>
      <c r="J21" s="25" t="s">
        <v>827</v>
      </c>
      <c r="K21" s="25" t="s">
        <v>235</v>
      </c>
      <c r="L21" s="25" t="s">
        <v>825</v>
      </c>
      <c r="N21" s="25" t="s">
        <v>829</v>
      </c>
    </row>
    <row r="22" spans="1:15" x14ac:dyDescent="0.2">
      <c r="A22" s="14" t="str">
        <f t="shared" si="0"/>
        <v>Kurochkin N E</v>
      </c>
      <c r="B22" s="5" t="str">
        <f t="shared" si="1"/>
        <v>II</v>
      </c>
      <c r="C22" s="14">
        <f t="shared" si="2"/>
        <v>41957.241000000002</v>
      </c>
      <c r="D22" s="25" t="str">
        <f t="shared" si="3"/>
        <v>pg</v>
      </c>
      <c r="E22" s="164">
        <f>VLOOKUP(C22,'Active 1'!C$21:E$928,3,FALSE)</f>
        <v>-10593.550035297019</v>
      </c>
      <c r="G22" s="25">
        <v>-10594</v>
      </c>
      <c r="H22" s="25">
        <v>-3.7199999999999997E-2</v>
      </c>
      <c r="I22" s="25">
        <v>41957.241000000002</v>
      </c>
      <c r="J22" s="25" t="s">
        <v>827</v>
      </c>
      <c r="K22" s="25" t="s">
        <v>235</v>
      </c>
      <c r="L22" s="25" t="s">
        <v>825</v>
      </c>
      <c r="N22" s="25" t="s">
        <v>829</v>
      </c>
    </row>
    <row r="23" spans="1:15" x14ac:dyDescent="0.2">
      <c r="A23" s="14" t="str">
        <f t="shared" si="0"/>
        <v>Ciardo G</v>
      </c>
      <c r="B23" s="5" t="str">
        <f t="shared" si="1"/>
        <v>I</v>
      </c>
      <c r="C23" s="14">
        <f t="shared" si="2"/>
        <v>45882.375</v>
      </c>
      <c r="D23" s="25" t="str">
        <f t="shared" si="3"/>
        <v>pe</v>
      </c>
      <c r="E23" s="164">
        <f>VLOOKUP(C23,'Active 1'!C$21:E$928,3,FALSE)</f>
        <v>-2264.9947600853302</v>
      </c>
      <c r="G23" s="25">
        <v>-2265</v>
      </c>
      <c r="H23" s="25">
        <v>-3.5000000000000003E-2</v>
      </c>
      <c r="I23" s="25">
        <v>45882.375</v>
      </c>
      <c r="J23" s="25" t="s">
        <v>239</v>
      </c>
      <c r="K23" s="25" t="s">
        <v>832</v>
      </c>
      <c r="L23" s="25" t="s">
        <v>833</v>
      </c>
      <c r="N23" s="25" t="s">
        <v>834</v>
      </c>
    </row>
    <row r="24" spans="1:15" x14ac:dyDescent="0.2">
      <c r="A24" s="14" t="str">
        <f t="shared" si="0"/>
        <v>Faulkner Danny</v>
      </c>
      <c r="B24" s="5" t="str">
        <f t="shared" si="1"/>
        <v>II</v>
      </c>
      <c r="C24" s="14">
        <f t="shared" si="2"/>
        <v>46257.751799999998</v>
      </c>
      <c r="D24" s="25" t="str">
        <f t="shared" si="3"/>
        <v>pe</v>
      </c>
      <c r="E24" s="164">
        <f>VLOOKUP(C24,'Active 1'!C$21:E$928,3,FALSE)</f>
        <v>-1468.500569611306</v>
      </c>
      <c r="G24" s="25">
        <v>-1469</v>
      </c>
      <c r="H24" s="25">
        <v>-4.0399999999999998E-2</v>
      </c>
      <c r="I24" s="25">
        <v>46257.751799999998</v>
      </c>
      <c r="J24" s="25" t="s">
        <v>827</v>
      </c>
      <c r="K24" s="25" t="s">
        <v>832</v>
      </c>
      <c r="L24" s="25" t="s">
        <v>835</v>
      </c>
      <c r="N24" s="25" t="s">
        <v>836</v>
      </c>
    </row>
    <row r="25" spans="1:15" x14ac:dyDescent="0.2">
      <c r="A25" s="14" t="str">
        <f t="shared" si="0"/>
        <v>Nelson Robert</v>
      </c>
      <c r="B25" s="5" t="str">
        <f t="shared" si="1"/>
        <v>I</v>
      </c>
      <c r="C25" s="14">
        <f t="shared" si="2"/>
        <v>46612.868000000002</v>
      </c>
      <c r="D25" s="25" t="str">
        <f t="shared" si="3"/>
        <v>pe</v>
      </c>
      <c r="E25" s="164">
        <f>VLOOKUP(C25,'Active 1'!C$21:E$928,3,FALSE)</f>
        <v>-714.99638330246557</v>
      </c>
      <c r="G25" s="25">
        <v>-715</v>
      </c>
      <c r="H25" s="25">
        <v>-4.02E-2</v>
      </c>
      <c r="I25" s="25">
        <v>46612.868000000002</v>
      </c>
      <c r="J25" s="25" t="s">
        <v>239</v>
      </c>
      <c r="K25" s="25" t="s">
        <v>832</v>
      </c>
      <c r="L25" s="25" t="s">
        <v>837</v>
      </c>
      <c r="N25" s="25" t="s">
        <v>838</v>
      </c>
    </row>
    <row r="26" spans="1:15" x14ac:dyDescent="0.2">
      <c r="A26" s="14" t="str">
        <f t="shared" si="0"/>
        <v>Nelson Robert</v>
      </c>
      <c r="B26" s="5" t="str">
        <f t="shared" si="1"/>
        <v>I</v>
      </c>
      <c r="C26" s="14">
        <f t="shared" si="2"/>
        <v>46613.809000000001</v>
      </c>
      <c r="D26" s="25" t="str">
        <f t="shared" si="3"/>
        <v>pe</v>
      </c>
      <c r="E26" s="164">
        <f>VLOOKUP(C26,'Active 1'!C$21:E$928,3,FALSE)</f>
        <v>-712.99972012766307</v>
      </c>
      <c r="G26" s="25">
        <v>-713</v>
      </c>
      <c r="H26" s="25">
        <v>-4.1799999999999997E-2</v>
      </c>
      <c r="I26" s="25">
        <v>46613.809000000001</v>
      </c>
      <c r="J26" s="25" t="s">
        <v>239</v>
      </c>
      <c r="K26" s="25" t="s">
        <v>832</v>
      </c>
      <c r="L26" s="25" t="s">
        <v>837</v>
      </c>
      <c r="N26" s="25" t="s">
        <v>838</v>
      </c>
    </row>
    <row r="27" spans="1:15" x14ac:dyDescent="0.2">
      <c r="A27" s="14" t="str">
        <f t="shared" si="0"/>
        <v>Nelson Robert</v>
      </c>
      <c r="B27" s="5" t="str">
        <f t="shared" si="1"/>
        <v>I</v>
      </c>
      <c r="C27" s="14">
        <f t="shared" si="2"/>
        <v>46949.834999999999</v>
      </c>
      <c r="D27" s="25" t="str">
        <f t="shared" si="3"/>
        <v>pe</v>
      </c>
      <c r="E27" s="164">
        <f>VLOOKUP(C27,'Active 1'!C$21:E$928,3,FALSE)</f>
        <v>-2.1218524787198476E-3</v>
      </c>
      <c r="G27" s="25">
        <v>0</v>
      </c>
      <c r="H27" s="25">
        <v>-4.4999999999999998E-2</v>
      </c>
      <c r="I27" s="25">
        <v>46949.834999999999</v>
      </c>
      <c r="J27" s="25" t="s">
        <v>239</v>
      </c>
      <c r="K27" s="25" t="s">
        <v>832</v>
      </c>
      <c r="L27" s="25" t="s">
        <v>837</v>
      </c>
      <c r="N27" s="25" t="s">
        <v>838</v>
      </c>
    </row>
    <row r="28" spans="1:15" x14ac:dyDescent="0.2">
      <c r="A28" s="14" t="str">
        <f t="shared" si="0"/>
        <v>Diethelm Roger</v>
      </c>
      <c r="B28" s="5" t="str">
        <f t="shared" si="1"/>
        <v>II</v>
      </c>
      <c r="C28" s="14">
        <f t="shared" si="2"/>
        <v>47304.468999999997</v>
      </c>
      <c r="D28" s="25" t="str">
        <f t="shared" si="3"/>
        <v>B</v>
      </c>
      <c r="E28" s="164">
        <f>VLOOKUP(C28,'Active 1'!C$21:E$928,3,FALSE)</f>
        <v>752.47890719504119</v>
      </c>
      <c r="G28" s="25">
        <v>752</v>
      </c>
      <c r="H28" s="25">
        <v>-5.6500000000000002E-2</v>
      </c>
      <c r="I28" s="25">
        <v>47304.468999999997</v>
      </c>
      <c r="J28" s="25" t="s">
        <v>827</v>
      </c>
      <c r="K28" s="25" t="s">
        <v>92</v>
      </c>
      <c r="L28" s="25" t="s">
        <v>839</v>
      </c>
      <c r="N28" s="25" t="s">
        <v>840</v>
      </c>
    </row>
    <row r="29" spans="1:15" x14ac:dyDescent="0.2">
      <c r="A29" s="14" t="str">
        <f t="shared" si="0"/>
        <v>Agerer Franz</v>
      </c>
      <c r="B29" s="5" t="str">
        <f t="shared" si="1"/>
        <v>II</v>
      </c>
      <c r="C29" s="14">
        <f t="shared" si="2"/>
        <v>47322.3914</v>
      </c>
      <c r="D29" s="25" t="str">
        <f t="shared" si="3"/>
        <v>V</v>
      </c>
      <c r="E29" s="164">
        <f>VLOOKUP(C29,'Active 1'!C$21:E$928,3,FALSE)</f>
        <v>790.50759591356143</v>
      </c>
      <c r="G29" s="25">
        <v>790</v>
      </c>
      <c r="H29" s="25">
        <v>-4.3099999999999999E-2</v>
      </c>
      <c r="I29" s="25">
        <v>47322.3914</v>
      </c>
      <c r="J29" s="25" t="s">
        <v>827</v>
      </c>
      <c r="K29" s="25" t="s">
        <v>160</v>
      </c>
      <c r="L29" s="25" t="s">
        <v>841</v>
      </c>
      <c r="N29" s="25" t="s">
        <v>842</v>
      </c>
    </row>
    <row r="30" spans="1:15" x14ac:dyDescent="0.2">
      <c r="A30" s="14" t="str">
        <f t="shared" si="0"/>
        <v>Agerer Franz</v>
      </c>
      <c r="B30" s="5" t="str">
        <f t="shared" si="1"/>
        <v>II</v>
      </c>
      <c r="C30" s="14">
        <f t="shared" si="2"/>
        <v>47322.392800000001</v>
      </c>
      <c r="D30" s="25" t="str">
        <f t="shared" si="3"/>
        <v>B</v>
      </c>
      <c r="E30" s="164">
        <f>VLOOKUP(C30,'Active 1'!C$21:E$928,3,FALSE)</f>
        <v>790.5105665070223</v>
      </c>
      <c r="G30" s="25">
        <v>790</v>
      </c>
      <c r="H30" s="25">
        <v>-4.1700000000000001E-2</v>
      </c>
      <c r="I30" s="25">
        <v>47322.392800000001</v>
      </c>
      <c r="J30" s="25" t="s">
        <v>827</v>
      </c>
      <c r="K30" s="25" t="s">
        <v>92</v>
      </c>
      <c r="L30" s="25" t="s">
        <v>841</v>
      </c>
      <c r="N30" s="25" t="s">
        <v>842</v>
      </c>
    </row>
    <row r="31" spans="1:15" x14ac:dyDescent="0.2">
      <c r="A31" s="14" t="str">
        <f t="shared" si="0"/>
        <v>Samec Ronald</v>
      </c>
      <c r="B31" s="5" t="str">
        <f t="shared" si="1"/>
        <v>II</v>
      </c>
      <c r="C31" s="14">
        <f t="shared" si="2"/>
        <v>47323.803</v>
      </c>
      <c r="D31" s="25" t="str">
        <f t="shared" si="3"/>
        <v>pe</v>
      </c>
      <c r="E31" s="164">
        <f>VLOOKUP(C31,'Active 1'!C$21:E$928,3,FALSE)</f>
        <v>793.50280286101452</v>
      </c>
      <c r="G31" s="25">
        <v>793</v>
      </c>
      <c r="H31" s="25">
        <v>-4.53E-2</v>
      </c>
      <c r="I31" s="25">
        <v>47323.803</v>
      </c>
      <c r="J31" s="25" t="s">
        <v>827</v>
      </c>
      <c r="K31" s="25" t="s">
        <v>832</v>
      </c>
      <c r="L31" s="25" t="s">
        <v>843</v>
      </c>
      <c r="N31" s="25" t="s">
        <v>844</v>
      </c>
    </row>
    <row r="32" spans="1:15" x14ac:dyDescent="0.2">
      <c r="A32" s="14" t="str">
        <f t="shared" si="0"/>
        <v>Samec Ronald</v>
      </c>
      <c r="B32" s="5" t="str">
        <f t="shared" si="1"/>
        <v>I</v>
      </c>
      <c r="C32" s="14">
        <f t="shared" si="2"/>
        <v>47326.865599999997</v>
      </c>
      <c r="D32" s="25" t="str">
        <f t="shared" si="3"/>
        <v>pe</v>
      </c>
      <c r="E32" s="164">
        <f>VLOOKUP(C32,'Active 1'!C$21:E$928,3,FALSE)</f>
        <v>800.00118823737159</v>
      </c>
      <c r="G32" s="25">
        <v>800</v>
      </c>
      <c r="H32" s="25">
        <v>-4.58E-2</v>
      </c>
      <c r="I32" s="25">
        <v>47326.865599999997</v>
      </c>
      <c r="J32" s="25" t="s">
        <v>239</v>
      </c>
      <c r="K32" s="25" t="s">
        <v>832</v>
      </c>
      <c r="L32" s="25" t="s">
        <v>843</v>
      </c>
      <c r="N32" s="25" t="s">
        <v>844</v>
      </c>
    </row>
    <row r="33" spans="1:15" x14ac:dyDescent="0.2">
      <c r="A33" s="14" t="str">
        <f t="shared" si="0"/>
        <v>Samec Ronald</v>
      </c>
      <c r="B33" s="5" t="str">
        <f t="shared" si="1"/>
        <v>I</v>
      </c>
      <c r="C33" s="14">
        <f t="shared" si="2"/>
        <v>47328.750699999997</v>
      </c>
      <c r="D33" s="25" t="str">
        <f t="shared" si="3"/>
        <v>pe</v>
      </c>
      <c r="E33" s="164">
        <f>VLOOKUP(C33,'Active 1'!C$21:E$928,3,FALSE)</f>
        <v>804.00109232963894</v>
      </c>
      <c r="G33" s="25">
        <v>804</v>
      </c>
      <c r="H33" s="25">
        <v>-4.58E-2</v>
      </c>
      <c r="I33" s="25">
        <v>47328.750699999997</v>
      </c>
      <c r="J33" s="25" t="s">
        <v>239</v>
      </c>
      <c r="K33" s="25" t="s">
        <v>832</v>
      </c>
      <c r="L33" s="25" t="s">
        <v>843</v>
      </c>
      <c r="N33" s="25" t="s">
        <v>844</v>
      </c>
    </row>
    <row r="34" spans="1:15" x14ac:dyDescent="0.2">
      <c r="A34" s="14" t="str">
        <f t="shared" si="0"/>
        <v>Agerer Franz</v>
      </c>
      <c r="B34" s="5" t="str">
        <f t="shared" si="1"/>
        <v>II</v>
      </c>
      <c r="C34" s="14">
        <f t="shared" si="2"/>
        <v>47353.493699999999</v>
      </c>
      <c r="D34" s="25" t="str">
        <f t="shared" si="3"/>
        <v>B</v>
      </c>
      <c r="E34" s="164">
        <f>VLOOKUP(C34,'Active 1'!C$21:E$928,3,FALSE)</f>
        <v>856.50208800891539</v>
      </c>
      <c r="G34" s="25">
        <v>856</v>
      </c>
      <c r="H34" s="25">
        <v>-4.5900000000000003E-2</v>
      </c>
      <c r="I34" s="25">
        <v>47353.493699999999</v>
      </c>
      <c r="J34" s="25" t="s">
        <v>827</v>
      </c>
      <c r="K34" s="25" t="s">
        <v>92</v>
      </c>
      <c r="L34" s="25" t="s">
        <v>841</v>
      </c>
      <c r="N34" s="25" t="s">
        <v>845</v>
      </c>
    </row>
    <row r="35" spans="1:15" x14ac:dyDescent="0.2">
      <c r="A35" s="14" t="str">
        <f t="shared" si="0"/>
        <v>Agerer Franz</v>
      </c>
      <c r="B35" s="5" t="str">
        <f t="shared" si="1"/>
        <v>II</v>
      </c>
      <c r="C35" s="14">
        <f t="shared" si="2"/>
        <v>47353.493699999999</v>
      </c>
      <c r="D35" s="25" t="str">
        <f t="shared" si="3"/>
        <v>V</v>
      </c>
      <c r="E35" s="164">
        <f>VLOOKUP(C35,'Active 1'!C$21:E$928,3,FALSE)</f>
        <v>856.50208800891539</v>
      </c>
      <c r="G35" s="25">
        <v>856</v>
      </c>
      <c r="H35" s="25">
        <v>-4.5900000000000003E-2</v>
      </c>
      <c r="I35" s="25">
        <v>47353.493699999999</v>
      </c>
      <c r="J35" s="25" t="s">
        <v>827</v>
      </c>
      <c r="K35" s="25" t="s">
        <v>160</v>
      </c>
      <c r="L35" s="25" t="s">
        <v>841</v>
      </c>
      <c r="N35" s="25" t="s">
        <v>845</v>
      </c>
    </row>
    <row r="36" spans="1:15" x14ac:dyDescent="0.2">
      <c r="A36" s="14" t="str">
        <f t="shared" si="0"/>
        <v>Peter H</v>
      </c>
      <c r="B36" s="5" t="str">
        <f t="shared" si="1"/>
        <v>I</v>
      </c>
      <c r="C36" s="14">
        <f t="shared" si="2"/>
        <v>47391.449000000001</v>
      </c>
      <c r="D36" s="25" t="str">
        <f t="shared" si="3"/>
        <v>vis</v>
      </c>
      <c r="E36" s="164">
        <f>VLOOKUP(C36,'Active 1'!C$21:E$928,3,FALSE)</f>
        <v>937.03763508508007</v>
      </c>
      <c r="G36" s="25">
        <v>937</v>
      </c>
      <c r="H36" s="25">
        <v>-2.9000000000000001E-2</v>
      </c>
      <c r="I36" s="25">
        <v>47391.449000000001</v>
      </c>
      <c r="J36" s="25" t="s">
        <v>239</v>
      </c>
      <c r="K36" s="25" t="s">
        <v>236</v>
      </c>
      <c r="L36" s="25" t="s">
        <v>846</v>
      </c>
      <c r="O36" s="25" t="s">
        <v>847</v>
      </c>
    </row>
    <row r="37" spans="1:15" x14ac:dyDescent="0.2">
      <c r="A37" s="14" t="str">
        <f t="shared" si="0"/>
        <v>Peter H</v>
      </c>
      <c r="B37" s="5" t="str">
        <f t="shared" si="1"/>
        <v>I</v>
      </c>
      <c r="C37" s="14">
        <f t="shared" si="2"/>
        <v>47743.466999999997</v>
      </c>
      <c r="D37" s="25" t="str">
        <f t="shared" si="3"/>
        <v>vis</v>
      </c>
      <c r="E37" s="164">
        <f>VLOOKUP(C37,'Active 1'!C$21:E$928,3,FALSE)</f>
        <v>1683.9678980695894</v>
      </c>
      <c r="G37" s="25">
        <v>1684</v>
      </c>
      <c r="H37" s="25">
        <v>-6.4000000000000001E-2</v>
      </c>
      <c r="I37" s="25">
        <v>47743.466999999997</v>
      </c>
      <c r="J37" s="25" t="s">
        <v>239</v>
      </c>
      <c r="K37" s="25" t="s">
        <v>236</v>
      </c>
      <c r="L37" s="25" t="s">
        <v>846</v>
      </c>
      <c r="O37" s="25" t="s">
        <v>848</v>
      </c>
    </row>
    <row r="38" spans="1:15" x14ac:dyDescent="0.2">
      <c r="A38" s="14" t="str">
        <f t="shared" si="0"/>
        <v>Peter H</v>
      </c>
      <c r="B38" s="5" t="str">
        <f t="shared" si="1"/>
        <v>II</v>
      </c>
      <c r="C38" s="14">
        <f t="shared" si="2"/>
        <v>47748.434999999998</v>
      </c>
      <c r="D38" s="25" t="str">
        <f t="shared" si="3"/>
        <v>vis</v>
      </c>
      <c r="E38" s="164">
        <f>VLOOKUP(C38,'Active 1'!C$21:E$928,3,FALSE)</f>
        <v>1694.5092611433745</v>
      </c>
      <c r="G38" s="25">
        <v>1694</v>
      </c>
      <c r="H38" s="25">
        <v>-4.4900000000000002E-2</v>
      </c>
      <c r="I38" s="25">
        <v>47748.434999999998</v>
      </c>
      <c r="J38" s="25" t="s">
        <v>827</v>
      </c>
      <c r="K38" s="25" t="s">
        <v>236</v>
      </c>
      <c r="L38" s="25" t="s">
        <v>846</v>
      </c>
      <c r="O38" s="25" t="s">
        <v>848</v>
      </c>
    </row>
    <row r="39" spans="1:15" x14ac:dyDescent="0.2">
      <c r="A39" s="14" t="str">
        <f t="shared" si="0"/>
        <v>Peter H</v>
      </c>
      <c r="B39" s="5" t="str">
        <f t="shared" si="1"/>
        <v>II</v>
      </c>
      <c r="C39" s="14">
        <f t="shared" si="2"/>
        <v>47757.398999999998</v>
      </c>
      <c r="D39" s="25" t="str">
        <f t="shared" si="3"/>
        <v>vis</v>
      </c>
      <c r="E39" s="164">
        <f>VLOOKUP(C39,'Active 1'!C$21:E$928,3,FALSE)</f>
        <v>1713.5295466895486</v>
      </c>
      <c r="G39" s="25">
        <v>1713</v>
      </c>
      <c r="H39" s="25">
        <v>-3.5400000000000001E-2</v>
      </c>
      <c r="I39" s="25">
        <v>47757.398999999998</v>
      </c>
      <c r="J39" s="25" t="s">
        <v>827</v>
      </c>
      <c r="K39" s="25" t="s">
        <v>236</v>
      </c>
      <c r="L39" s="25" t="s">
        <v>846</v>
      </c>
      <c r="O39" s="25" t="s">
        <v>848</v>
      </c>
    </row>
    <row r="40" spans="1:15" x14ac:dyDescent="0.2">
      <c r="A40" s="14" t="str">
        <f t="shared" si="0"/>
        <v>Peter H</v>
      </c>
      <c r="B40" s="5" t="str">
        <f t="shared" si="1"/>
        <v>I</v>
      </c>
      <c r="C40" s="14">
        <f t="shared" si="2"/>
        <v>48014.49</v>
      </c>
      <c r="D40" s="25" t="str">
        <f t="shared" si="3"/>
        <v>vis</v>
      </c>
      <c r="E40" s="164">
        <f>VLOOKUP(C40,'Active 1'!C$21:E$928,3,FALSE)</f>
        <v>2259.0387202004281</v>
      </c>
      <c r="G40" s="25">
        <v>2259</v>
      </c>
      <c r="H40" s="25">
        <v>-3.2300000000000002E-2</v>
      </c>
      <c r="I40" s="25">
        <v>48014.49</v>
      </c>
      <c r="J40" s="25" t="s">
        <v>239</v>
      </c>
      <c r="K40" s="25" t="s">
        <v>236</v>
      </c>
      <c r="L40" s="25" t="s">
        <v>846</v>
      </c>
      <c r="O40" s="25" t="s">
        <v>850</v>
      </c>
    </row>
    <row r="41" spans="1:15" x14ac:dyDescent="0.2">
      <c r="A41" s="14" t="str">
        <f t="shared" si="0"/>
        <v>Peter H</v>
      </c>
      <c r="B41" s="5" t="str">
        <f t="shared" si="1"/>
        <v>I</v>
      </c>
      <c r="C41" s="14">
        <f t="shared" si="2"/>
        <v>48015.413</v>
      </c>
      <c r="D41" s="25" t="str">
        <f t="shared" si="3"/>
        <v>vis</v>
      </c>
      <c r="E41" s="164">
        <f>VLOOKUP(C41,'Active 1'!C$21:E$928,3,FALSE)</f>
        <v>2260.9971900307678</v>
      </c>
      <c r="G41" s="25">
        <v>2261</v>
      </c>
      <c r="H41" s="25">
        <v>-5.1900000000000002E-2</v>
      </c>
      <c r="I41" s="25">
        <v>48015.413</v>
      </c>
      <c r="J41" s="25" t="s">
        <v>239</v>
      </c>
      <c r="K41" s="25" t="s">
        <v>236</v>
      </c>
      <c r="L41" s="25" t="s">
        <v>846</v>
      </c>
      <c r="O41" s="25" t="s">
        <v>850</v>
      </c>
    </row>
    <row r="42" spans="1:15" x14ac:dyDescent="0.2">
      <c r="A42" s="14" t="str">
        <f t="shared" si="0"/>
        <v>Peter H</v>
      </c>
      <c r="B42" s="5" t="str">
        <f t="shared" si="1"/>
        <v>I</v>
      </c>
      <c r="C42" s="14">
        <f t="shared" si="2"/>
        <v>48039.463000000003</v>
      </c>
      <c r="D42" s="25" t="str">
        <f t="shared" si="3"/>
        <v>vis</v>
      </c>
      <c r="E42" s="164">
        <f>VLOOKUP(C42,'Active 1'!C$21:E$928,3,FALSE)</f>
        <v>2312.0277419479421</v>
      </c>
      <c r="G42" s="25">
        <v>2312</v>
      </c>
      <c r="H42" s="25">
        <v>-3.7600000000000001E-2</v>
      </c>
      <c r="I42" s="25">
        <v>48039.463000000003</v>
      </c>
      <c r="J42" s="25" t="s">
        <v>239</v>
      </c>
      <c r="K42" s="25" t="s">
        <v>236</v>
      </c>
      <c r="L42" s="25" t="s">
        <v>846</v>
      </c>
      <c r="O42" s="25" t="s">
        <v>850</v>
      </c>
    </row>
    <row r="43" spans="1:15" x14ac:dyDescent="0.2">
      <c r="A43" s="14" t="str">
        <f t="shared" ref="A43:A74" si="4">L43</f>
        <v>Peter H</v>
      </c>
      <c r="B43" s="5" t="str">
        <f t="shared" ref="B43:B74" si="5">IF(J43="s","II","I")</f>
        <v>II</v>
      </c>
      <c r="C43" s="14">
        <f t="shared" ref="C43:C74" si="6">I43</f>
        <v>48044.400999999998</v>
      </c>
      <c r="D43" s="25" t="str">
        <f t="shared" ref="D43:D74" si="7">K43</f>
        <v>vis</v>
      </c>
      <c r="E43" s="164">
        <f>VLOOKUP(C43,'Active 1'!C$21:E$928,3,FALSE)</f>
        <v>2322.5054494475971</v>
      </c>
      <c r="G43" s="25">
        <v>2322</v>
      </c>
      <c r="H43" s="25">
        <v>-4.8500000000000001E-2</v>
      </c>
      <c r="I43" s="25">
        <v>48044.400999999998</v>
      </c>
      <c r="J43" s="25" t="s">
        <v>827</v>
      </c>
      <c r="K43" s="25" t="s">
        <v>236</v>
      </c>
      <c r="L43" s="25" t="s">
        <v>846</v>
      </c>
      <c r="O43" s="25" t="s">
        <v>850</v>
      </c>
    </row>
    <row r="44" spans="1:15" x14ac:dyDescent="0.2">
      <c r="A44" s="14" t="str">
        <f t="shared" si="4"/>
        <v>Peter H</v>
      </c>
      <c r="B44" s="5" t="str">
        <f t="shared" si="5"/>
        <v>II</v>
      </c>
      <c r="C44" s="14">
        <f t="shared" si="6"/>
        <v>48085.415000000001</v>
      </c>
      <c r="D44" s="25" t="str">
        <f t="shared" si="7"/>
        <v>vis</v>
      </c>
      <c r="E44" s="164">
        <f>VLOOKUP(C44,'Active 1'!C$21:E$928,3,FALSE)</f>
        <v>2409.5311066754921</v>
      </c>
      <c r="G44" s="25">
        <v>2409</v>
      </c>
      <c r="H44" s="25">
        <v>-3.6700000000000003E-2</v>
      </c>
      <c r="I44" s="25">
        <v>48085.415000000001</v>
      </c>
      <c r="J44" s="25" t="s">
        <v>827</v>
      </c>
      <c r="K44" s="25" t="s">
        <v>236</v>
      </c>
      <c r="L44" s="25" t="s">
        <v>846</v>
      </c>
      <c r="O44" s="25" t="s">
        <v>852</v>
      </c>
    </row>
    <row r="45" spans="1:15" x14ac:dyDescent="0.2">
      <c r="A45" s="14" t="str">
        <f t="shared" si="4"/>
        <v>Peter H</v>
      </c>
      <c r="B45" s="5" t="str">
        <f t="shared" si="5"/>
        <v>I</v>
      </c>
      <c r="C45" s="14">
        <f t="shared" si="6"/>
        <v>48089.428999999996</v>
      </c>
      <c r="D45" s="25" t="str">
        <f t="shared" si="7"/>
        <v>vis</v>
      </c>
      <c r="E45" s="164">
        <f>VLOOKUP(C45,'Active 1'!C$21:E$928,3,FALSE)</f>
        <v>2418.0482224923439</v>
      </c>
      <c r="G45" s="25">
        <v>2418</v>
      </c>
      <c r="H45" s="25">
        <v>-2.8299999999999999E-2</v>
      </c>
      <c r="I45" s="25">
        <v>48089.428999999996</v>
      </c>
      <c r="J45" s="25" t="s">
        <v>239</v>
      </c>
      <c r="K45" s="25" t="s">
        <v>236</v>
      </c>
      <c r="L45" s="25" t="s">
        <v>846</v>
      </c>
      <c r="O45" s="25" t="s">
        <v>852</v>
      </c>
    </row>
    <row r="46" spans="1:15" x14ac:dyDescent="0.2">
      <c r="A46" s="14" t="str">
        <f t="shared" si="4"/>
        <v>Peter H</v>
      </c>
      <c r="B46" s="5" t="str">
        <f t="shared" si="5"/>
        <v>I</v>
      </c>
      <c r="C46" s="14">
        <f t="shared" si="6"/>
        <v>48113.425999999999</v>
      </c>
      <c r="D46" s="25" t="str">
        <f t="shared" si="7"/>
        <v>vis</v>
      </c>
      <c r="E46" s="164">
        <f>VLOOKUP(C46,'Active 1'!C$21:E$928,3,FALSE)</f>
        <v>2468.9663162285783</v>
      </c>
      <c r="G46" s="25">
        <v>2469</v>
      </c>
      <c r="H46" s="25">
        <v>-6.7000000000000004E-2</v>
      </c>
      <c r="I46" s="25">
        <v>48113.425999999999</v>
      </c>
      <c r="J46" s="25" t="s">
        <v>239</v>
      </c>
      <c r="K46" s="25" t="s">
        <v>236</v>
      </c>
      <c r="L46" s="25" t="s">
        <v>846</v>
      </c>
      <c r="O46" s="25" t="s">
        <v>852</v>
      </c>
    </row>
    <row r="47" spans="1:15" x14ac:dyDescent="0.2">
      <c r="A47" s="14" t="str">
        <f t="shared" si="4"/>
        <v>Peter H</v>
      </c>
      <c r="B47" s="5" t="str">
        <f t="shared" si="5"/>
        <v>I</v>
      </c>
      <c r="C47" s="14">
        <f t="shared" si="6"/>
        <v>48114.400000000001</v>
      </c>
      <c r="D47" s="25" t="str">
        <f t="shared" si="7"/>
        <v>vis</v>
      </c>
      <c r="E47" s="164">
        <f>VLOOKUP(C47,'Active 1'!C$21:E$928,3,FALSE)</f>
        <v>2471.033000534916</v>
      </c>
      <c r="G47" s="25">
        <v>2471</v>
      </c>
      <c r="H47" s="25">
        <v>-3.56E-2</v>
      </c>
      <c r="I47" s="25">
        <v>48114.400000000001</v>
      </c>
      <c r="J47" s="25" t="s">
        <v>239</v>
      </c>
      <c r="K47" s="25" t="s">
        <v>236</v>
      </c>
      <c r="L47" s="25" t="s">
        <v>846</v>
      </c>
      <c r="O47" s="25" t="s">
        <v>852</v>
      </c>
    </row>
    <row r="48" spans="1:15" x14ac:dyDescent="0.2">
      <c r="A48" s="14" t="str">
        <f t="shared" si="4"/>
        <v>Peter H</v>
      </c>
      <c r="B48" s="5" t="str">
        <f t="shared" si="5"/>
        <v>I</v>
      </c>
      <c r="C48" s="14">
        <f t="shared" si="6"/>
        <v>48163.402000000002</v>
      </c>
      <c r="D48" s="25" t="str">
        <f t="shared" si="7"/>
        <v>vis</v>
      </c>
      <c r="E48" s="164">
        <f>VLOOKUP(C48,'Active 1'!C$21:E$928,3,FALSE)</f>
        <v>2575.0080152977052</v>
      </c>
      <c r="G48" s="25">
        <v>2575</v>
      </c>
      <c r="H48" s="25">
        <v>-4.7699999999999999E-2</v>
      </c>
      <c r="I48" s="25">
        <v>48163.402000000002</v>
      </c>
      <c r="J48" s="25" t="s">
        <v>239</v>
      </c>
      <c r="K48" s="25" t="s">
        <v>236</v>
      </c>
      <c r="L48" s="25" t="s">
        <v>846</v>
      </c>
      <c r="O48" s="25" t="s">
        <v>852</v>
      </c>
    </row>
    <row r="49" spans="1:15" x14ac:dyDescent="0.2">
      <c r="A49" s="14" t="str">
        <f t="shared" si="4"/>
        <v>Agerer Franz</v>
      </c>
      <c r="B49" s="5" t="str">
        <f t="shared" si="5"/>
        <v>I</v>
      </c>
      <c r="C49" s="14">
        <f t="shared" si="6"/>
        <v>48358.516000000003</v>
      </c>
      <c r="D49" s="25" t="str">
        <f t="shared" si="7"/>
        <v>V</v>
      </c>
      <c r="E49" s="164">
        <f>VLOOKUP(C49,'Active 1'!C$21:E$928,3,FALSE)</f>
        <v>2989.0111382401742</v>
      </c>
      <c r="G49" s="25">
        <v>2989</v>
      </c>
      <c r="H49" s="25">
        <v>-4.7399999999999998E-2</v>
      </c>
      <c r="I49" s="25">
        <v>48358.516000000003</v>
      </c>
      <c r="J49" s="25" t="s">
        <v>239</v>
      </c>
      <c r="K49" s="25" t="s">
        <v>160</v>
      </c>
      <c r="L49" s="25" t="s">
        <v>841</v>
      </c>
      <c r="N49" s="25" t="s">
        <v>851</v>
      </c>
    </row>
    <row r="50" spans="1:15" x14ac:dyDescent="0.2">
      <c r="A50" s="14" t="str">
        <f t="shared" si="4"/>
        <v>Agerer Franz</v>
      </c>
      <c r="B50" s="5" t="str">
        <f t="shared" si="5"/>
        <v>I</v>
      </c>
      <c r="C50" s="14">
        <f t="shared" si="6"/>
        <v>48358.516000000003</v>
      </c>
      <c r="D50" s="25" t="str">
        <f t="shared" si="7"/>
        <v>B</v>
      </c>
      <c r="E50" s="164">
        <f>VLOOKUP(C50,'Active 1'!C$21:E$928,3,FALSE)</f>
        <v>2989.0111382401742</v>
      </c>
      <c r="G50" s="25">
        <v>2989</v>
      </c>
      <c r="H50" s="25">
        <v>-4.7399999999999998E-2</v>
      </c>
      <c r="I50" s="25">
        <v>48358.516000000003</v>
      </c>
      <c r="J50" s="25" t="s">
        <v>239</v>
      </c>
      <c r="K50" s="25" t="s">
        <v>92</v>
      </c>
      <c r="L50" s="25" t="s">
        <v>841</v>
      </c>
      <c r="N50" s="25" t="s">
        <v>851</v>
      </c>
    </row>
    <row r="51" spans="1:15" x14ac:dyDescent="0.2">
      <c r="A51" s="14" t="str">
        <f t="shared" si="4"/>
        <v>Peter H</v>
      </c>
      <c r="B51" s="5" t="str">
        <f t="shared" si="5"/>
        <v>I</v>
      </c>
      <c r="C51" s="14">
        <f t="shared" si="6"/>
        <v>48441.45</v>
      </c>
      <c r="D51" s="25" t="str">
        <f t="shared" si="7"/>
        <v>vis</v>
      </c>
      <c r="E51" s="164">
        <f>VLOOKUP(C51,'Active 1'!C$21:E$928,3,FALSE)</f>
        <v>3164.984851034274</v>
      </c>
      <c r="G51" s="25">
        <v>3165</v>
      </c>
      <c r="H51" s="25">
        <v>-6.0299999999999999E-2</v>
      </c>
      <c r="I51" s="25">
        <v>48441.45</v>
      </c>
      <c r="J51" s="25" t="s">
        <v>239</v>
      </c>
      <c r="K51" s="25" t="s">
        <v>236</v>
      </c>
      <c r="L51" s="25" t="s">
        <v>846</v>
      </c>
      <c r="O51" s="25" t="s">
        <v>853</v>
      </c>
    </row>
    <row r="52" spans="1:15" x14ac:dyDescent="0.2">
      <c r="A52" s="14" t="str">
        <f t="shared" si="4"/>
        <v>Agerer Franz</v>
      </c>
      <c r="B52" s="5" t="str">
        <f t="shared" si="5"/>
        <v>I</v>
      </c>
      <c r="C52" s="14">
        <f t="shared" si="6"/>
        <v>48449.4738</v>
      </c>
      <c r="D52" s="25" t="str">
        <f t="shared" si="7"/>
        <v>V</v>
      </c>
      <c r="E52" s="164">
        <f>VLOOKUP(C52,'Active 1'!C$21:E$928,3,FALSE)</f>
        <v>3182.0101708876255</v>
      </c>
      <c r="G52" s="25">
        <v>3182</v>
      </c>
      <c r="H52" s="25">
        <v>-4.8399999999999999E-2</v>
      </c>
      <c r="I52" s="25">
        <v>48449.4738</v>
      </c>
      <c r="J52" s="25" t="s">
        <v>239</v>
      </c>
      <c r="K52" s="25" t="s">
        <v>160</v>
      </c>
      <c r="L52" s="25" t="s">
        <v>841</v>
      </c>
      <c r="N52" s="25" t="s">
        <v>854</v>
      </c>
    </row>
    <row r="53" spans="1:15" x14ac:dyDescent="0.2">
      <c r="A53" s="14" t="str">
        <f t="shared" si="4"/>
        <v>Agerer Franz</v>
      </c>
      <c r="B53" s="5" t="str">
        <f t="shared" si="5"/>
        <v>I</v>
      </c>
      <c r="C53" s="14">
        <f t="shared" si="6"/>
        <v>48449.474399999999</v>
      </c>
      <c r="D53" s="25" t="str">
        <f t="shared" si="7"/>
        <v>B</v>
      </c>
      <c r="E53" s="164">
        <f>VLOOKUP(C53,'Active 1'!C$21:E$928,3,FALSE)</f>
        <v>3182.0114439991066</v>
      </c>
      <c r="G53" s="25">
        <v>3182</v>
      </c>
      <c r="H53" s="25">
        <v>-4.7800000000000002E-2</v>
      </c>
      <c r="I53" s="25">
        <v>48449.474399999999</v>
      </c>
      <c r="J53" s="25" t="s">
        <v>239</v>
      </c>
      <c r="K53" s="25" t="s">
        <v>92</v>
      </c>
      <c r="L53" s="25" t="s">
        <v>841</v>
      </c>
      <c r="N53" s="25" t="s">
        <v>854</v>
      </c>
    </row>
    <row r="54" spans="1:15" x14ac:dyDescent="0.2">
      <c r="A54" s="14" t="str">
        <f t="shared" si="4"/>
        <v>Peter H</v>
      </c>
      <c r="B54" s="5" t="str">
        <f t="shared" si="5"/>
        <v>I</v>
      </c>
      <c r="C54" s="14">
        <f t="shared" si="6"/>
        <v>48466.432999999997</v>
      </c>
      <c r="D54" s="25" t="str">
        <f t="shared" si="7"/>
        <v>vis</v>
      </c>
      <c r="E54" s="164">
        <f>VLOOKUP(C54,'Active 1'!C$21:E$928,3,FALSE)</f>
        <v>3217.9950913064827</v>
      </c>
      <c r="G54" s="25">
        <v>3218</v>
      </c>
      <c r="H54" s="25">
        <v>-5.5599999999999997E-2</v>
      </c>
      <c r="I54" s="25">
        <v>48466.432999999997</v>
      </c>
      <c r="J54" s="25" t="s">
        <v>239</v>
      </c>
      <c r="K54" s="25" t="s">
        <v>236</v>
      </c>
      <c r="L54" s="25" t="s">
        <v>846</v>
      </c>
      <c r="O54" s="25" t="s">
        <v>853</v>
      </c>
    </row>
    <row r="55" spans="1:15" x14ac:dyDescent="0.2">
      <c r="A55" s="14" t="str">
        <f t="shared" si="4"/>
        <v>Agerer Franz</v>
      </c>
      <c r="B55" s="5" t="str">
        <f t="shared" si="5"/>
        <v>I</v>
      </c>
      <c r="C55" s="14">
        <f t="shared" si="6"/>
        <v>48474.452899999997</v>
      </c>
      <c r="D55" s="25" t="str">
        <f t="shared" si="7"/>
        <v>B</v>
      </c>
      <c r="E55" s="164">
        <f>VLOOKUP(C55,'Active 1'!C$21:E$928,3,FALSE)</f>
        <v>3235.012135935192</v>
      </c>
      <c r="G55" s="25">
        <v>3235</v>
      </c>
      <c r="H55" s="25">
        <v>-4.7699999999999999E-2</v>
      </c>
      <c r="I55" s="25">
        <v>48474.452899999997</v>
      </c>
      <c r="J55" s="25" t="s">
        <v>239</v>
      </c>
      <c r="K55" s="25" t="s">
        <v>92</v>
      </c>
      <c r="L55" s="25" t="s">
        <v>841</v>
      </c>
      <c r="N55" s="25" t="s">
        <v>854</v>
      </c>
    </row>
    <row r="56" spans="1:15" x14ac:dyDescent="0.2">
      <c r="A56" s="14" t="str">
        <f t="shared" si="4"/>
        <v>Agerer Franz</v>
      </c>
      <c r="B56" s="5" t="str">
        <f t="shared" si="5"/>
        <v>I</v>
      </c>
      <c r="C56" s="14">
        <f t="shared" si="6"/>
        <v>48474.454700000002</v>
      </c>
      <c r="D56" s="25" t="str">
        <f t="shared" si="7"/>
        <v>V</v>
      </c>
      <c r="E56" s="164">
        <f>VLOOKUP(C56,'Active 1'!C$21:E$928,3,FALSE)</f>
        <v>3235.0159552696505</v>
      </c>
      <c r="G56" s="25">
        <v>3235</v>
      </c>
      <c r="H56" s="25">
        <v>-4.5900000000000003E-2</v>
      </c>
      <c r="I56" s="25">
        <v>48474.454700000002</v>
      </c>
      <c r="J56" s="25" t="s">
        <v>239</v>
      </c>
      <c r="K56" s="25" t="s">
        <v>160</v>
      </c>
      <c r="L56" s="25" t="s">
        <v>841</v>
      </c>
      <c r="N56" s="25" t="s">
        <v>854</v>
      </c>
    </row>
    <row r="57" spans="1:15" x14ac:dyDescent="0.2">
      <c r="A57" s="14" t="str">
        <f t="shared" si="4"/>
        <v>Peter H</v>
      </c>
      <c r="B57" s="5" t="str">
        <f t="shared" si="5"/>
        <v>II</v>
      </c>
      <c r="C57" s="14">
        <f t="shared" si="6"/>
        <v>48503.44</v>
      </c>
      <c r="D57" s="25" t="str">
        <f t="shared" si="7"/>
        <v>vis</v>
      </c>
      <c r="E57" s="164">
        <f>VLOOKUP(C57,'Active 1'!C$21:E$928,3,FALSE)</f>
        <v>3296.518485684815</v>
      </c>
      <c r="G57" s="25">
        <v>3296</v>
      </c>
      <c r="H57" s="25">
        <v>-4.5199999999999997E-2</v>
      </c>
      <c r="I57" s="25">
        <v>48503.44</v>
      </c>
      <c r="J57" s="25" t="s">
        <v>827</v>
      </c>
      <c r="K57" s="25" t="s">
        <v>236</v>
      </c>
      <c r="L57" s="25" t="s">
        <v>846</v>
      </c>
      <c r="O57" s="25" t="s">
        <v>855</v>
      </c>
    </row>
    <row r="58" spans="1:15" x14ac:dyDescent="0.2">
      <c r="A58" s="14" t="str">
        <f t="shared" si="4"/>
        <v>Peter H</v>
      </c>
      <c r="B58" s="5" t="str">
        <f t="shared" si="5"/>
        <v>I</v>
      </c>
      <c r="C58" s="14">
        <f t="shared" si="6"/>
        <v>48761.447999999997</v>
      </c>
      <c r="D58" s="25" t="str">
        <f t="shared" si="7"/>
        <v>vis</v>
      </c>
      <c r="E58" s="164">
        <f>VLOOKUP(C58,'Active 1'!C$21:E$928,3,FALSE)</f>
        <v>3843.9733979111929</v>
      </c>
      <c r="G58" s="25">
        <v>3844</v>
      </c>
      <c r="H58" s="25">
        <v>-6.7699999999999996E-2</v>
      </c>
      <c r="I58" s="25">
        <v>48761.447999999997</v>
      </c>
      <c r="J58" s="25" t="s">
        <v>239</v>
      </c>
      <c r="K58" s="25" t="s">
        <v>236</v>
      </c>
      <c r="L58" s="25" t="s">
        <v>846</v>
      </c>
      <c r="O58" s="25" t="s">
        <v>856</v>
      </c>
    </row>
    <row r="59" spans="1:15" x14ac:dyDescent="0.2">
      <c r="A59" s="14" t="str">
        <f t="shared" si="4"/>
        <v>Peter H</v>
      </c>
      <c r="B59" s="5" t="str">
        <f t="shared" si="5"/>
        <v>I</v>
      </c>
      <c r="C59" s="14">
        <f t="shared" si="6"/>
        <v>48820.400999999998</v>
      </c>
      <c r="D59" s="25" t="str">
        <f t="shared" si="7"/>
        <v>vis</v>
      </c>
      <c r="E59" s="164">
        <f>VLOOKUP(C59,'Active 1'!C$21:E$928,3,FALSE)</f>
        <v>3969.0629666086093</v>
      </c>
      <c r="G59" s="25">
        <v>3969</v>
      </c>
      <c r="H59" s="25">
        <v>-2.58E-2</v>
      </c>
      <c r="I59" s="25">
        <v>48820.400999999998</v>
      </c>
      <c r="J59" s="25" t="s">
        <v>239</v>
      </c>
      <c r="K59" s="25" t="s">
        <v>236</v>
      </c>
      <c r="L59" s="25" t="s">
        <v>846</v>
      </c>
      <c r="O59" s="25" t="s">
        <v>856</v>
      </c>
    </row>
    <row r="60" spans="1:15" x14ac:dyDescent="0.2">
      <c r="A60" s="14" t="str">
        <f t="shared" si="4"/>
        <v>Peter H</v>
      </c>
      <c r="B60" s="5" t="str">
        <f t="shared" si="5"/>
        <v>I</v>
      </c>
      <c r="C60" s="14">
        <f t="shared" si="6"/>
        <v>48845.353000000003</v>
      </c>
      <c r="D60" s="25" t="str">
        <f t="shared" si="7"/>
        <v>vis</v>
      </c>
      <c r="E60" s="164">
        <f>VLOOKUP(C60,'Active 1'!C$21:E$928,3,FALSE)</f>
        <v>4022.0074294542401</v>
      </c>
      <c r="G60" s="25">
        <v>4022</v>
      </c>
      <c r="H60" s="25">
        <v>-5.2200000000000003E-2</v>
      </c>
      <c r="I60" s="25">
        <v>48845.353000000003</v>
      </c>
      <c r="J60" s="25" t="s">
        <v>239</v>
      </c>
      <c r="K60" s="25" t="s">
        <v>236</v>
      </c>
      <c r="L60" s="25" t="s">
        <v>846</v>
      </c>
      <c r="O60" s="25" t="s">
        <v>857</v>
      </c>
    </row>
    <row r="61" spans="1:15" x14ac:dyDescent="0.2">
      <c r="A61" s="14" t="str">
        <f t="shared" si="4"/>
        <v>Agerer Franz</v>
      </c>
      <c r="B61" s="5" t="str">
        <f t="shared" si="5"/>
        <v>I</v>
      </c>
      <c r="C61" s="14">
        <f t="shared" si="6"/>
        <v>49147.451300000001</v>
      </c>
      <c r="D61" s="25" t="str">
        <f t="shared" si="7"/>
        <v>V</v>
      </c>
      <c r="E61" s="164">
        <f>VLOOKUP(C61,'Active 1'!C$21:E$928,3,FALSE)</f>
        <v>4663.0154536637237</v>
      </c>
      <c r="G61" s="25">
        <v>4663</v>
      </c>
      <c r="H61" s="25">
        <v>-5.0200000000000002E-2</v>
      </c>
      <c r="I61" s="25">
        <v>49147.451300000001</v>
      </c>
      <c r="J61" s="25" t="s">
        <v>239</v>
      </c>
      <c r="K61" s="25" t="s">
        <v>160</v>
      </c>
      <c r="L61" s="25" t="s">
        <v>841</v>
      </c>
      <c r="N61" s="25" t="s">
        <v>858</v>
      </c>
    </row>
    <row r="62" spans="1:15" x14ac:dyDescent="0.2">
      <c r="A62" s="14" t="str">
        <f t="shared" si="4"/>
        <v>Agerer Franz</v>
      </c>
      <c r="B62" s="5" t="str">
        <f t="shared" si="5"/>
        <v>I</v>
      </c>
      <c r="C62" s="14">
        <f t="shared" si="6"/>
        <v>49147.451300000001</v>
      </c>
      <c r="D62" s="25" t="str">
        <f t="shared" si="7"/>
        <v>B</v>
      </c>
      <c r="E62" s="164">
        <f>VLOOKUP(C62,'Active 1'!C$21:E$928,3,FALSE)</f>
        <v>4663.0154536637237</v>
      </c>
      <c r="G62" s="25">
        <v>4663</v>
      </c>
      <c r="H62" s="25">
        <v>-5.0200000000000002E-2</v>
      </c>
      <c r="I62" s="25">
        <v>49147.451300000001</v>
      </c>
      <c r="J62" s="25" t="s">
        <v>239</v>
      </c>
      <c r="K62" s="25" t="s">
        <v>92</v>
      </c>
      <c r="L62" s="25" t="s">
        <v>841</v>
      </c>
      <c r="N62" s="25" t="s">
        <v>858</v>
      </c>
    </row>
    <row r="63" spans="1:15" x14ac:dyDescent="0.2">
      <c r="A63" s="14" t="str">
        <f t="shared" si="4"/>
        <v>Agerer Franz</v>
      </c>
      <c r="B63" s="5" t="str">
        <f t="shared" si="5"/>
        <v>I</v>
      </c>
      <c r="C63" s="14">
        <f t="shared" si="6"/>
        <v>49474.525600000001</v>
      </c>
      <c r="D63" s="25" t="str">
        <f t="shared" si="7"/>
        <v>B</v>
      </c>
      <c r="E63" s="164">
        <f>VLOOKUP(C63,'Active 1'!C$21:E$928,3,FALSE)</f>
        <v>5357.0188651781264</v>
      </c>
      <c r="G63" s="25">
        <v>5357</v>
      </c>
      <c r="H63" s="25">
        <v>-5.0599999999999999E-2</v>
      </c>
      <c r="I63" s="25">
        <v>49474.525600000001</v>
      </c>
      <c r="J63" s="25" t="s">
        <v>239</v>
      </c>
      <c r="K63" s="25" t="s">
        <v>92</v>
      </c>
      <c r="L63" s="25" t="s">
        <v>841</v>
      </c>
      <c r="N63" s="25" t="s">
        <v>858</v>
      </c>
    </row>
    <row r="64" spans="1:15" x14ac:dyDescent="0.2">
      <c r="A64" s="14" t="str">
        <f t="shared" si="4"/>
        <v>Agerer Franz</v>
      </c>
      <c r="B64" s="5" t="str">
        <f t="shared" si="5"/>
        <v>I</v>
      </c>
      <c r="C64" s="14">
        <f t="shared" si="6"/>
        <v>49474.525699999998</v>
      </c>
      <c r="D64" s="25" t="str">
        <f t="shared" si="7"/>
        <v>V</v>
      </c>
      <c r="E64" s="164">
        <f>VLOOKUP(C64,'Active 1'!C$21:E$928,3,FALSE)</f>
        <v>5357.0190773633676</v>
      </c>
      <c r="G64" s="25">
        <v>5357</v>
      </c>
      <c r="H64" s="25">
        <v>-5.0500000000000003E-2</v>
      </c>
      <c r="I64" s="25">
        <v>49474.525699999998</v>
      </c>
      <c r="J64" s="25" t="s">
        <v>239</v>
      </c>
      <c r="K64" s="25" t="s">
        <v>160</v>
      </c>
      <c r="L64" s="25" t="s">
        <v>841</v>
      </c>
      <c r="N64" s="25" t="s">
        <v>858</v>
      </c>
    </row>
    <row r="65" spans="1:15" x14ac:dyDescent="0.2">
      <c r="A65" s="14" t="str">
        <f t="shared" si="4"/>
        <v>Agerer Franz</v>
      </c>
      <c r="B65" s="5" t="str">
        <f t="shared" si="5"/>
        <v>I</v>
      </c>
      <c r="C65" s="14">
        <f t="shared" si="6"/>
        <v>49600.358</v>
      </c>
      <c r="D65" s="25" t="str">
        <f t="shared" si="7"/>
        <v>V</v>
      </c>
      <c r="E65" s="164">
        <f>VLOOKUP(C65,'Active 1'!C$21:E$928,3,FALSE)</f>
        <v>5624.0166539956654</v>
      </c>
      <c r="G65" s="25">
        <v>5624</v>
      </c>
      <c r="H65" s="25">
        <v>-5.2499999999999998E-2</v>
      </c>
      <c r="I65" s="25">
        <v>49600.358</v>
      </c>
      <c r="J65" s="25" t="s">
        <v>239</v>
      </c>
      <c r="K65" s="25" t="s">
        <v>160</v>
      </c>
      <c r="L65" s="25" t="s">
        <v>841</v>
      </c>
      <c r="N65" s="25" t="s">
        <v>859</v>
      </c>
    </row>
    <row r="66" spans="1:15" x14ac:dyDescent="0.2">
      <c r="A66" s="14" t="str">
        <f t="shared" si="4"/>
        <v>Agerer Franz</v>
      </c>
      <c r="B66" s="5" t="str">
        <f t="shared" si="5"/>
        <v>I</v>
      </c>
      <c r="C66" s="14">
        <f t="shared" si="6"/>
        <v>49600.362000000001</v>
      </c>
      <c r="D66" s="25" t="str">
        <f t="shared" si="7"/>
        <v>B</v>
      </c>
      <c r="E66" s="164">
        <f>VLOOKUP(C66,'Active 1'!C$21:E$928,3,FALSE)</f>
        <v>5624.0251414055492</v>
      </c>
      <c r="G66" s="25">
        <v>5624</v>
      </c>
      <c r="H66" s="25">
        <v>-4.8500000000000001E-2</v>
      </c>
      <c r="I66" s="25">
        <v>49600.362000000001</v>
      </c>
      <c r="J66" s="25" t="s">
        <v>239</v>
      </c>
      <c r="K66" s="25" t="s">
        <v>92</v>
      </c>
      <c r="L66" s="25" t="s">
        <v>841</v>
      </c>
      <c r="N66" s="25" t="s">
        <v>859</v>
      </c>
    </row>
    <row r="67" spans="1:15" x14ac:dyDescent="0.2">
      <c r="A67" s="14" t="str">
        <f t="shared" si="4"/>
        <v>Krobusek Bruce</v>
      </c>
      <c r="B67" s="5" t="str">
        <f t="shared" si="5"/>
        <v>II</v>
      </c>
      <c r="C67" s="14">
        <f t="shared" si="6"/>
        <v>50649.675000000003</v>
      </c>
      <c r="D67" s="25" t="str">
        <f t="shared" si="7"/>
        <v>ccd</v>
      </c>
      <c r="E67" s="164">
        <f>VLOOKUP(C67,'Active 1'!C$21:E$928,3,FALSE)</f>
        <v>7850.5125228550032</v>
      </c>
      <c r="G67" s="25">
        <v>7850</v>
      </c>
      <c r="H67" s="25">
        <v>-6.1199999999999997E-2</v>
      </c>
      <c r="I67" s="25">
        <v>50649.675000000003</v>
      </c>
      <c r="J67" s="25" t="s">
        <v>827</v>
      </c>
      <c r="K67" s="25" t="s">
        <v>860</v>
      </c>
      <c r="L67" s="25" t="s">
        <v>861</v>
      </c>
      <c r="N67" s="25" t="s">
        <v>862</v>
      </c>
    </row>
    <row r="68" spans="1:15" x14ac:dyDescent="0.2">
      <c r="A68" s="14" t="str">
        <f t="shared" si="4"/>
        <v>Agerer Franz</v>
      </c>
      <c r="B68" s="5" t="str">
        <f t="shared" si="5"/>
        <v>II</v>
      </c>
      <c r="C68" s="14">
        <f t="shared" si="6"/>
        <v>50948.484100000001</v>
      </c>
      <c r="D68" s="25" t="str">
        <f t="shared" si="7"/>
        <v>ccd</v>
      </c>
      <c r="E68" s="164">
        <f>VLOOKUP(C68,'Active 1'!C$21:E$928,3,FALSE)</f>
        <v>8484.541349918296</v>
      </c>
      <c r="G68" s="25">
        <v>8484</v>
      </c>
      <c r="H68" s="25">
        <v>-4.9500000000000002E-2</v>
      </c>
      <c r="I68" s="25">
        <v>50948.484100000001</v>
      </c>
      <c r="J68" s="25" t="s">
        <v>827</v>
      </c>
      <c r="K68" s="25" t="s">
        <v>860</v>
      </c>
      <c r="L68" s="25" t="s">
        <v>841</v>
      </c>
      <c r="N68" s="25" t="s">
        <v>863</v>
      </c>
    </row>
    <row r="69" spans="1:15" x14ac:dyDescent="0.2">
      <c r="A69" s="14" t="str">
        <f t="shared" si="4"/>
        <v>Diethelm Roger</v>
      </c>
      <c r="B69" s="5" t="str">
        <f t="shared" si="5"/>
        <v>I</v>
      </c>
      <c r="C69" s="14">
        <f t="shared" si="6"/>
        <v>51285.692000000003</v>
      </c>
      <c r="D69" s="25" t="str">
        <f t="shared" si="7"/>
        <v>ccd</v>
      </c>
      <c r="E69" s="164">
        <f>VLOOKUP(C69,'Active 1'!C$21:E$928,3,FALSE)</f>
        <v>9200.0467656284509</v>
      </c>
      <c r="G69" s="25">
        <v>9200</v>
      </c>
      <c r="H69" s="25">
        <v>-4.8599999999999997E-2</v>
      </c>
      <c r="I69" s="25">
        <v>51285.692000000003</v>
      </c>
      <c r="J69" s="25" t="s">
        <v>239</v>
      </c>
      <c r="K69" s="25" t="s">
        <v>860</v>
      </c>
      <c r="L69" s="25" t="s">
        <v>839</v>
      </c>
      <c r="N69" s="25" t="s">
        <v>866</v>
      </c>
    </row>
    <row r="70" spans="1:15" x14ac:dyDescent="0.2">
      <c r="A70" s="14" t="str">
        <f t="shared" si="4"/>
        <v>Diethelm Roger</v>
      </c>
      <c r="B70" s="5" t="str">
        <f t="shared" si="5"/>
        <v>II</v>
      </c>
      <c r="C70" s="14">
        <f t="shared" si="6"/>
        <v>51305.722000000002</v>
      </c>
      <c r="D70" s="25" t="str">
        <f t="shared" si="7"/>
        <v>ccd</v>
      </c>
      <c r="E70" s="164">
        <f>VLOOKUP(C70,'Active 1'!C$21:E$928,3,FALSE)</f>
        <v>9242.5474706139321</v>
      </c>
      <c r="G70" s="25">
        <v>9242</v>
      </c>
      <c r="H70" s="25">
        <v>-4.8800000000000003E-2</v>
      </c>
      <c r="I70" s="25">
        <v>51305.722000000002</v>
      </c>
      <c r="J70" s="25" t="s">
        <v>827</v>
      </c>
      <c r="K70" s="25" t="s">
        <v>860</v>
      </c>
      <c r="L70" s="25" t="s">
        <v>839</v>
      </c>
      <c r="N70" s="25" t="s">
        <v>866</v>
      </c>
    </row>
    <row r="71" spans="1:15" x14ac:dyDescent="0.2">
      <c r="A71" s="14" t="str">
        <f t="shared" si="4"/>
        <v>Koss Karel</v>
      </c>
      <c r="B71" s="5" t="str">
        <f t="shared" si="5"/>
        <v>I</v>
      </c>
      <c r="C71" s="14">
        <f t="shared" si="6"/>
        <v>51657.538800000002</v>
      </c>
      <c r="D71" s="25" t="str">
        <f t="shared" si="7"/>
        <v>vis</v>
      </c>
      <c r="E71" s="164">
        <f>VLOOKUP(C71,'Active 1'!C$21:E$928,3,FALSE)</f>
        <v>9989.0508168813722</v>
      </c>
      <c r="G71" s="25">
        <v>9989</v>
      </c>
      <c r="H71" s="25">
        <v>-4.9000000000000002E-2</v>
      </c>
      <c r="I71" s="25">
        <v>51657.538800000002</v>
      </c>
      <c r="J71" s="25" t="s">
        <v>239</v>
      </c>
      <c r="K71" s="25" t="s">
        <v>236</v>
      </c>
      <c r="L71" s="25" t="s">
        <v>919</v>
      </c>
      <c r="N71" s="25" t="s">
        <v>920</v>
      </c>
    </row>
    <row r="72" spans="1:15" x14ac:dyDescent="0.2">
      <c r="A72" s="14" t="str">
        <f t="shared" si="4"/>
        <v>Hajek Petr</v>
      </c>
      <c r="B72" s="5" t="str">
        <f t="shared" si="5"/>
        <v>II</v>
      </c>
      <c r="C72" s="14">
        <f t="shared" si="6"/>
        <v>51663.4257</v>
      </c>
      <c r="D72" s="25" t="str">
        <f t="shared" si="7"/>
        <v>ccdV</v>
      </c>
      <c r="E72" s="164">
        <f>VLOOKUP(C72,'Active 1'!C$21:E$928,3,FALSE)</f>
        <v>10001.541950190356</v>
      </c>
      <c r="G72" s="25">
        <v>10001</v>
      </c>
      <c r="H72" s="25">
        <v>-5.3600000000000002E-2</v>
      </c>
      <c r="I72" s="25">
        <v>51663.4257</v>
      </c>
      <c r="J72" s="25" t="s">
        <v>827</v>
      </c>
      <c r="K72" s="25" t="s">
        <v>921</v>
      </c>
      <c r="L72" s="25" t="s">
        <v>922</v>
      </c>
      <c r="N72" s="25" t="s">
        <v>923</v>
      </c>
    </row>
    <row r="73" spans="1:15" x14ac:dyDescent="0.2">
      <c r="A73" s="14" t="str">
        <f t="shared" si="4"/>
        <v>Zahajsky J</v>
      </c>
      <c r="B73" s="5" t="str">
        <f t="shared" si="5"/>
        <v>I</v>
      </c>
      <c r="C73" s="14">
        <f t="shared" si="6"/>
        <v>51667.4306</v>
      </c>
      <c r="D73" s="25" t="str">
        <f t="shared" si="7"/>
        <v>vis</v>
      </c>
      <c r="E73" s="164">
        <f>VLOOKUP(C73,'Active 1'!C$21:E$928,3,FALSE)</f>
        <v>10010.039757149734</v>
      </c>
      <c r="G73" s="25">
        <v>10010</v>
      </c>
      <c r="H73" s="25">
        <v>-5.4300000000000001E-2</v>
      </c>
      <c r="I73" s="25">
        <v>51667.4306</v>
      </c>
      <c r="J73" s="25" t="s">
        <v>239</v>
      </c>
      <c r="K73" s="25" t="s">
        <v>236</v>
      </c>
      <c r="L73" s="25" t="s">
        <v>924</v>
      </c>
      <c r="N73" s="25" t="s">
        <v>925</v>
      </c>
    </row>
    <row r="74" spans="1:15" x14ac:dyDescent="0.2">
      <c r="A74" s="14" t="str">
        <f t="shared" si="4"/>
        <v>Hajek P</v>
      </c>
      <c r="B74" s="5" t="str">
        <f t="shared" si="5"/>
        <v>II</v>
      </c>
      <c r="C74" s="14">
        <f t="shared" si="6"/>
        <v>51678.511400000003</v>
      </c>
      <c r="D74" s="25" t="str">
        <f t="shared" si="7"/>
        <v>vis</v>
      </c>
      <c r="E74" s="164">
        <f>VLOOKUP(C74,'Active 1'!C$21:E$928,3,FALSE)</f>
        <v>10033.551580005615</v>
      </c>
      <c r="G74" s="25">
        <v>10033</v>
      </c>
      <c r="H74" s="25">
        <v>-4.9099999999999998E-2</v>
      </c>
      <c r="I74" s="25">
        <v>51678.511400000003</v>
      </c>
      <c r="J74" s="25" t="s">
        <v>827</v>
      </c>
      <c r="K74" s="25" t="s">
        <v>236</v>
      </c>
      <c r="L74" s="25" t="s">
        <v>926</v>
      </c>
      <c r="O74" s="25" t="s">
        <v>920</v>
      </c>
    </row>
    <row r="75" spans="1:15" x14ac:dyDescent="0.2">
      <c r="A75" s="14" t="str">
        <f t="shared" ref="A75:A106" si="8">L75</f>
        <v>Nelson Robert</v>
      </c>
      <c r="B75" s="5" t="str">
        <f t="shared" ref="B75:B106" si="9">IF(J75="s","II","I")</f>
        <v>II</v>
      </c>
      <c r="C75" s="14">
        <f t="shared" ref="C75:C106" si="10">I75</f>
        <v>51983.912900000003</v>
      </c>
      <c r="D75" s="25" t="str">
        <f t="shared" ref="D75:D106" si="11">K75</f>
        <v>ccd</v>
      </c>
      <c r="E75" s="164">
        <f>VLOOKUP(C75,'Active 1'!C$21:E$928,3,FALSE)</f>
        <v>10681.568507295884</v>
      </c>
      <c r="G75" s="25">
        <v>10681</v>
      </c>
      <c r="H75" s="25">
        <v>-4.2999999999999997E-2</v>
      </c>
      <c r="I75" s="25">
        <v>51983.912900000003</v>
      </c>
      <c r="J75" s="25" t="s">
        <v>827</v>
      </c>
      <c r="K75" s="25" t="s">
        <v>860</v>
      </c>
      <c r="L75" s="25" t="s">
        <v>837</v>
      </c>
      <c r="N75" s="25" t="s">
        <v>867</v>
      </c>
    </row>
    <row r="76" spans="1:15" x14ac:dyDescent="0.2">
      <c r="A76" s="14" t="str">
        <f t="shared" si="8"/>
        <v>Agerer Franz</v>
      </c>
      <c r="B76" s="5" t="str">
        <f t="shared" si="9"/>
        <v>II</v>
      </c>
      <c r="C76" s="14">
        <f t="shared" si="10"/>
        <v>52032.453999999998</v>
      </c>
      <c r="D76" s="25" t="str">
        <f t="shared" si="11"/>
        <v>BV</v>
      </c>
      <c r="E76" s="164">
        <f>VLOOKUP(C76,'Active 1'!C$21:E$928,3,FALSE)</f>
        <v>10784.565560254976</v>
      </c>
      <c r="G76" s="25">
        <v>10784</v>
      </c>
      <c r="H76" s="25">
        <v>-4.4699999999999997E-2</v>
      </c>
      <c r="I76" s="25">
        <v>52032.453999999998</v>
      </c>
      <c r="J76" s="25" t="s">
        <v>827</v>
      </c>
      <c r="K76" s="25" t="s">
        <v>868</v>
      </c>
      <c r="L76" s="25" t="s">
        <v>841</v>
      </c>
      <c r="N76" s="25" t="s">
        <v>869</v>
      </c>
    </row>
    <row r="77" spans="1:15" x14ac:dyDescent="0.2">
      <c r="A77" s="14" t="str">
        <f t="shared" si="8"/>
        <v>Diethelm Roger</v>
      </c>
      <c r="B77" s="5" t="str">
        <f t="shared" si="9"/>
        <v>II</v>
      </c>
      <c r="C77" s="14">
        <f t="shared" si="10"/>
        <v>52065.444000000003</v>
      </c>
      <c r="D77" s="25" t="str">
        <f t="shared" si="11"/>
        <v>ccd</v>
      </c>
      <c r="E77" s="164">
        <f>VLOOKUP(C77,'Active 1'!C$21:E$928,3,FALSE)</f>
        <v>10854.565473259037</v>
      </c>
      <c r="G77" s="25">
        <v>10854</v>
      </c>
      <c r="H77" s="25">
        <v>-4.4999999999999998E-2</v>
      </c>
      <c r="I77" s="25">
        <v>52065.444000000003</v>
      </c>
      <c r="J77" s="25" t="s">
        <v>827</v>
      </c>
      <c r="K77" s="25" t="s">
        <v>860</v>
      </c>
      <c r="L77" s="25" t="s">
        <v>839</v>
      </c>
      <c r="N77" s="25" t="s">
        <v>870</v>
      </c>
    </row>
    <row r="78" spans="1:15" x14ac:dyDescent="0.2">
      <c r="A78" s="14" t="str">
        <f t="shared" si="8"/>
        <v>Quester Wolfgang</v>
      </c>
      <c r="B78" s="5" t="str">
        <f t="shared" si="9"/>
        <v>I</v>
      </c>
      <c r="C78" s="14">
        <f t="shared" si="10"/>
        <v>52100.557800000002</v>
      </c>
      <c r="D78" s="25" t="str">
        <f t="shared" si="11"/>
        <v>V</v>
      </c>
      <c r="E78" s="164">
        <f>VLOOKUP(C78,'Active 1'!C$21:E$928,3,FALSE)</f>
        <v>10929.071776540077</v>
      </c>
      <c r="G78" s="25">
        <v>10929</v>
      </c>
      <c r="H78" s="25">
        <v>-4.19E-2</v>
      </c>
      <c r="I78" s="25">
        <v>52100.557800000002</v>
      </c>
      <c r="J78" s="25" t="s">
        <v>239</v>
      </c>
      <c r="K78" s="25" t="s">
        <v>160</v>
      </c>
      <c r="L78" s="25" t="s">
        <v>871</v>
      </c>
      <c r="M78" s="25" t="s">
        <v>872</v>
      </c>
    </row>
    <row r="79" spans="1:15" x14ac:dyDescent="0.2">
      <c r="A79" s="14" t="str">
        <f t="shared" si="8"/>
        <v>Agerer Franz</v>
      </c>
      <c r="B79" s="5" t="str">
        <f t="shared" si="9"/>
        <v>II</v>
      </c>
      <c r="C79" s="14">
        <f t="shared" si="10"/>
        <v>52366.599199999997</v>
      </c>
      <c r="D79" s="25" t="str">
        <f t="shared" si="11"/>
        <v>ccd</v>
      </c>
      <c r="E79" s="164">
        <f>VLOOKUP(C79,'Active 1'!C$21:E$928,3,FALSE)</f>
        <v>11493.572378403518</v>
      </c>
      <c r="G79" s="25">
        <v>11493</v>
      </c>
      <c r="H79" s="25">
        <v>-4.36E-2</v>
      </c>
      <c r="I79" s="25">
        <v>52366.599199999997</v>
      </c>
      <c r="J79" s="25" t="s">
        <v>827</v>
      </c>
      <c r="K79" s="25" t="s">
        <v>860</v>
      </c>
      <c r="L79" s="25" t="s">
        <v>841</v>
      </c>
      <c r="N79" s="25" t="s">
        <v>872</v>
      </c>
    </row>
    <row r="80" spans="1:15" x14ac:dyDescent="0.2">
      <c r="A80" s="14" t="str">
        <f t="shared" si="8"/>
        <v>Nelson Robert</v>
      </c>
      <c r="B80" s="5" t="str">
        <f t="shared" si="9"/>
        <v>I</v>
      </c>
      <c r="C80" s="14">
        <f t="shared" si="10"/>
        <v>52701.922700000003</v>
      </c>
      <c r="D80" s="25" t="str">
        <f t="shared" si="11"/>
        <v>ccd</v>
      </c>
      <c r="E80" s="164" t="e">
        <f>VLOOKUP(C80,'Active 1'!C$21:E$928,3,FALSE)</f>
        <v>#N/A</v>
      </c>
      <c r="G80" s="25">
        <v>12205</v>
      </c>
      <c r="H80" s="25">
        <v>-4.2000000000000003E-2</v>
      </c>
      <c r="I80" s="25">
        <v>52701.922700000003</v>
      </c>
      <c r="J80" s="25" t="s">
        <v>239</v>
      </c>
      <c r="K80" s="25" t="s">
        <v>860</v>
      </c>
      <c r="L80" s="25" t="s">
        <v>837</v>
      </c>
      <c r="N80" s="25" t="s">
        <v>873</v>
      </c>
    </row>
    <row r="81" spans="1:14" x14ac:dyDescent="0.2">
      <c r="A81" s="14" t="str">
        <f t="shared" si="8"/>
        <v>Agerer Franz</v>
      </c>
      <c r="B81" s="5" t="str">
        <f t="shared" si="9"/>
        <v>I</v>
      </c>
      <c r="C81" s="14">
        <f t="shared" si="10"/>
        <v>52741.510999999999</v>
      </c>
      <c r="D81" s="25" t="e">
        <f t="shared" si="11"/>
        <v>#NAME?</v>
      </c>
      <c r="E81" s="164">
        <f>VLOOKUP(C81,'Active 1'!C$21:E$928,3,FALSE)</f>
        <v>12289.079907478736</v>
      </c>
      <c r="G81" s="25">
        <v>12289</v>
      </c>
      <c r="H81" s="25">
        <v>-4.2000000000000003E-2</v>
      </c>
      <c r="I81" s="25">
        <v>52741.510999999999</v>
      </c>
      <c r="J81" s="25" t="s">
        <v>239</v>
      </c>
      <c r="K81" s="25" t="e">
        <f>-Ir</f>
        <v>#NAME?</v>
      </c>
      <c r="L81" s="25" t="s">
        <v>841</v>
      </c>
      <c r="N81" s="25" t="s">
        <v>872</v>
      </c>
    </row>
    <row r="82" spans="1:14" x14ac:dyDescent="0.2">
      <c r="A82" s="14" t="str">
        <f t="shared" si="8"/>
        <v>Nelson Robert</v>
      </c>
      <c r="B82" s="5" t="str">
        <f t="shared" si="9"/>
        <v>I</v>
      </c>
      <c r="C82" s="14">
        <f t="shared" si="10"/>
        <v>52760.834799999997</v>
      </c>
      <c r="D82" s="25" t="str">
        <f t="shared" si="11"/>
        <v>VI</v>
      </c>
      <c r="E82" s="164">
        <f>VLOOKUP(C82,'Active 1'!C$21:E$928,3,FALSE)</f>
        <v>12330.0821602495</v>
      </c>
      <c r="G82" s="25">
        <v>12330</v>
      </c>
      <c r="H82" s="25">
        <v>-4.1000000000000002E-2</v>
      </c>
      <c r="I82" s="25">
        <v>52760.834799999997</v>
      </c>
      <c r="J82" s="25" t="s">
        <v>239</v>
      </c>
      <c r="K82" s="25" t="s">
        <v>874</v>
      </c>
      <c r="L82" s="25" t="s">
        <v>837</v>
      </c>
      <c r="N82" s="25" t="s">
        <v>873</v>
      </c>
    </row>
    <row r="83" spans="1:14" x14ac:dyDescent="0.2">
      <c r="A83" s="14" t="str">
        <f t="shared" si="8"/>
        <v>Agerer Franz</v>
      </c>
      <c r="B83" s="5" t="str">
        <f t="shared" si="9"/>
        <v>II</v>
      </c>
      <c r="C83" s="14">
        <f t="shared" si="10"/>
        <v>53116.434999999998</v>
      </c>
      <c r="D83" s="25" t="e">
        <f t="shared" si="11"/>
        <v>#NAME?</v>
      </c>
      <c r="E83" s="164">
        <f>VLOOKUP(C83,'Active 1'!C$21:E$928,3,FALSE)</f>
        <v>13084.613323154088</v>
      </c>
      <c r="G83" s="25">
        <v>13084</v>
      </c>
      <c r="H83" s="25">
        <v>-2.8899999999999999E-2</v>
      </c>
      <c r="I83" s="25">
        <v>53116.434999999998</v>
      </c>
      <c r="J83" s="25" t="s">
        <v>827</v>
      </c>
      <c r="K83" s="25" t="e">
        <f>-Ir</f>
        <v>#NAME?</v>
      </c>
      <c r="L83" s="25" t="s">
        <v>841</v>
      </c>
      <c r="N83" s="25" t="s">
        <v>875</v>
      </c>
    </row>
    <row r="84" spans="1:14" x14ac:dyDescent="0.2">
      <c r="A84" s="14" t="str">
        <f t="shared" si="8"/>
        <v>Agerer Franz</v>
      </c>
      <c r="B84" s="5" t="str">
        <f t="shared" si="9"/>
        <v>II</v>
      </c>
      <c r="C84" s="14">
        <f t="shared" si="10"/>
        <v>53117.365299999998</v>
      </c>
      <c r="D84" s="25" t="str">
        <f t="shared" si="11"/>
        <v>ccd</v>
      </c>
      <c r="E84" s="164">
        <f>VLOOKUP(C84,'Active 1'!C$21:E$928,3,FALSE)</f>
        <v>13086.587282507458</v>
      </c>
      <c r="G84" s="25">
        <v>13086</v>
      </c>
      <c r="H84" s="25">
        <v>-4.1200000000000001E-2</v>
      </c>
      <c r="I84" s="25">
        <v>53117.365299999998</v>
      </c>
      <c r="J84" s="25" t="s">
        <v>827</v>
      </c>
      <c r="K84" s="25" t="s">
        <v>860</v>
      </c>
      <c r="L84" s="25" t="s">
        <v>841</v>
      </c>
      <c r="N84" s="25" t="s">
        <v>876</v>
      </c>
    </row>
    <row r="85" spans="1:14" x14ac:dyDescent="0.2">
      <c r="A85" s="14" t="str">
        <f t="shared" si="8"/>
        <v>Raetz Manfred</v>
      </c>
      <c r="B85" s="5" t="str">
        <f t="shared" si="9"/>
        <v>I</v>
      </c>
      <c r="C85" s="14">
        <f t="shared" si="10"/>
        <v>53145.4107</v>
      </c>
      <c r="D85" s="25" t="str">
        <f t="shared" si="11"/>
        <v>ccd</v>
      </c>
      <c r="E85" s="164">
        <f>VLOOKUP(C85,'Active 1'!C$21:E$928,3,FALSE)</f>
        <v>13146.095483785541</v>
      </c>
      <c r="G85" s="25">
        <v>13146</v>
      </c>
      <c r="H85" s="25">
        <v>-3.7100000000000001E-2</v>
      </c>
      <c r="I85" s="25">
        <v>53145.4107</v>
      </c>
      <c r="J85" s="25" t="s">
        <v>239</v>
      </c>
      <c r="K85" s="25" t="s">
        <v>860</v>
      </c>
      <c r="L85" s="25" t="s">
        <v>877</v>
      </c>
      <c r="N85" s="25" t="s">
        <v>876</v>
      </c>
    </row>
    <row r="86" spans="1:14" x14ac:dyDescent="0.2">
      <c r="A86" s="14" t="str">
        <f t="shared" si="8"/>
        <v>Agerer Franz</v>
      </c>
      <c r="B86" s="5" t="str">
        <f t="shared" si="9"/>
        <v>I</v>
      </c>
      <c r="C86" s="14">
        <f t="shared" si="10"/>
        <v>53151.536200000002</v>
      </c>
      <c r="D86" s="25" t="str">
        <f t="shared" si="11"/>
        <v>ccd</v>
      </c>
      <c r="E86" s="164">
        <f>VLOOKUP(C86,'Active 1'!C$21:E$928,3,FALSE)</f>
        <v>13159.092891094011</v>
      </c>
      <c r="G86" s="25">
        <v>13159</v>
      </c>
      <c r="H86" s="25">
        <v>-3.8399999999999997E-2</v>
      </c>
      <c r="I86" s="25">
        <v>53151.536200000002</v>
      </c>
      <c r="J86" s="25" t="s">
        <v>239</v>
      </c>
      <c r="K86" s="25" t="s">
        <v>860</v>
      </c>
      <c r="L86" s="25" t="s">
        <v>841</v>
      </c>
      <c r="N86" s="25" t="s">
        <v>876</v>
      </c>
    </row>
    <row r="87" spans="1:14" x14ac:dyDescent="0.2">
      <c r="A87" s="14" t="str">
        <f t="shared" si="8"/>
        <v>Nelson Robert</v>
      </c>
      <c r="B87" s="5" t="str">
        <f t="shared" si="9"/>
        <v>I</v>
      </c>
      <c r="C87" s="14">
        <f t="shared" si="10"/>
        <v>53439.967700000001</v>
      </c>
      <c r="D87" s="25" t="str">
        <f t="shared" si="11"/>
        <v>ccd</v>
      </c>
      <c r="E87" s="164">
        <f>VLOOKUP(C87,'Active 1'!C$21:E$928,3,FALSE)</f>
        <v>13771.101981958733</v>
      </c>
      <c r="G87" s="25">
        <v>13771</v>
      </c>
      <c r="H87" s="25">
        <v>-3.5900000000000001E-2</v>
      </c>
      <c r="I87" s="25">
        <v>53439.967700000001</v>
      </c>
      <c r="J87" s="25" t="s">
        <v>239</v>
      </c>
      <c r="K87" s="25" t="s">
        <v>860</v>
      </c>
      <c r="L87" s="25" t="s">
        <v>837</v>
      </c>
      <c r="N87" s="25" t="s">
        <v>878</v>
      </c>
    </row>
    <row r="88" spans="1:14" x14ac:dyDescent="0.2">
      <c r="A88" s="14" t="str">
        <f t="shared" si="8"/>
        <v>Nelson Robert</v>
      </c>
      <c r="B88" s="5" t="str">
        <f t="shared" si="9"/>
        <v>I</v>
      </c>
      <c r="C88" s="14">
        <f t="shared" si="10"/>
        <v>53784.011500000001</v>
      </c>
      <c r="D88" s="25" t="str">
        <f t="shared" si="11"/>
        <v>R</v>
      </c>
      <c r="E88" s="164" t="e">
        <f>VLOOKUP(C88,'Active 1'!C$21:E$928,3,FALSE)</f>
        <v>#N/A</v>
      </c>
      <c r="G88" s="25">
        <v>14501</v>
      </c>
      <c r="H88" s="25">
        <v>-3.32E-2</v>
      </c>
      <c r="I88" s="25">
        <v>53784.011500000001</v>
      </c>
      <c r="J88" s="25" t="s">
        <v>239</v>
      </c>
      <c r="K88" s="25" t="s">
        <v>135</v>
      </c>
      <c r="L88" s="25" t="s">
        <v>837</v>
      </c>
      <c r="N88" s="25" t="s">
        <v>879</v>
      </c>
    </row>
    <row r="89" spans="1:14" x14ac:dyDescent="0.2">
      <c r="A89" s="14" t="str">
        <f t="shared" si="8"/>
        <v>Moschner W</v>
      </c>
      <c r="B89" s="5" t="str">
        <f t="shared" si="9"/>
        <v>I</v>
      </c>
      <c r="C89" s="14">
        <f t="shared" si="10"/>
        <v>53817.473299999998</v>
      </c>
      <c r="D89" s="25" t="str">
        <f t="shared" si="11"/>
        <v>ccd</v>
      </c>
      <c r="E89" s="164">
        <f>VLOOKUP(C89,'Active 1'!C$21:E$928,3,FALSE)</f>
        <v>14572.1131719721</v>
      </c>
      <c r="G89" s="25">
        <v>14572</v>
      </c>
      <c r="H89" s="25">
        <v>-3.2899999999999999E-2</v>
      </c>
      <c r="I89" s="25">
        <v>53817.473299999998</v>
      </c>
      <c r="J89" s="25" t="s">
        <v>239</v>
      </c>
      <c r="K89" s="25" t="s">
        <v>860</v>
      </c>
      <c r="L89" s="25" t="s">
        <v>880</v>
      </c>
      <c r="N89" s="25" t="s">
        <v>881</v>
      </c>
    </row>
    <row r="90" spans="1:14" x14ac:dyDescent="0.2">
      <c r="A90" s="14" t="str">
        <f t="shared" si="8"/>
        <v>Agerer Franz</v>
      </c>
      <c r="B90" s="5" t="str">
        <f t="shared" si="9"/>
        <v>I</v>
      </c>
      <c r="C90" s="14">
        <f t="shared" si="10"/>
        <v>53849.519800000002</v>
      </c>
      <c r="D90" s="25" t="e">
        <f t="shared" si="11"/>
        <v>#NAME?</v>
      </c>
      <c r="E90" s="164">
        <f>VLOOKUP(C90,'Active 1'!C$21:E$928,3,FALSE)</f>
        <v>14640.111117170176</v>
      </c>
      <c r="G90" s="25">
        <v>14640</v>
      </c>
      <c r="H90" s="25">
        <v>-3.4099999999999998E-2</v>
      </c>
      <c r="I90" s="25">
        <v>53849.519800000002</v>
      </c>
      <c r="J90" s="25" t="s">
        <v>239</v>
      </c>
      <c r="K90" s="25" t="e">
        <f>-Ir</f>
        <v>#NAME?</v>
      </c>
      <c r="L90" s="25" t="s">
        <v>841</v>
      </c>
      <c r="N90" s="25" t="s">
        <v>881</v>
      </c>
    </row>
    <row r="91" spans="1:14" x14ac:dyDescent="0.2">
      <c r="A91" s="14" t="str">
        <f t="shared" si="8"/>
        <v>Diethelm Roger</v>
      </c>
      <c r="B91" s="5" t="str">
        <f t="shared" si="9"/>
        <v>I</v>
      </c>
      <c r="C91" s="14">
        <f t="shared" si="10"/>
        <v>53899.475299999998</v>
      </c>
      <c r="D91" s="25" t="str">
        <f t="shared" si="11"/>
        <v>V</v>
      </c>
      <c r="E91" s="164">
        <f>VLOOKUP(C91,'Active 1'!C$21:E$928,3,FALSE)</f>
        <v>14746.109318263645</v>
      </c>
      <c r="G91" s="25">
        <v>14746</v>
      </c>
      <c r="H91" s="25">
        <v>-3.5200000000000002E-2</v>
      </c>
      <c r="I91" s="25">
        <v>53899.475299999998</v>
      </c>
      <c r="J91" s="25" t="s">
        <v>239</v>
      </c>
      <c r="K91" s="25" t="s">
        <v>160</v>
      </c>
      <c r="L91" s="25" t="s">
        <v>839</v>
      </c>
      <c r="N91" s="25" t="s">
        <v>883</v>
      </c>
    </row>
    <row r="92" spans="1:14" x14ac:dyDescent="0.2">
      <c r="A92" s="14" t="str">
        <f t="shared" si="8"/>
        <v>Nelson Robert</v>
      </c>
      <c r="B92" s="5" t="str">
        <f t="shared" si="9"/>
        <v>II</v>
      </c>
      <c r="C92" s="14">
        <f t="shared" si="10"/>
        <v>54233.861299999997</v>
      </c>
      <c r="D92" s="25" t="str">
        <f t="shared" si="11"/>
        <v>R</v>
      </c>
      <c r="E92" s="164">
        <f>VLOOKUP(C92,'Active 1'!C$21:E$928,3,FALSE)</f>
        <v>15455.627078487098</v>
      </c>
      <c r="G92" s="25">
        <v>15455</v>
      </c>
      <c r="H92" s="25">
        <v>-2.93E-2</v>
      </c>
      <c r="I92" s="25">
        <v>54233.861299999997</v>
      </c>
      <c r="J92" s="25" t="s">
        <v>827</v>
      </c>
      <c r="K92" s="25" t="s">
        <v>135</v>
      </c>
      <c r="L92" s="25" t="s">
        <v>837</v>
      </c>
      <c r="N92" s="25" t="s">
        <v>884</v>
      </c>
    </row>
    <row r="93" spans="1:14" x14ac:dyDescent="0.2">
      <c r="A93" s="14" t="str">
        <f t="shared" si="8"/>
        <v>Nelson Robert</v>
      </c>
      <c r="B93" s="5" t="str">
        <f t="shared" si="9"/>
        <v>I</v>
      </c>
      <c r="C93" s="14">
        <f t="shared" si="10"/>
        <v>54539.025999999998</v>
      </c>
      <c r="D93" s="25" t="str">
        <f t="shared" si="11"/>
        <v>R</v>
      </c>
      <c r="E93" s="164">
        <f>VLOOKUP(C93,'Active 1'!C$21:E$928,3,FALSE)</f>
        <v>16103.14155111234</v>
      </c>
      <c r="G93" s="25">
        <v>16103</v>
      </c>
      <c r="H93" s="25">
        <v>-2.4E-2</v>
      </c>
      <c r="I93" s="25">
        <v>54539.025999999998</v>
      </c>
      <c r="J93" s="25" t="s">
        <v>239</v>
      </c>
      <c r="K93" s="25" t="s">
        <v>135</v>
      </c>
      <c r="L93" s="25" t="s">
        <v>837</v>
      </c>
      <c r="N93" s="25" t="s">
        <v>885</v>
      </c>
    </row>
    <row r="94" spans="1:14" x14ac:dyDescent="0.2">
      <c r="A94" s="14" t="str">
        <f t="shared" si="8"/>
        <v>Raetz Manfred</v>
      </c>
      <c r="B94" s="5" t="str">
        <f t="shared" si="9"/>
        <v>II</v>
      </c>
      <c r="C94" s="14">
        <f t="shared" si="10"/>
        <v>54718.352400000003</v>
      </c>
      <c r="D94" s="25" t="e">
        <f t="shared" si="11"/>
        <v>#NAME?</v>
      </c>
      <c r="E94" s="164">
        <f>VLOOKUP(C94,'Active 1'!C$21:E$928,3,FALSE)</f>
        <v>16483.645715990471</v>
      </c>
      <c r="G94" s="25">
        <v>16483</v>
      </c>
      <c r="H94" s="25">
        <v>-2.35E-2</v>
      </c>
      <c r="I94" s="25">
        <v>54718.352400000003</v>
      </c>
      <c r="J94" s="25" t="s">
        <v>827</v>
      </c>
      <c r="K94" s="25" t="e">
        <f>-U-I</f>
        <v>#NAME?</v>
      </c>
      <c r="L94" s="25" t="s">
        <v>877</v>
      </c>
      <c r="N94" s="25" t="s">
        <v>886</v>
      </c>
    </row>
    <row r="95" spans="1:14" x14ac:dyDescent="0.2">
      <c r="A95" s="14" t="str">
        <f t="shared" si="8"/>
        <v>Dworak Shawn</v>
      </c>
      <c r="B95" s="5" t="str">
        <f t="shared" si="9"/>
        <v>II</v>
      </c>
      <c r="C95" s="14">
        <f t="shared" si="10"/>
        <v>54897.913800000002</v>
      </c>
      <c r="D95" s="25" t="str">
        <f t="shared" si="11"/>
        <v>V</v>
      </c>
      <c r="E95" s="164">
        <f>VLOOKUP(C95,'Active 1'!C$21:E$928,3,FALSE)</f>
        <v>16864.648516199177</v>
      </c>
      <c r="G95" s="25">
        <v>16864</v>
      </c>
      <c r="H95" s="25">
        <v>-2.3300000000000001E-2</v>
      </c>
      <c r="I95" s="25">
        <v>54897.913800000002</v>
      </c>
      <c r="J95" s="25" t="s">
        <v>827</v>
      </c>
      <c r="K95" s="25" t="s">
        <v>160</v>
      </c>
      <c r="L95" s="25" t="s">
        <v>887</v>
      </c>
      <c r="N95" s="25" t="s">
        <v>888</v>
      </c>
    </row>
    <row r="96" spans="1:14" x14ac:dyDescent="0.2">
      <c r="A96" s="14" t="str">
        <f t="shared" si="8"/>
        <v>Agerer Franz</v>
      </c>
      <c r="B96" s="5" t="str">
        <f t="shared" si="9"/>
        <v>I</v>
      </c>
      <c r="C96" s="14">
        <f t="shared" si="10"/>
        <v>54908.518700000001</v>
      </c>
      <c r="D96" s="25" t="e">
        <f t="shared" si="11"/>
        <v>#NAME?</v>
      </c>
      <c r="E96" s="164">
        <f>VLOOKUP(C96,'Active 1'!C$21:E$928,3,FALSE)</f>
        <v>16887.150549464302</v>
      </c>
      <c r="G96" s="25">
        <v>16887</v>
      </c>
      <c r="H96" s="25">
        <v>-2.1999999999999999E-2</v>
      </c>
      <c r="I96" s="25">
        <v>54908.518700000001</v>
      </c>
      <c r="J96" s="25" t="s">
        <v>239</v>
      </c>
      <c r="K96" s="25" t="e">
        <f>-Ir</f>
        <v>#NAME?</v>
      </c>
      <c r="L96" s="25" t="s">
        <v>841</v>
      </c>
      <c r="N96" s="25" t="s">
        <v>889</v>
      </c>
    </row>
    <row r="97" spans="1:15" x14ac:dyDescent="0.2">
      <c r="A97" s="14" t="str">
        <f t="shared" si="8"/>
        <v>Dworak Shawn</v>
      </c>
      <c r="B97" s="5" t="str">
        <f t="shared" si="9"/>
        <v>II</v>
      </c>
      <c r="C97" s="14">
        <f t="shared" si="10"/>
        <v>54915.826500000003</v>
      </c>
      <c r="D97" s="25" t="str">
        <f t="shared" si="11"/>
        <v>B</v>
      </c>
      <c r="E97" s="164">
        <f>VLOOKUP(C97,'Active 1'!C$21:E$928,3,FALSE)</f>
        <v>16902.656622948725</v>
      </c>
      <c r="G97" s="25">
        <v>16902</v>
      </c>
      <c r="H97" s="25">
        <v>-1.9599999999999999E-2</v>
      </c>
      <c r="I97" s="25">
        <v>54915.826500000003</v>
      </c>
      <c r="J97" s="25" t="s">
        <v>827</v>
      </c>
      <c r="K97" s="25" t="s">
        <v>92</v>
      </c>
      <c r="L97" s="25" t="s">
        <v>887</v>
      </c>
      <c r="N97" s="25" t="s">
        <v>888</v>
      </c>
    </row>
    <row r="98" spans="1:15" x14ac:dyDescent="0.2">
      <c r="A98" s="14" t="str">
        <f t="shared" si="8"/>
        <v>Parimucha S</v>
      </c>
      <c r="B98" s="5" t="str">
        <f t="shared" si="9"/>
        <v>II</v>
      </c>
      <c r="C98" s="14">
        <f t="shared" si="10"/>
        <v>54936.559800000003</v>
      </c>
      <c r="D98" s="25" t="str">
        <f t="shared" si="11"/>
        <v>V</v>
      </c>
      <c r="E98" s="164">
        <f>VLOOKUP(C98,'Active 1'!C$21:E$928,3,FALSE)</f>
        <v>16946.649626776758</v>
      </c>
      <c r="G98" s="25">
        <v>16946</v>
      </c>
      <c r="H98" s="25">
        <v>-2.3E-2</v>
      </c>
      <c r="I98" s="25">
        <v>54936.559800000003</v>
      </c>
      <c r="J98" s="25" t="s">
        <v>827</v>
      </c>
      <c r="K98" s="25" t="s">
        <v>160</v>
      </c>
      <c r="L98" s="25" t="s">
        <v>890</v>
      </c>
      <c r="N98" s="25" t="s">
        <v>891</v>
      </c>
    </row>
    <row r="99" spans="1:15" x14ac:dyDescent="0.2">
      <c r="A99" s="14" t="str">
        <f t="shared" si="8"/>
        <v>Parimucha S</v>
      </c>
      <c r="B99" s="5" t="str">
        <f t="shared" si="9"/>
        <v>II</v>
      </c>
      <c r="C99" s="14">
        <f t="shared" si="10"/>
        <v>54938.445299999999</v>
      </c>
      <c r="D99" s="25" t="str">
        <f t="shared" si="11"/>
        <v>V</v>
      </c>
      <c r="E99" s="164">
        <f>VLOOKUP(C99,'Active 1'!C$21:E$928,3,FALSE)</f>
        <v>16950.650379610008</v>
      </c>
      <c r="G99" s="25">
        <v>16950</v>
      </c>
      <c r="H99" s="25">
        <v>-2.2599999999999999E-2</v>
      </c>
      <c r="I99" s="25">
        <v>54938.445299999999</v>
      </c>
      <c r="J99" s="25" t="s">
        <v>827</v>
      </c>
      <c r="K99" s="25" t="s">
        <v>160</v>
      </c>
      <c r="L99" s="25" t="s">
        <v>890</v>
      </c>
      <c r="N99" s="25" t="s">
        <v>891</v>
      </c>
    </row>
    <row r="100" spans="1:15" x14ac:dyDescent="0.2">
      <c r="A100" s="14" t="str">
        <f t="shared" si="8"/>
        <v>Moschner W</v>
      </c>
      <c r="B100" s="5" t="str">
        <f t="shared" si="9"/>
        <v>I</v>
      </c>
      <c r="C100" s="14">
        <f t="shared" si="10"/>
        <v>54942.4519</v>
      </c>
      <c r="D100" s="25" t="str">
        <f t="shared" si="11"/>
        <v>ccd</v>
      </c>
      <c r="E100" s="164">
        <f>VLOOKUP(C100,'Active 1'!C$21:E$928,3,FALSE)</f>
        <v>16959.151793718589</v>
      </c>
      <c r="G100" s="25">
        <v>16959</v>
      </c>
      <c r="H100" s="25">
        <v>-2.1600000000000001E-2</v>
      </c>
      <c r="I100" s="25">
        <v>54942.4519</v>
      </c>
      <c r="J100" s="25" t="s">
        <v>239</v>
      </c>
      <c r="K100" s="25" t="s">
        <v>860</v>
      </c>
      <c r="L100" s="25" t="s">
        <v>880</v>
      </c>
      <c r="N100" s="25" t="s">
        <v>892</v>
      </c>
    </row>
    <row r="101" spans="1:15" x14ac:dyDescent="0.2">
      <c r="A101" s="14" t="str">
        <f t="shared" si="8"/>
        <v>Parimucha S</v>
      </c>
      <c r="B101" s="5" t="str">
        <f t="shared" si="9"/>
        <v>I</v>
      </c>
      <c r="C101" s="14">
        <f t="shared" si="10"/>
        <v>54959.418100000003</v>
      </c>
      <c r="D101" s="25" t="str">
        <f t="shared" si="11"/>
        <v>V</v>
      </c>
      <c r="E101" s="164">
        <f>VLOOKUP(C101,'Active 1'!C$21:E$928,3,FALSE)</f>
        <v>16995.151567104749</v>
      </c>
      <c r="G101" s="25">
        <v>16995</v>
      </c>
      <c r="H101" s="25">
        <v>-2.1899999999999999E-2</v>
      </c>
      <c r="I101" s="25">
        <v>54959.418100000003</v>
      </c>
      <c r="J101" s="25" t="s">
        <v>239</v>
      </c>
      <c r="K101" s="25" t="s">
        <v>160</v>
      </c>
      <c r="L101" s="25" t="s">
        <v>890</v>
      </c>
      <c r="N101" s="25" t="s">
        <v>891</v>
      </c>
    </row>
    <row r="102" spans="1:15" x14ac:dyDescent="0.2">
      <c r="A102" s="14" t="str">
        <f t="shared" si="8"/>
        <v>Nakajima Kazuhir</v>
      </c>
      <c r="B102" s="5" t="str">
        <f t="shared" si="9"/>
        <v>I</v>
      </c>
      <c r="C102" s="14">
        <f t="shared" si="10"/>
        <v>54963.188300000002</v>
      </c>
      <c r="D102" s="25" t="str">
        <f t="shared" si="11"/>
        <v>Rc</v>
      </c>
      <c r="E102" s="164">
        <f>VLOOKUP(C102,'Active 1'!C$21:E$928,3,FALSE)</f>
        <v>17003.151375289286</v>
      </c>
      <c r="G102" s="25">
        <v>17003</v>
      </c>
      <c r="H102" s="25">
        <v>-2.1999999999999999E-2</v>
      </c>
      <c r="I102" s="25">
        <v>54963.188300000002</v>
      </c>
      <c r="J102" s="25" t="s">
        <v>239</v>
      </c>
      <c r="K102" s="25" t="s">
        <v>702</v>
      </c>
      <c r="L102" s="25" t="s">
        <v>893</v>
      </c>
      <c r="M102" s="25" t="s">
        <v>894</v>
      </c>
    </row>
    <row r="103" spans="1:15" x14ac:dyDescent="0.2">
      <c r="A103" s="14" t="str">
        <f t="shared" si="8"/>
        <v>Dworak Shawn</v>
      </c>
      <c r="B103" s="5" t="str">
        <f t="shared" si="9"/>
        <v>II</v>
      </c>
      <c r="C103" s="14">
        <f t="shared" si="10"/>
        <v>54981.806299999997</v>
      </c>
      <c r="D103" s="25" t="str">
        <f t="shared" si="11"/>
        <v>V</v>
      </c>
      <c r="E103" s="164">
        <f>VLOOKUP(C103,'Active 1'!C$21:E$928,3,FALSE)</f>
        <v>17042.656024586315</v>
      </c>
      <c r="G103" s="25">
        <v>17042</v>
      </c>
      <c r="H103" s="25">
        <v>-2.0199999999999999E-2</v>
      </c>
      <c r="I103" s="25">
        <v>54981.806299999997</v>
      </c>
      <c r="J103" s="25" t="s">
        <v>827</v>
      </c>
      <c r="K103" s="25" t="s">
        <v>160</v>
      </c>
      <c r="L103" s="25" t="s">
        <v>887</v>
      </c>
      <c r="N103" s="25" t="s">
        <v>888</v>
      </c>
    </row>
    <row r="104" spans="1:15" x14ac:dyDescent="0.2">
      <c r="A104" s="14" t="str">
        <f t="shared" si="8"/>
        <v>Dworak Shawn</v>
      </c>
      <c r="B104" s="5" t="str">
        <f t="shared" si="9"/>
        <v>II</v>
      </c>
      <c r="C104" s="14">
        <f t="shared" si="10"/>
        <v>54982.748800000001</v>
      </c>
      <c r="D104" s="25" t="str">
        <f t="shared" si="11"/>
        <v>V</v>
      </c>
      <c r="E104" s="164">
        <f>VLOOKUP(C104,'Active 1'!C$21:E$928,3,FALSE)</f>
        <v>17044.655870539835</v>
      </c>
      <c r="G104" s="25">
        <v>17044</v>
      </c>
      <c r="H104" s="25">
        <v>-2.0299999999999999E-2</v>
      </c>
      <c r="I104" s="25">
        <v>54982.748800000001</v>
      </c>
      <c r="J104" s="25" t="s">
        <v>827</v>
      </c>
      <c r="K104" s="25" t="s">
        <v>160</v>
      </c>
      <c r="L104" s="25" t="s">
        <v>887</v>
      </c>
      <c r="N104" s="25" t="s">
        <v>888</v>
      </c>
    </row>
    <row r="105" spans="1:15" x14ac:dyDescent="0.2">
      <c r="A105" s="14" t="str">
        <f t="shared" si="8"/>
        <v>Diethelm Roger</v>
      </c>
      <c r="B105" s="5" t="str">
        <f t="shared" si="9"/>
        <v>II</v>
      </c>
      <c r="C105" s="14">
        <f t="shared" si="10"/>
        <v>54998.7765</v>
      </c>
      <c r="D105" s="25" t="str">
        <f t="shared" si="11"/>
        <v>V</v>
      </c>
      <c r="E105" s="164">
        <f>VLOOKUP(C105,'Active 1'!C$21:E$928,3,FALSE)</f>
        <v>17078.664285382361</v>
      </c>
      <c r="G105" s="25">
        <v>17078</v>
      </c>
      <c r="H105" s="25">
        <v>-1.6500000000000001E-2</v>
      </c>
      <c r="I105" s="25">
        <v>54998.7765</v>
      </c>
      <c r="J105" s="25" t="s">
        <v>827</v>
      </c>
      <c r="K105" s="25" t="s">
        <v>160</v>
      </c>
      <c r="L105" s="25" t="s">
        <v>839</v>
      </c>
      <c r="N105" s="25" t="s">
        <v>895</v>
      </c>
    </row>
    <row r="106" spans="1:15" x14ac:dyDescent="0.2">
      <c r="A106" s="14" t="str">
        <f t="shared" si="8"/>
        <v>Smelcer L</v>
      </c>
      <c r="B106" s="5" t="str">
        <f t="shared" si="9"/>
        <v>I</v>
      </c>
      <c r="C106" s="14">
        <f t="shared" si="10"/>
        <v>55050.378700000001</v>
      </c>
      <c r="D106" s="25" t="str">
        <f t="shared" si="11"/>
        <v>R</v>
      </c>
      <c r="E106" s="164">
        <f>VLOOKUP(C106,'Active 1'!C$21:E$928,3,FALSE)</f>
        <v>17188.156540939122</v>
      </c>
      <c r="G106" s="25">
        <v>17188</v>
      </c>
      <c r="H106" s="25">
        <v>-2.01E-2</v>
      </c>
      <c r="I106" s="25">
        <v>55050.378700000001</v>
      </c>
      <c r="J106" s="25" t="s">
        <v>239</v>
      </c>
      <c r="K106" s="25" t="s">
        <v>135</v>
      </c>
      <c r="L106" s="25" t="s">
        <v>932</v>
      </c>
      <c r="N106" s="25" t="s">
        <v>933</v>
      </c>
    </row>
    <row r="107" spans="1:15" x14ac:dyDescent="0.2">
      <c r="A107" s="14" t="str">
        <f t="shared" ref="A107:A138" si="12">L107</f>
        <v>Frank Peter</v>
      </c>
      <c r="B107" s="5" t="str">
        <f t="shared" ref="B107:B138" si="13">IF(J107="s","II","I")</f>
        <v>I</v>
      </c>
      <c r="C107" s="14">
        <f t="shared" ref="C107:C138" si="14">I107</f>
        <v>55058.390700000004</v>
      </c>
      <c r="D107" s="25" t="e">
        <f t="shared" ref="D107:D138" si="15">K107</f>
        <v>#NAME?</v>
      </c>
      <c r="E107" s="164">
        <f>VLOOKUP(C107,'Active 1'!C$21:E$928,3,FALSE)</f>
        <v>17205.156822933324</v>
      </c>
      <c r="G107" s="25">
        <v>17205</v>
      </c>
      <c r="H107" s="25">
        <v>-0.02</v>
      </c>
      <c r="I107" s="25">
        <v>55058.390700000004</v>
      </c>
      <c r="J107" s="25" t="s">
        <v>239</v>
      </c>
      <c r="K107" s="25" t="e">
        <f>-Ir</f>
        <v>#NAME?</v>
      </c>
      <c r="L107" s="25" t="s">
        <v>896</v>
      </c>
      <c r="N107" s="25" t="s">
        <v>897</v>
      </c>
    </row>
    <row r="108" spans="1:15" x14ac:dyDescent="0.2">
      <c r="A108" s="14" t="str">
        <f t="shared" si="12"/>
        <v>Parimucha Stefan</v>
      </c>
      <c r="B108" s="5" t="str">
        <f t="shared" si="13"/>
        <v>I</v>
      </c>
      <c r="C108" s="14">
        <f t="shared" si="14"/>
        <v>55076.3007</v>
      </c>
      <c r="D108" s="25" t="str">
        <f t="shared" si="15"/>
        <v>V</v>
      </c>
      <c r="E108" s="164">
        <f>VLOOKUP(C108,'Active 1'!C$21:E$928,3,FALSE)</f>
        <v>17243.159200681192</v>
      </c>
      <c r="G108" s="25">
        <v>17243</v>
      </c>
      <c r="H108" s="25">
        <v>-1.9E-2</v>
      </c>
      <c r="I108" s="25">
        <v>55076.3007</v>
      </c>
      <c r="J108" s="25" t="s">
        <v>239</v>
      </c>
      <c r="K108" s="25" t="s">
        <v>160</v>
      </c>
      <c r="L108" s="25" t="s">
        <v>898</v>
      </c>
      <c r="M108" s="25" t="s">
        <v>899</v>
      </c>
    </row>
    <row r="109" spans="1:15" x14ac:dyDescent="0.2">
      <c r="A109" s="14" t="str">
        <f t="shared" si="12"/>
        <v>Raetz M</v>
      </c>
      <c r="B109" s="5" t="str">
        <f t="shared" si="13"/>
        <v>I</v>
      </c>
      <c r="C109" s="14">
        <f t="shared" si="14"/>
        <v>55083.369700000003</v>
      </c>
      <c r="D109" s="25" t="e">
        <f t="shared" si="15"/>
        <v>#NAME?</v>
      </c>
      <c r="E109" s="164">
        <f>VLOOKUP(C109,'Active 1'!C$21:E$928,3,FALSE)</f>
        <v>17258.158575795645</v>
      </c>
      <c r="G109" s="25">
        <v>17258</v>
      </c>
      <c r="H109" s="25">
        <v>-1.9300000000000001E-2</v>
      </c>
      <c r="I109" s="25">
        <v>55083.369700000003</v>
      </c>
      <c r="J109" s="25" t="s">
        <v>239</v>
      </c>
      <c r="K109" s="25" t="e">
        <f>-U-I</f>
        <v>#NAME?</v>
      </c>
      <c r="L109" s="25" t="s">
        <v>882</v>
      </c>
      <c r="O109" s="25" t="s">
        <v>900</v>
      </c>
    </row>
    <row r="110" spans="1:15" x14ac:dyDescent="0.2">
      <c r="A110" s="14" t="str">
        <f t="shared" si="12"/>
        <v>Parimucha Stefan</v>
      </c>
      <c r="B110" s="5" t="str">
        <f t="shared" si="13"/>
        <v>II</v>
      </c>
      <c r="C110" s="14">
        <f t="shared" si="14"/>
        <v>55097.272799999999</v>
      </c>
      <c r="D110" s="25" t="str">
        <f t="shared" si="15"/>
        <v>V</v>
      </c>
      <c r="E110" s="164">
        <f>VLOOKUP(C110,'Active 1'!C$21:E$928,3,FALSE)</f>
        <v>17287.658902879197</v>
      </c>
      <c r="G110" s="25">
        <v>17287</v>
      </c>
      <c r="H110" s="25">
        <v>-1.9599999999999999E-2</v>
      </c>
      <c r="I110" s="25">
        <v>55097.272799999999</v>
      </c>
      <c r="J110" s="25" t="s">
        <v>827</v>
      </c>
      <c r="K110" s="25" t="s">
        <v>160</v>
      </c>
      <c r="L110" s="25" t="s">
        <v>898</v>
      </c>
      <c r="M110" s="25" t="s">
        <v>899</v>
      </c>
    </row>
    <row r="111" spans="1:15" x14ac:dyDescent="0.2">
      <c r="A111" s="14" t="str">
        <f t="shared" si="12"/>
        <v>Frank Peter</v>
      </c>
      <c r="B111" s="5" t="str">
        <f t="shared" si="13"/>
        <v>I</v>
      </c>
      <c r="C111" s="14">
        <f t="shared" si="14"/>
        <v>55125.315199999997</v>
      </c>
      <c r="D111" s="25" t="e">
        <f t="shared" si="15"/>
        <v>#NAME?</v>
      </c>
      <c r="E111" s="164">
        <f>VLOOKUP(C111,'Active 1'!C$21:E$928,3,FALSE)</f>
        <v>17347.160738599858</v>
      </c>
      <c r="G111" s="25">
        <v>17347</v>
      </c>
      <c r="H111" s="25">
        <v>-1.8599999999999998E-2</v>
      </c>
      <c r="I111" s="25">
        <v>55125.315199999997</v>
      </c>
      <c r="J111" s="25" t="s">
        <v>239</v>
      </c>
      <c r="K111" s="25" t="e">
        <f>-Ir</f>
        <v>#NAME?</v>
      </c>
      <c r="L111" s="25" t="s">
        <v>896</v>
      </c>
      <c r="N111" s="25" t="s">
        <v>897</v>
      </c>
    </row>
    <row r="112" spans="1:15" x14ac:dyDescent="0.2">
      <c r="A112" s="14" t="str">
        <f t="shared" si="12"/>
        <v>Itoh Hiroshi</v>
      </c>
      <c r="B112" s="5" t="str">
        <f t="shared" si="13"/>
        <v>I</v>
      </c>
      <c r="C112" s="14">
        <f t="shared" si="14"/>
        <v>55350.123800000001</v>
      </c>
      <c r="D112" s="25" t="str">
        <f t="shared" si="15"/>
        <v>V</v>
      </c>
      <c r="E112" s="164">
        <f>VLOOKUP(C112,'Active 1'!C$21:E$928,3,FALSE)</f>
        <v>17824.171421914871</v>
      </c>
      <c r="G112" s="25">
        <v>17824</v>
      </c>
      <c r="H112" s="25">
        <v>-1.49E-2</v>
      </c>
      <c r="I112" s="25">
        <v>55350.123800000001</v>
      </c>
      <c r="J112" s="25" t="s">
        <v>239</v>
      </c>
      <c r="K112" s="25" t="s">
        <v>160</v>
      </c>
      <c r="L112" s="25" t="s">
        <v>901</v>
      </c>
      <c r="N112" s="25" t="s">
        <v>902</v>
      </c>
    </row>
    <row r="113" spans="1:15" x14ac:dyDescent="0.2">
      <c r="A113" s="14" t="str">
        <f t="shared" si="12"/>
        <v>Agerer Franz</v>
      </c>
      <c r="B113" s="5" t="str">
        <f t="shared" si="13"/>
        <v>I</v>
      </c>
      <c r="C113" s="14">
        <f t="shared" si="14"/>
        <v>55376.516100000001</v>
      </c>
      <c r="D113" s="25" t="e">
        <f t="shared" si="15"/>
        <v>#NAME?</v>
      </c>
      <c r="E113" s="164">
        <f>VLOOKUP(C113,'Active 1'!C$21:E$928,3,FALSE)</f>
        <v>17880.171988873852</v>
      </c>
      <c r="G113" s="25">
        <v>17880</v>
      </c>
      <c r="H113" s="25">
        <v>-1.4800000000000001E-2</v>
      </c>
      <c r="I113" s="25">
        <v>55376.516100000001</v>
      </c>
      <c r="J113" s="25" t="s">
        <v>239</v>
      </c>
      <c r="K113" s="25" t="e">
        <f>-Ir</f>
        <v>#NAME?</v>
      </c>
      <c r="L113" s="25" t="s">
        <v>841</v>
      </c>
      <c r="N113" s="25" t="s">
        <v>903</v>
      </c>
    </row>
    <row r="114" spans="1:15" x14ac:dyDescent="0.2">
      <c r="A114" s="14" t="str">
        <f t="shared" si="12"/>
        <v>Agerer Franz</v>
      </c>
      <c r="B114" s="5" t="str">
        <f t="shared" si="13"/>
        <v>II</v>
      </c>
      <c r="C114" s="14">
        <f t="shared" si="14"/>
        <v>55388.537300000004</v>
      </c>
      <c r="D114" s="25" t="e">
        <f t="shared" si="15"/>
        <v>#NAME?</v>
      </c>
      <c r="E114" s="164">
        <f>VLOOKUP(C114,'Active 1'!C$21:E$928,3,FALSE)</f>
        <v>17905.679201793053</v>
      </c>
      <c r="G114" s="25">
        <v>17905</v>
      </c>
      <c r="H114" s="25">
        <v>-1.18E-2</v>
      </c>
      <c r="I114" s="25">
        <v>55388.537300000004</v>
      </c>
      <c r="J114" s="25" t="s">
        <v>827</v>
      </c>
      <c r="K114" s="25" t="e">
        <f>-Ir</f>
        <v>#NAME?</v>
      </c>
      <c r="L114" s="25" t="s">
        <v>841</v>
      </c>
      <c r="N114" s="25" t="s">
        <v>904</v>
      </c>
    </row>
    <row r="115" spans="1:15" x14ac:dyDescent="0.2">
      <c r="A115" s="14" t="str">
        <f t="shared" si="12"/>
        <v>Raetz Manfred</v>
      </c>
      <c r="B115" s="5" t="str">
        <f t="shared" si="13"/>
        <v>I</v>
      </c>
      <c r="C115" s="14">
        <f t="shared" si="14"/>
        <v>55393.481899999999</v>
      </c>
      <c r="D115" s="25" t="e">
        <f t="shared" si="15"/>
        <v>#NAME?</v>
      </c>
      <c r="E115" s="164">
        <f>VLOOKUP(C115,'Active 1'!C$21:E$928,3,FALSE)</f>
        <v>17916.170913519014</v>
      </c>
      <c r="G115" s="25">
        <v>17916</v>
      </c>
      <c r="H115" s="25">
        <v>-1.54E-2</v>
      </c>
      <c r="I115" s="25">
        <v>55393.481899999999</v>
      </c>
      <c r="J115" s="25" t="s">
        <v>239</v>
      </c>
      <c r="K115" s="25" t="e">
        <f>-Ir</f>
        <v>#NAME?</v>
      </c>
      <c r="L115" s="25" t="s">
        <v>877</v>
      </c>
      <c r="N115" s="25" t="s">
        <v>905</v>
      </c>
    </row>
    <row r="116" spans="1:15" x14ac:dyDescent="0.2">
      <c r="A116" s="14" t="str">
        <f t="shared" si="12"/>
        <v>Raetz Manfred</v>
      </c>
      <c r="B116" s="5" t="str">
        <f t="shared" si="13"/>
        <v>I</v>
      </c>
      <c r="C116" s="14">
        <f t="shared" si="14"/>
        <v>55444.381699999998</v>
      </c>
      <c r="D116" s="25" t="e">
        <f t="shared" si="15"/>
        <v>#NAME?</v>
      </c>
      <c r="E116" s="164">
        <f>VLOOKUP(C116,'Active 1'!C$21:E$928,3,FALSE)</f>
        <v>18024.172779900444</v>
      </c>
      <c r="G116" s="25">
        <v>18024</v>
      </c>
      <c r="H116" s="25">
        <v>-1.4800000000000001E-2</v>
      </c>
      <c r="I116" s="25">
        <v>55444.381699999998</v>
      </c>
      <c r="J116" s="25" t="s">
        <v>239</v>
      </c>
      <c r="K116" s="25" t="e">
        <f>-Ir</f>
        <v>#NAME?</v>
      </c>
      <c r="L116" s="25" t="s">
        <v>877</v>
      </c>
      <c r="N116" s="25" t="s">
        <v>905</v>
      </c>
    </row>
    <row r="117" spans="1:15" x14ac:dyDescent="0.2">
      <c r="A117" s="14" t="str">
        <f t="shared" si="12"/>
        <v>Parimucha S</v>
      </c>
      <c r="B117" s="5" t="str">
        <f t="shared" si="13"/>
        <v>I</v>
      </c>
      <c r="C117" s="14">
        <f t="shared" si="14"/>
        <v>55629.6014</v>
      </c>
      <c r="D117" s="25" t="str">
        <f t="shared" si="15"/>
        <v>V</v>
      </c>
      <c r="E117" s="164">
        <f>VLOOKUP(C117,'Active 1'!C$21:E$928,3,FALSE)</f>
        <v>18417.181657943369</v>
      </c>
      <c r="G117" s="25">
        <v>18417</v>
      </c>
      <c r="H117" s="25">
        <v>-1.18E-2</v>
      </c>
      <c r="I117" s="25">
        <v>55629.6014</v>
      </c>
      <c r="J117" s="25" t="s">
        <v>239</v>
      </c>
      <c r="K117" s="25" t="s">
        <v>160</v>
      </c>
      <c r="L117" s="25" t="s">
        <v>890</v>
      </c>
      <c r="N117" s="25" t="s">
        <v>906</v>
      </c>
    </row>
    <row r="118" spans="1:15" x14ac:dyDescent="0.2">
      <c r="A118" s="14" t="str">
        <f t="shared" si="12"/>
        <v>Nelson Robert</v>
      </c>
      <c r="B118" s="5" t="str">
        <f t="shared" si="13"/>
        <v>II</v>
      </c>
      <c r="C118" s="14">
        <f t="shared" si="14"/>
        <v>55695.816899999998</v>
      </c>
      <c r="D118" s="25" t="str">
        <f t="shared" si="15"/>
        <v>R</v>
      </c>
      <c r="E118" s="164">
        <f>VLOOKUP(C118,'Active 1'!C$21:E$928,3,FALSE)</f>
        <v>18557.681180208285</v>
      </c>
      <c r="G118" s="25">
        <v>18557</v>
      </c>
      <c r="H118" s="25">
        <v>-1.2800000000000001E-2</v>
      </c>
      <c r="I118" s="25">
        <v>55695.816899999998</v>
      </c>
      <c r="J118" s="25" t="s">
        <v>827</v>
      </c>
      <c r="K118" s="25" t="s">
        <v>135</v>
      </c>
      <c r="L118" s="25" t="s">
        <v>837</v>
      </c>
      <c r="N118" s="25" t="s">
        <v>907</v>
      </c>
    </row>
    <row r="119" spans="1:15" x14ac:dyDescent="0.2">
      <c r="A119" s="14" t="str">
        <f t="shared" si="12"/>
        <v>Agerer Franz</v>
      </c>
      <c r="B119" s="5" t="str">
        <f t="shared" si="13"/>
        <v>II</v>
      </c>
      <c r="C119" s="14">
        <f t="shared" si="14"/>
        <v>55710.427799999998</v>
      </c>
      <c r="D119" s="25" t="e">
        <f t="shared" si="15"/>
        <v>#NAME?</v>
      </c>
      <c r="E119" s="164">
        <f>VLOOKUP(C119,'Active 1'!C$21:E$928,3,FALSE)</f>
        <v>18588.683354470508</v>
      </c>
      <c r="G119" s="25">
        <v>18588</v>
      </c>
      <c r="H119" s="25">
        <v>-1.18E-2</v>
      </c>
      <c r="I119" s="25">
        <v>55710.427799999998</v>
      </c>
      <c r="J119" s="25" t="s">
        <v>827</v>
      </c>
      <c r="K119" s="25" t="e">
        <f>-Ir</f>
        <v>#NAME?</v>
      </c>
      <c r="L119" s="25" t="s">
        <v>841</v>
      </c>
      <c r="N119" s="25" t="s">
        <v>908</v>
      </c>
    </row>
    <row r="120" spans="1:15" x14ac:dyDescent="0.2">
      <c r="A120" s="14" t="str">
        <f t="shared" si="12"/>
        <v>Diethelm Roger</v>
      </c>
      <c r="B120" s="5" t="str">
        <f t="shared" si="13"/>
        <v>II</v>
      </c>
      <c r="C120" s="14">
        <f t="shared" si="14"/>
        <v>55737.763800000001</v>
      </c>
      <c r="D120" s="25" t="str">
        <f t="shared" si="15"/>
        <v>V</v>
      </c>
      <c r="E120" s="164">
        <f>VLOOKUP(C120,'Active 1'!C$21:E$928,3,FALSE)</f>
        <v>18646.686313605973</v>
      </c>
      <c r="G120" s="25">
        <v>18646</v>
      </c>
      <c r="H120" s="25">
        <v>-1.06E-2</v>
      </c>
      <c r="I120" s="25">
        <v>55737.763800000001</v>
      </c>
      <c r="J120" s="25" t="s">
        <v>827</v>
      </c>
      <c r="K120" s="25" t="s">
        <v>160</v>
      </c>
      <c r="L120" s="25" t="s">
        <v>839</v>
      </c>
      <c r="N120" s="25" t="s">
        <v>909</v>
      </c>
    </row>
    <row r="121" spans="1:15" x14ac:dyDescent="0.2">
      <c r="A121" s="14" t="str">
        <f t="shared" si="12"/>
        <v>Agerer Franz</v>
      </c>
      <c r="B121" s="5" t="str">
        <f t="shared" si="13"/>
        <v>II</v>
      </c>
      <c r="C121" s="14">
        <f t="shared" si="14"/>
        <v>56055.416499999999</v>
      </c>
      <c r="D121" s="25" t="str">
        <f t="shared" si="15"/>
        <v>V</v>
      </c>
      <c r="E121" s="164">
        <f>VLOOKUP(C121,'Active 1'!C$21:E$928,3,FALSE)</f>
        <v>19320.698479883664</v>
      </c>
      <c r="G121" s="25">
        <v>19320</v>
      </c>
      <c r="H121" s="25">
        <v>-6.7999999999999996E-3</v>
      </c>
      <c r="I121" s="25">
        <v>56055.416499999999</v>
      </c>
      <c r="J121" s="25" t="s">
        <v>827</v>
      </c>
      <c r="K121" s="25" t="s">
        <v>160</v>
      </c>
      <c r="L121" s="25" t="s">
        <v>841</v>
      </c>
      <c r="N121" s="25" t="s">
        <v>910</v>
      </c>
    </row>
    <row r="122" spans="1:15" x14ac:dyDescent="0.2">
      <c r="A122" s="14" t="str">
        <f t="shared" si="12"/>
        <v>Shiokawa Kazuhik</v>
      </c>
      <c r="B122" s="5" t="str">
        <f t="shared" si="13"/>
        <v>II</v>
      </c>
      <c r="C122" s="14">
        <f t="shared" si="14"/>
        <v>56060.127399999998</v>
      </c>
      <c r="D122" s="25" t="str">
        <f t="shared" si="15"/>
        <v>Rc</v>
      </c>
      <c r="E122" s="164">
        <f>VLOOKUP(C122,'Active 1'!C$21:E$928,3,FALSE)</f>
        <v>19330.694314687262</v>
      </c>
      <c r="G122" s="25">
        <v>19330</v>
      </c>
      <c r="H122" s="25">
        <v>-8.8000000000000005E-3</v>
      </c>
      <c r="I122" s="25">
        <v>56060.127399999998</v>
      </c>
      <c r="J122" s="25" t="s">
        <v>827</v>
      </c>
      <c r="K122" s="25" t="s">
        <v>702</v>
      </c>
      <c r="L122" s="25" t="s">
        <v>911</v>
      </c>
      <c r="M122" s="25" t="s">
        <v>912</v>
      </c>
    </row>
    <row r="123" spans="1:15" x14ac:dyDescent="0.2">
      <c r="A123" s="14" t="str">
        <f t="shared" si="12"/>
        <v>Raetz M</v>
      </c>
      <c r="B123" s="5" t="str">
        <f t="shared" si="13"/>
        <v>II</v>
      </c>
      <c r="C123" s="14">
        <f t="shared" si="14"/>
        <v>56070.496899999998</v>
      </c>
      <c r="D123" s="25" t="e">
        <f t="shared" si="15"/>
        <v>#NAME?</v>
      </c>
      <c r="E123" s="164">
        <f>VLOOKUP(C123,'Active 1'!C$21:E$928,3,FALSE)</f>
        <v>19352.696863880821</v>
      </c>
      <c r="G123" s="25">
        <v>19352</v>
      </c>
      <c r="H123" s="25">
        <v>-7.7000000000000002E-3</v>
      </c>
      <c r="I123" s="25">
        <v>56070.496899999998</v>
      </c>
      <c r="J123" s="25" t="s">
        <v>827</v>
      </c>
      <c r="K123" s="25" t="e">
        <f>-U-I</f>
        <v>#NAME?</v>
      </c>
      <c r="L123" s="25" t="s">
        <v>882</v>
      </c>
      <c r="O123" s="25" t="s">
        <v>913</v>
      </c>
    </row>
    <row r="124" spans="1:15" x14ac:dyDescent="0.2">
      <c r="A124" s="14" t="str">
        <f t="shared" si="12"/>
        <v>Agerer Franz</v>
      </c>
      <c r="B124" s="5" t="str">
        <f t="shared" si="13"/>
        <v>I</v>
      </c>
      <c r="C124" s="14">
        <f t="shared" si="14"/>
        <v>56132.474800000004</v>
      </c>
      <c r="D124" s="25" t="e">
        <f t="shared" si="15"/>
        <v>#NAME?</v>
      </c>
      <c r="E124" s="164">
        <f>VLOOKUP(C124,'Active 1'!C$21:E$928,3,FALSE)</f>
        <v>19484.204824116467</v>
      </c>
      <c r="G124" s="25">
        <v>19484</v>
      </c>
      <c r="H124" s="25">
        <v>-4.0000000000000001E-3</v>
      </c>
      <c r="I124" s="25">
        <v>56132.474800000004</v>
      </c>
      <c r="J124" s="25" t="s">
        <v>239</v>
      </c>
      <c r="K124" s="25" t="e">
        <f>-I</f>
        <v>#NAME?</v>
      </c>
      <c r="L124" s="25" t="s">
        <v>841</v>
      </c>
      <c r="N124" s="25" t="s">
        <v>914</v>
      </c>
    </row>
    <row r="125" spans="1:15" x14ac:dyDescent="0.2">
      <c r="A125" s="14" t="str">
        <f t="shared" si="12"/>
        <v>Parimucha S</v>
      </c>
      <c r="B125" s="5" t="str">
        <f t="shared" si="13"/>
        <v>I</v>
      </c>
      <c r="C125" s="14">
        <f t="shared" si="14"/>
        <v>56159.336000000003</v>
      </c>
      <c r="D125" s="25" t="str">
        <f t="shared" si="15"/>
        <v>R</v>
      </c>
      <c r="E125" s="164">
        <f>VLOOKUP(C125,'Active 1'!C$21:E$928,3,FALSE)</f>
        <v>19541.200327698894</v>
      </c>
      <c r="G125" s="25">
        <v>19541</v>
      </c>
      <c r="H125" s="25">
        <v>-6.3E-3</v>
      </c>
      <c r="I125" s="25">
        <v>56159.336000000003</v>
      </c>
      <c r="J125" s="25" t="s">
        <v>239</v>
      </c>
      <c r="K125" s="25" t="s">
        <v>135</v>
      </c>
      <c r="L125" s="25" t="s">
        <v>890</v>
      </c>
      <c r="N125" s="25" t="s">
        <v>915</v>
      </c>
    </row>
    <row r="126" spans="1:15" x14ac:dyDescent="0.2">
      <c r="A126" s="14" t="str">
        <f t="shared" si="12"/>
        <v>Kurochkin N E</v>
      </c>
      <c r="B126" s="5" t="str">
        <f t="shared" si="13"/>
        <v>I</v>
      </c>
      <c r="C126" s="14">
        <f t="shared" si="14"/>
        <v>40809.46</v>
      </c>
      <c r="D126" s="25" t="str">
        <f t="shared" si="15"/>
        <v>pg</v>
      </c>
      <c r="E126" s="164">
        <f>VLOOKUP(C126,'Active 1'!C$21:E$928,3,FALSE)</f>
        <v>-13028.971985818394</v>
      </c>
      <c r="G126" s="25">
        <v>-13029</v>
      </c>
      <c r="H126" s="25">
        <v>7.0000000000000001E-3</v>
      </c>
      <c r="I126" s="25">
        <v>40809.46</v>
      </c>
      <c r="J126" s="25" t="s">
        <v>239</v>
      </c>
      <c r="K126" s="25" t="s">
        <v>235</v>
      </c>
      <c r="L126" s="25" t="s">
        <v>825</v>
      </c>
      <c r="N126" s="25" t="s">
        <v>828</v>
      </c>
    </row>
    <row r="127" spans="1:15" x14ac:dyDescent="0.2">
      <c r="A127" s="14" t="str">
        <f t="shared" si="12"/>
        <v>Kurochkin N E</v>
      </c>
      <c r="B127" s="5" t="str">
        <f t="shared" si="13"/>
        <v>I</v>
      </c>
      <c r="C127" s="14">
        <f t="shared" si="14"/>
        <v>41062.572999999997</v>
      </c>
      <c r="D127" s="25" t="str">
        <f t="shared" si="15"/>
        <v>pg</v>
      </c>
      <c r="E127" s="164">
        <f>VLOOKUP(C127,'Active 1'!C$21:E$928,3,FALSE)</f>
        <v>-12491.903541435442</v>
      </c>
      <c r="G127" s="25">
        <v>-12492</v>
      </c>
      <c r="H127" s="25">
        <v>3.7699999999999997E-2</v>
      </c>
      <c r="I127" s="25">
        <v>41062.572999999997</v>
      </c>
      <c r="J127" s="25" t="s">
        <v>239</v>
      </c>
      <c r="K127" s="25" t="s">
        <v>235</v>
      </c>
      <c r="L127" s="25" t="s">
        <v>825</v>
      </c>
      <c r="N127" s="25" t="s">
        <v>828</v>
      </c>
    </row>
    <row r="128" spans="1:15" x14ac:dyDescent="0.2">
      <c r="A128" s="14" t="str">
        <f t="shared" si="12"/>
        <v>Agerer Franz</v>
      </c>
      <c r="B128" s="5" t="str">
        <f t="shared" si="13"/>
        <v>I</v>
      </c>
      <c r="C128" s="14">
        <f t="shared" si="14"/>
        <v>47365.5121</v>
      </c>
      <c r="D128" s="25" t="str">
        <f t="shared" si="15"/>
        <v>B</v>
      </c>
      <c r="E128" s="164">
        <f>VLOOKUP(C128,'Active 1'!C$21:E$928,3,FALSE)</f>
        <v>882.00335974119548</v>
      </c>
      <c r="G128" s="25">
        <v>882</v>
      </c>
      <c r="H128" s="25">
        <v>-4.4999999999999998E-2</v>
      </c>
      <c r="I128" s="25">
        <v>47365.5121</v>
      </c>
      <c r="J128" s="25" t="s">
        <v>239</v>
      </c>
      <c r="K128" s="25" t="s">
        <v>92</v>
      </c>
      <c r="L128" s="25" t="s">
        <v>841</v>
      </c>
      <c r="N128" s="25" t="s">
        <v>845</v>
      </c>
    </row>
    <row r="129" spans="1:15" x14ac:dyDescent="0.2">
      <c r="A129" s="14" t="str">
        <f t="shared" si="12"/>
        <v>Agerer Franz</v>
      </c>
      <c r="B129" s="5" t="str">
        <f t="shared" si="13"/>
        <v>I</v>
      </c>
      <c r="C129" s="14">
        <f t="shared" si="14"/>
        <v>47365.512799999997</v>
      </c>
      <c r="D129" s="25" t="str">
        <f t="shared" si="15"/>
        <v>V</v>
      </c>
      <c r="E129" s="164">
        <f>VLOOKUP(C129,'Active 1'!C$21:E$928,3,FALSE)</f>
        <v>882.00484503791824</v>
      </c>
      <c r="G129" s="25">
        <v>882</v>
      </c>
      <c r="H129" s="25">
        <v>-4.4299999999999999E-2</v>
      </c>
      <c r="I129" s="25">
        <v>47365.512799999997</v>
      </c>
      <c r="J129" s="25" t="s">
        <v>239</v>
      </c>
      <c r="K129" s="25" t="s">
        <v>160</v>
      </c>
      <c r="L129" s="25" t="s">
        <v>841</v>
      </c>
      <c r="N129" s="25" t="s">
        <v>845</v>
      </c>
    </row>
    <row r="130" spans="1:15" x14ac:dyDescent="0.2">
      <c r="A130" s="14" t="str">
        <f t="shared" si="12"/>
        <v>Agerer Franz</v>
      </c>
      <c r="B130" s="5" t="str">
        <f t="shared" si="13"/>
        <v>I</v>
      </c>
      <c r="C130" s="14">
        <f t="shared" si="14"/>
        <v>47366.453699999998</v>
      </c>
      <c r="D130" s="25" t="str">
        <f t="shared" si="15"/>
        <v>B</v>
      </c>
      <c r="E130" s="164">
        <f>VLOOKUP(C130,'Active 1'!C$21:E$928,3,FALSE)</f>
        <v>884.00129602747893</v>
      </c>
      <c r="G130" s="25">
        <v>884</v>
      </c>
      <c r="H130" s="25">
        <v>-4.5999999999999999E-2</v>
      </c>
      <c r="I130" s="25">
        <v>47366.453699999998</v>
      </c>
      <c r="J130" s="25" t="s">
        <v>239</v>
      </c>
      <c r="K130" s="25" t="s">
        <v>92</v>
      </c>
      <c r="L130" s="25" t="s">
        <v>841</v>
      </c>
      <c r="N130" s="25" t="s">
        <v>845</v>
      </c>
    </row>
    <row r="131" spans="1:15" x14ac:dyDescent="0.2">
      <c r="A131" s="14" t="str">
        <f t="shared" si="12"/>
        <v>Agerer Franz</v>
      </c>
      <c r="B131" s="5" t="str">
        <f t="shared" si="13"/>
        <v>I</v>
      </c>
      <c r="C131" s="14">
        <f t="shared" si="14"/>
        <v>47366.4565</v>
      </c>
      <c r="D131" s="25" t="str">
        <f t="shared" si="15"/>
        <v>V</v>
      </c>
      <c r="E131" s="164">
        <f>VLOOKUP(C131,'Active 1'!C$21:E$928,3,FALSE)</f>
        <v>884.00723721440079</v>
      </c>
      <c r="G131" s="25">
        <v>884</v>
      </c>
      <c r="H131" s="25">
        <v>-4.3200000000000002E-2</v>
      </c>
      <c r="I131" s="25">
        <v>47366.4565</v>
      </c>
      <c r="J131" s="25" t="s">
        <v>239</v>
      </c>
      <c r="K131" s="25" t="s">
        <v>160</v>
      </c>
      <c r="L131" s="25" t="s">
        <v>841</v>
      </c>
      <c r="N131" s="25" t="s">
        <v>845</v>
      </c>
    </row>
    <row r="132" spans="1:15" x14ac:dyDescent="0.2">
      <c r="A132" s="14" t="str">
        <f t="shared" si="12"/>
        <v>Agerer Franz</v>
      </c>
      <c r="B132" s="5" t="str">
        <f t="shared" si="13"/>
        <v>II</v>
      </c>
      <c r="C132" s="14">
        <f t="shared" si="14"/>
        <v>47378.472600000001</v>
      </c>
      <c r="D132" s="25" t="str">
        <f t="shared" si="15"/>
        <v>B</v>
      </c>
      <c r="E132" s="164">
        <f>VLOOKUP(C132,'Active 1'!C$21:E$928,3,FALSE)</f>
        <v>909.50362868599836</v>
      </c>
      <c r="G132" s="25">
        <v>909</v>
      </c>
      <c r="H132" s="25">
        <v>-4.53E-2</v>
      </c>
      <c r="I132" s="25">
        <v>47378.472600000001</v>
      </c>
      <c r="J132" s="25" t="s">
        <v>827</v>
      </c>
      <c r="K132" s="25" t="s">
        <v>92</v>
      </c>
      <c r="L132" s="25" t="s">
        <v>841</v>
      </c>
      <c r="N132" s="25" t="s">
        <v>845</v>
      </c>
    </row>
    <row r="133" spans="1:15" x14ac:dyDescent="0.2">
      <c r="A133" s="14" t="str">
        <f t="shared" si="12"/>
        <v>Agerer Franz</v>
      </c>
      <c r="B133" s="5" t="str">
        <f t="shared" si="13"/>
        <v>II</v>
      </c>
      <c r="C133" s="14">
        <f t="shared" si="14"/>
        <v>47378.473299999998</v>
      </c>
      <c r="D133" s="25" t="str">
        <f t="shared" si="15"/>
        <v>V</v>
      </c>
      <c r="E133" s="164">
        <f>VLOOKUP(C133,'Active 1'!C$21:E$928,3,FALSE)</f>
        <v>909.50511398272101</v>
      </c>
      <c r="G133" s="25">
        <v>909</v>
      </c>
      <c r="H133" s="25">
        <v>-4.4600000000000001E-2</v>
      </c>
      <c r="I133" s="25">
        <v>47378.473299999998</v>
      </c>
      <c r="J133" s="25" t="s">
        <v>827</v>
      </c>
      <c r="K133" s="25" t="s">
        <v>160</v>
      </c>
      <c r="L133" s="25" t="s">
        <v>841</v>
      </c>
      <c r="N133" s="25" t="s">
        <v>845</v>
      </c>
    </row>
    <row r="134" spans="1:15" x14ac:dyDescent="0.2">
      <c r="A134" s="14" t="str">
        <f t="shared" si="12"/>
        <v>Agerer Franz</v>
      </c>
      <c r="B134" s="5" t="str">
        <f t="shared" si="13"/>
        <v>I</v>
      </c>
      <c r="C134" s="14">
        <f t="shared" si="14"/>
        <v>47963.574000000001</v>
      </c>
      <c r="D134" s="25" t="str">
        <f t="shared" si="15"/>
        <v>V</v>
      </c>
      <c r="E134" s="164">
        <f>VLOOKUP(C134,'Active 1'!C$21:E$928,3,FALSE)</f>
        <v>2151.0024798089771</v>
      </c>
      <c r="G134" s="25">
        <v>2151</v>
      </c>
      <c r="H134" s="25">
        <v>-4.9099999999999998E-2</v>
      </c>
      <c r="I134" s="25">
        <v>47963.574000000001</v>
      </c>
      <c r="J134" s="25" t="s">
        <v>239</v>
      </c>
      <c r="K134" s="25" t="s">
        <v>160</v>
      </c>
      <c r="L134" s="25" t="s">
        <v>841</v>
      </c>
      <c r="N134" s="25" t="s">
        <v>849</v>
      </c>
    </row>
    <row r="135" spans="1:15" x14ac:dyDescent="0.2">
      <c r="A135" s="14" t="str">
        <f t="shared" si="12"/>
        <v>Agerer Franz</v>
      </c>
      <c r="B135" s="5" t="str">
        <f t="shared" si="13"/>
        <v>I</v>
      </c>
      <c r="C135" s="14">
        <f t="shared" si="14"/>
        <v>47963.575900000003</v>
      </c>
      <c r="D135" s="25" t="str">
        <f t="shared" si="15"/>
        <v>B</v>
      </c>
      <c r="E135" s="164">
        <f>VLOOKUP(C135,'Active 1'!C$21:E$928,3,FALSE)</f>
        <v>2151.0065113286773</v>
      </c>
      <c r="G135" s="25">
        <v>2151</v>
      </c>
      <c r="H135" s="25">
        <v>-4.7199999999999999E-2</v>
      </c>
      <c r="I135" s="25">
        <v>47963.575900000003</v>
      </c>
      <c r="J135" s="25" t="s">
        <v>239</v>
      </c>
      <c r="K135" s="25" t="s">
        <v>92</v>
      </c>
      <c r="L135" s="25" t="s">
        <v>841</v>
      </c>
      <c r="N135" s="25" t="s">
        <v>849</v>
      </c>
    </row>
    <row r="136" spans="1:15" x14ac:dyDescent="0.2">
      <c r="A136" s="14" t="str">
        <f t="shared" si="12"/>
        <v>Agerer Franz</v>
      </c>
      <c r="B136" s="5" t="str">
        <f t="shared" si="13"/>
        <v>II</v>
      </c>
      <c r="C136" s="14">
        <f t="shared" si="14"/>
        <v>48084.460599999999</v>
      </c>
      <c r="D136" s="25" t="str">
        <f t="shared" si="15"/>
        <v>B</v>
      </c>
      <c r="E136" s="164">
        <f>VLOOKUP(C136,'Active 1'!C$21:E$928,3,FALSE)</f>
        <v>2407.5060106775768</v>
      </c>
      <c r="G136" s="25">
        <v>2407</v>
      </c>
      <c r="H136" s="25">
        <v>-4.8500000000000001E-2</v>
      </c>
      <c r="I136" s="25">
        <v>48084.460599999999</v>
      </c>
      <c r="J136" s="25" t="s">
        <v>827</v>
      </c>
      <c r="K136" s="25" t="s">
        <v>92</v>
      </c>
      <c r="L136" s="25" t="s">
        <v>841</v>
      </c>
      <c r="N136" s="25" t="s">
        <v>851</v>
      </c>
    </row>
    <row r="137" spans="1:15" x14ac:dyDescent="0.2">
      <c r="A137" s="14" t="str">
        <f t="shared" si="12"/>
        <v>Agerer Franz</v>
      </c>
      <c r="B137" s="5" t="str">
        <f t="shared" si="13"/>
        <v>II</v>
      </c>
      <c r="C137" s="14">
        <f t="shared" si="14"/>
        <v>48084.461499999998</v>
      </c>
      <c r="D137" s="25" t="str">
        <f t="shared" si="15"/>
        <v>V</v>
      </c>
      <c r="E137" s="164">
        <f>VLOOKUP(C137,'Active 1'!C$21:E$928,3,FALSE)</f>
        <v>2407.5079203447981</v>
      </c>
      <c r="G137" s="25">
        <v>2407</v>
      </c>
      <c r="H137" s="25">
        <v>-4.7600000000000003E-2</v>
      </c>
      <c r="I137" s="25">
        <v>48084.461499999998</v>
      </c>
      <c r="J137" s="25" t="s">
        <v>827</v>
      </c>
      <c r="K137" s="25" t="s">
        <v>160</v>
      </c>
      <c r="L137" s="25" t="s">
        <v>841</v>
      </c>
      <c r="N137" s="25" t="s">
        <v>851</v>
      </c>
    </row>
    <row r="138" spans="1:15" x14ac:dyDescent="0.2">
      <c r="A138" s="14" t="str">
        <f t="shared" si="12"/>
        <v>Paschke Anton</v>
      </c>
      <c r="B138" s="5" t="str">
        <f t="shared" si="13"/>
        <v>I</v>
      </c>
      <c r="C138" s="14">
        <f t="shared" si="14"/>
        <v>51275.322999999997</v>
      </c>
      <c r="D138" s="25" t="str">
        <f t="shared" si="15"/>
        <v>ccd</v>
      </c>
      <c r="E138" s="164">
        <f>VLOOKUP(C138,'Active 1'!C$21:E$928,3,FALSE)</f>
        <v>9178.045277361116</v>
      </c>
      <c r="G138" s="25">
        <v>9178</v>
      </c>
      <c r="H138" s="25">
        <v>-4.9299999999999997E-2</v>
      </c>
      <c r="I138" s="25">
        <v>51275.322999999997</v>
      </c>
      <c r="J138" s="25" t="s">
        <v>239</v>
      </c>
      <c r="K138" s="25" t="s">
        <v>860</v>
      </c>
      <c r="L138" s="25" t="s">
        <v>864</v>
      </c>
      <c r="N138" s="25" t="s">
        <v>865</v>
      </c>
    </row>
    <row r="139" spans="1:15" x14ac:dyDescent="0.2">
      <c r="A139" s="14" t="str">
        <f t="shared" ref="A139:A153" si="16">L139</f>
        <v>Raetz M</v>
      </c>
      <c r="B139" s="5" t="str">
        <f t="shared" ref="B139:B153" si="17">IF(J139="s","II","I")</f>
        <v>I</v>
      </c>
      <c r="C139" s="14">
        <f t="shared" ref="C139:C153" si="18">I139</f>
        <v>53858.476999999999</v>
      </c>
      <c r="D139" s="25" t="e">
        <f t="shared" ref="D139:D153" si="19">K139</f>
        <v>#NAME?</v>
      </c>
      <c r="E139" s="164">
        <f>VLOOKUP(C139,'Active 1'!C$21:E$928,3,FALSE)</f>
        <v>14659.116974119544</v>
      </c>
      <c r="G139" s="25">
        <v>14659</v>
      </c>
      <c r="H139" s="25">
        <v>-3.1399999999999997E-2</v>
      </c>
      <c r="I139" s="25">
        <v>53858.476999999999</v>
      </c>
      <c r="J139" s="25" t="s">
        <v>239</v>
      </c>
      <c r="K139" s="25" t="e">
        <f>-Ir</f>
        <v>#NAME?</v>
      </c>
      <c r="L139" s="25" t="s">
        <v>882</v>
      </c>
      <c r="O139" s="25" t="s">
        <v>875</v>
      </c>
    </row>
    <row r="140" spans="1:15" x14ac:dyDescent="0.2">
      <c r="A140" s="14" t="str">
        <f t="shared" si="16"/>
        <v>Agerer Franz</v>
      </c>
      <c r="B140" s="5" t="str">
        <f t="shared" si="17"/>
        <v>II</v>
      </c>
      <c r="C140" s="14">
        <f t="shared" si="18"/>
        <v>54240.46</v>
      </c>
      <c r="D140" s="25" t="e">
        <f t="shared" si="19"/>
        <v>#NAME?</v>
      </c>
      <c r="E140" s="164">
        <f>VLOOKUP(C140,'Active 1'!C$21:E$928,3,FALSE)</f>
        <v>15469.628546384642</v>
      </c>
      <c r="G140" s="25">
        <v>15469</v>
      </c>
      <c r="H140" s="25">
        <v>-2.86E-2</v>
      </c>
      <c r="I140" s="25">
        <v>54240.46</v>
      </c>
      <c r="J140" s="25" t="s">
        <v>827</v>
      </c>
      <c r="K140" s="25" t="e">
        <f>-Ir</f>
        <v>#NAME?</v>
      </c>
      <c r="L140" s="25" t="s">
        <v>841</v>
      </c>
      <c r="N140" s="25" t="s">
        <v>875</v>
      </c>
    </row>
    <row r="141" spans="1:15" x14ac:dyDescent="0.2">
      <c r="A141" s="14">
        <f t="shared" si="16"/>
        <v>0</v>
      </c>
      <c r="B141" s="5" t="str">
        <f t="shared" si="17"/>
        <v>I</v>
      </c>
      <c r="C141" s="14">
        <f t="shared" si="18"/>
        <v>0</v>
      </c>
      <c r="D141" s="25">
        <f t="shared" si="19"/>
        <v>0</v>
      </c>
      <c r="E141" s="164" t="e">
        <f>VLOOKUP(C141,'Active 1'!C$21:E$928,3,FALSE)</f>
        <v>#N/A</v>
      </c>
    </row>
    <row r="142" spans="1:15" x14ac:dyDescent="0.2">
      <c r="A142" s="14">
        <f t="shared" si="16"/>
        <v>0</v>
      </c>
      <c r="B142" s="5" t="str">
        <f t="shared" si="17"/>
        <v>I</v>
      </c>
      <c r="C142" s="14">
        <f t="shared" si="18"/>
        <v>0</v>
      </c>
      <c r="D142" s="25">
        <f t="shared" si="19"/>
        <v>0</v>
      </c>
      <c r="E142" s="164" t="e">
        <f>VLOOKUP(C142,'Active 1'!C$21:E$928,3,FALSE)</f>
        <v>#N/A</v>
      </c>
      <c r="G142" s="25" t="s">
        <v>916</v>
      </c>
    </row>
    <row r="143" spans="1:15" x14ac:dyDescent="0.2">
      <c r="A143" s="14" t="str">
        <f t="shared" si="16"/>
        <v>Dedoch A</v>
      </c>
      <c r="B143" s="5" t="str">
        <f t="shared" si="17"/>
        <v>I</v>
      </c>
      <c r="C143" s="14">
        <f t="shared" si="18"/>
        <v>47735.450799999999</v>
      </c>
      <c r="D143" s="25" t="str">
        <f t="shared" si="19"/>
        <v>vis</v>
      </c>
      <c r="E143" s="164">
        <f>VLOOKUP(C143,'Active 1'!C$21:E$928,3,FALSE)</f>
        <v>1666.9587042950236</v>
      </c>
      <c r="G143" s="25">
        <v>1667</v>
      </c>
      <c r="H143" s="25">
        <v>-6.83E-2</v>
      </c>
      <c r="I143" s="25">
        <v>47735.450799999999</v>
      </c>
      <c r="J143" s="25" t="s">
        <v>239</v>
      </c>
      <c r="K143" s="25" t="s">
        <v>236</v>
      </c>
      <c r="L143" s="25" t="s">
        <v>917</v>
      </c>
      <c r="N143" s="25" t="s">
        <v>918</v>
      </c>
    </row>
    <row r="144" spans="1:15" x14ac:dyDescent="0.2">
      <c r="A144" s="14" t="str">
        <f t="shared" si="16"/>
        <v>Brat Lubos</v>
      </c>
      <c r="B144" s="5" t="str">
        <f t="shared" si="17"/>
        <v>I</v>
      </c>
      <c r="C144" s="14">
        <f t="shared" si="18"/>
        <v>53546.481099999997</v>
      </c>
      <c r="D144" s="25" t="str">
        <f t="shared" si="19"/>
        <v>ccd</v>
      </c>
      <c r="E144" s="164">
        <f>VLOOKUP(C144,'Active 1'!C$21:E$928,3,FALSE)</f>
        <v>13997.107702897356</v>
      </c>
      <c r="G144" s="25">
        <v>13997</v>
      </c>
      <c r="H144" s="25">
        <v>-3.3799999999999997E-2</v>
      </c>
      <c r="I144" s="25">
        <v>53546.481099999997</v>
      </c>
      <c r="J144" s="25" t="s">
        <v>239</v>
      </c>
      <c r="K144" s="25" t="s">
        <v>860</v>
      </c>
      <c r="L144" s="25" t="s">
        <v>927</v>
      </c>
      <c r="N144" s="25" t="s">
        <v>928</v>
      </c>
    </row>
    <row r="145" spans="1:15" x14ac:dyDescent="0.2">
      <c r="A145" s="14" t="str">
        <f t="shared" si="16"/>
        <v>Brat L</v>
      </c>
      <c r="B145" s="5" t="str">
        <f t="shared" si="17"/>
        <v>I</v>
      </c>
      <c r="C145" s="14">
        <f t="shared" si="18"/>
        <v>53546.481500000002</v>
      </c>
      <c r="D145" s="25" t="str">
        <f t="shared" si="19"/>
        <v>ccdR</v>
      </c>
      <c r="E145" s="164">
        <f>VLOOKUP(C145,'Active 1'!C$21:E$928,3,FALSE)</f>
        <v>13997.108551638354</v>
      </c>
      <c r="G145" s="25">
        <v>13997</v>
      </c>
      <c r="H145" s="25">
        <v>-3.3500000000000002E-2</v>
      </c>
      <c r="I145" s="25">
        <v>53546.481500000002</v>
      </c>
      <c r="J145" s="25" t="s">
        <v>239</v>
      </c>
      <c r="K145" s="25" t="s">
        <v>929</v>
      </c>
      <c r="L145" s="25" t="s">
        <v>930</v>
      </c>
      <c r="O145" s="25" t="s">
        <v>931</v>
      </c>
    </row>
    <row r="146" spans="1:15" x14ac:dyDescent="0.2">
      <c r="A146" s="14" t="str">
        <f t="shared" si="16"/>
        <v>Smelcer L</v>
      </c>
      <c r="B146" s="5" t="str">
        <f t="shared" si="17"/>
        <v>I</v>
      </c>
      <c r="C146" s="14">
        <f t="shared" si="18"/>
        <v>55050.378799999999</v>
      </c>
      <c r="D146" s="25" t="str">
        <f t="shared" si="19"/>
        <v>I</v>
      </c>
      <c r="E146" s="164">
        <f>VLOOKUP(C146,'Active 1'!C$21:E$928,3,FALSE)</f>
        <v>17188.156753124367</v>
      </c>
      <c r="G146" s="25">
        <v>17188</v>
      </c>
      <c r="H146" s="25">
        <v>-0.02</v>
      </c>
      <c r="I146" s="25">
        <v>55050.378799999999</v>
      </c>
      <c r="J146" s="25" t="s">
        <v>239</v>
      </c>
      <c r="K146" s="25" t="s">
        <v>64</v>
      </c>
      <c r="L146" s="25" t="s">
        <v>932</v>
      </c>
      <c r="N146" s="25" t="s">
        <v>933</v>
      </c>
    </row>
    <row r="147" spans="1:15" x14ac:dyDescent="0.2">
      <c r="A147" s="14" t="str">
        <f t="shared" si="16"/>
        <v>Smelcer L</v>
      </c>
      <c r="B147" s="5" t="str">
        <f t="shared" si="17"/>
        <v>I</v>
      </c>
      <c r="C147" s="14">
        <f t="shared" si="18"/>
        <v>55050.379200000003</v>
      </c>
      <c r="D147" s="25" t="str">
        <f t="shared" si="19"/>
        <v>V</v>
      </c>
      <c r="E147" s="164">
        <f>VLOOKUP(C147,'Active 1'!C$21:E$928,3,FALSE)</f>
        <v>17188.157601865365</v>
      </c>
      <c r="G147" s="25">
        <v>17188</v>
      </c>
      <c r="H147" s="25">
        <v>-1.9599999999999999E-2</v>
      </c>
      <c r="I147" s="25">
        <v>55050.379200000003</v>
      </c>
      <c r="J147" s="25" t="s">
        <v>239</v>
      </c>
      <c r="K147" s="25" t="s">
        <v>160</v>
      </c>
      <c r="L147" s="25" t="s">
        <v>932</v>
      </c>
      <c r="N147" s="25" t="s">
        <v>933</v>
      </c>
    </row>
    <row r="148" spans="1:15" x14ac:dyDescent="0.2">
      <c r="A148" s="14" t="str">
        <f t="shared" si="16"/>
        <v>Smelcer L</v>
      </c>
      <c r="B148" s="5" t="str">
        <f t="shared" si="17"/>
        <v>I</v>
      </c>
      <c r="C148" s="14">
        <f t="shared" si="18"/>
        <v>55352.475700000003</v>
      </c>
      <c r="D148" s="25" t="str">
        <f t="shared" si="19"/>
        <v>R</v>
      </c>
      <c r="E148" s="164">
        <f>VLOOKUP(C148,'Active 1'!C$21:E$928,3,FALSE)</f>
        <v>17829.161806740405</v>
      </c>
      <c r="G148" s="25">
        <v>17829</v>
      </c>
      <c r="H148" s="25">
        <v>-1.95E-2</v>
      </c>
      <c r="I148" s="25">
        <v>55352.475700000003</v>
      </c>
      <c r="J148" s="25" t="s">
        <v>239</v>
      </c>
      <c r="K148" s="25" t="s">
        <v>135</v>
      </c>
      <c r="L148" s="25" t="s">
        <v>932</v>
      </c>
      <c r="N148" s="25" t="s">
        <v>933</v>
      </c>
    </row>
    <row r="149" spans="1:15" x14ac:dyDescent="0.2">
      <c r="A149" s="14" t="str">
        <f t="shared" si="16"/>
        <v>Smelcer L</v>
      </c>
      <c r="B149" s="5" t="str">
        <f t="shared" si="17"/>
        <v>I</v>
      </c>
      <c r="C149" s="14">
        <f t="shared" si="18"/>
        <v>55352.476999999999</v>
      </c>
      <c r="D149" s="25" t="str">
        <f t="shared" si="19"/>
        <v>V</v>
      </c>
      <c r="E149" s="164">
        <f>VLOOKUP(C149,'Active 1'!C$21:E$928,3,FALSE)</f>
        <v>17829.164565148607</v>
      </c>
      <c r="G149" s="25">
        <v>17829</v>
      </c>
      <c r="H149" s="25">
        <v>-1.8200000000000001E-2</v>
      </c>
      <c r="I149" s="25">
        <v>55352.476999999999</v>
      </c>
      <c r="J149" s="25" t="s">
        <v>239</v>
      </c>
      <c r="K149" s="25" t="s">
        <v>160</v>
      </c>
      <c r="L149" s="25" t="s">
        <v>932</v>
      </c>
      <c r="N149" s="25" t="s">
        <v>933</v>
      </c>
    </row>
    <row r="150" spans="1:15" x14ac:dyDescent="0.2">
      <c r="A150" s="14" t="str">
        <f t="shared" si="16"/>
        <v>Smelcer L</v>
      </c>
      <c r="B150" s="5" t="str">
        <f t="shared" si="17"/>
        <v>I</v>
      </c>
      <c r="C150" s="14">
        <f t="shared" si="18"/>
        <v>55352.477599999998</v>
      </c>
      <c r="D150" s="25" t="str">
        <f t="shared" si="19"/>
        <v>I</v>
      </c>
      <c r="E150" s="164">
        <f>VLOOKUP(C150,'Active 1'!C$21:E$928,3,FALSE)</f>
        <v>17829.165838260087</v>
      </c>
      <c r="G150" s="25">
        <v>17829</v>
      </c>
      <c r="H150" s="25">
        <v>-1.7600000000000001E-2</v>
      </c>
      <c r="I150" s="25">
        <v>55352.477599999998</v>
      </c>
      <c r="J150" s="25" t="s">
        <v>239</v>
      </c>
      <c r="K150" s="25" t="s">
        <v>64</v>
      </c>
      <c r="L150" s="25" t="s">
        <v>932</v>
      </c>
      <c r="N150" s="25" t="s">
        <v>933</v>
      </c>
    </row>
    <row r="151" spans="1:15" x14ac:dyDescent="0.2">
      <c r="A151" s="14" t="str">
        <f t="shared" si="16"/>
        <v>Smelcer L.</v>
      </c>
      <c r="B151" s="5" t="str">
        <f t="shared" si="17"/>
        <v>II</v>
      </c>
      <c r="C151" s="14">
        <f t="shared" si="18"/>
        <v>56407.474699999999</v>
      </c>
      <c r="D151" s="25" t="str">
        <f t="shared" si="19"/>
        <v>V</v>
      </c>
      <c r="E151" s="164">
        <f>VLOOKUP(C151,'Active 1'!C$21:E$928,3,FALSE)</f>
        <v>20067.714041337498</v>
      </c>
      <c r="G151" s="25">
        <v>20067</v>
      </c>
      <c r="H151" s="25">
        <v>-1.6999999999999999E-3</v>
      </c>
      <c r="I151" s="25">
        <v>56407.474699999999</v>
      </c>
      <c r="J151" s="25" t="s">
        <v>827</v>
      </c>
      <c r="K151" s="25" t="s">
        <v>160</v>
      </c>
      <c r="L151" s="25" t="s">
        <v>934</v>
      </c>
      <c r="N151" s="25" t="s">
        <v>935</v>
      </c>
    </row>
    <row r="152" spans="1:15" x14ac:dyDescent="0.2">
      <c r="A152" s="14" t="str">
        <f t="shared" si="16"/>
        <v>Smelcer L.</v>
      </c>
      <c r="B152" s="5" t="str">
        <f t="shared" si="17"/>
        <v>II</v>
      </c>
      <c r="C152" s="14">
        <f t="shared" si="18"/>
        <v>56407.474900000001</v>
      </c>
      <c r="D152" s="25" t="str">
        <f t="shared" si="19"/>
        <v>R</v>
      </c>
      <c r="E152" s="164">
        <f>VLOOKUP(C152,'Active 1'!C$21:E$928,3,FALSE)</f>
        <v>20067.714465707995</v>
      </c>
      <c r="G152" s="25">
        <v>20067</v>
      </c>
      <c r="H152" s="25">
        <v>-1.4E-3</v>
      </c>
      <c r="I152" s="25">
        <v>56407.474900000001</v>
      </c>
      <c r="J152" s="25" t="s">
        <v>827</v>
      </c>
      <c r="K152" s="25" t="s">
        <v>135</v>
      </c>
      <c r="L152" s="25" t="s">
        <v>934</v>
      </c>
      <c r="N152" s="25" t="s">
        <v>935</v>
      </c>
    </row>
    <row r="153" spans="1:15" x14ac:dyDescent="0.2">
      <c r="A153" s="14" t="str">
        <f t="shared" si="16"/>
        <v>Smelcer L.</v>
      </c>
      <c r="B153" s="5" t="str">
        <f t="shared" si="17"/>
        <v>II</v>
      </c>
      <c r="C153" s="14">
        <f t="shared" si="18"/>
        <v>56407.475899999998</v>
      </c>
      <c r="D153" s="25" t="str">
        <f t="shared" si="19"/>
        <v>I</v>
      </c>
      <c r="E153" s="164">
        <f>VLOOKUP(C153,'Active 1'!C$21:E$928,3,FALSE)</f>
        <v>20067.716587560459</v>
      </c>
      <c r="G153" s="25">
        <v>20067</v>
      </c>
      <c r="H153" s="25">
        <v>-5.0000000000000001E-4</v>
      </c>
      <c r="I153" s="25">
        <v>56407.475899999998</v>
      </c>
      <c r="J153" s="25" t="s">
        <v>827</v>
      </c>
      <c r="K153" s="25" t="s">
        <v>64</v>
      </c>
      <c r="L153" s="25" t="s">
        <v>934</v>
      </c>
      <c r="N153" s="25" t="s">
        <v>935</v>
      </c>
    </row>
    <row r="154" spans="1:15" x14ac:dyDescent="0.2">
      <c r="B154" s="5"/>
      <c r="C154" s="14"/>
      <c r="E154" s="164"/>
    </row>
    <row r="155" spans="1:15" x14ac:dyDescent="0.2">
      <c r="B155" s="5"/>
      <c r="C155" s="14"/>
      <c r="E155" s="164"/>
    </row>
    <row r="156" spans="1:15" x14ac:dyDescent="0.2">
      <c r="B156" s="5"/>
      <c r="C156" s="14"/>
      <c r="E156" s="164"/>
    </row>
    <row r="157" spans="1:15" x14ac:dyDescent="0.2">
      <c r="B157" s="5"/>
      <c r="C157" s="14"/>
      <c r="E157" s="164"/>
    </row>
    <row r="158" spans="1:15" x14ac:dyDescent="0.2">
      <c r="B158" s="5"/>
      <c r="C158" s="14"/>
      <c r="E158" s="164"/>
    </row>
    <row r="159" spans="1:15" x14ac:dyDescent="0.2">
      <c r="B159" s="5"/>
      <c r="C159" s="14"/>
      <c r="E159" s="164"/>
    </row>
    <row r="160" spans="1:15" x14ac:dyDescent="0.2">
      <c r="B160" s="5"/>
      <c r="C160" s="14"/>
      <c r="E160" s="164"/>
    </row>
    <row r="161" spans="2:5" x14ac:dyDescent="0.2">
      <c r="B161" s="5"/>
      <c r="C161" s="14"/>
      <c r="E161" s="164"/>
    </row>
    <row r="162" spans="2:5" x14ac:dyDescent="0.2">
      <c r="B162" s="5"/>
      <c r="C162" s="14"/>
      <c r="E162" s="164"/>
    </row>
    <row r="163" spans="2:5" x14ac:dyDescent="0.2">
      <c r="B163" s="5"/>
      <c r="C163" s="14"/>
      <c r="E163" s="164"/>
    </row>
    <row r="164" spans="2:5" x14ac:dyDescent="0.2">
      <c r="B164" s="5"/>
      <c r="C164" s="14"/>
      <c r="E164" s="164"/>
    </row>
    <row r="165" spans="2:5" x14ac:dyDescent="0.2">
      <c r="B165" s="5"/>
      <c r="C165" s="14"/>
      <c r="E165" s="164"/>
    </row>
    <row r="166" spans="2:5" x14ac:dyDescent="0.2">
      <c r="B166" s="5"/>
      <c r="C166" s="14"/>
      <c r="E166" s="164"/>
    </row>
    <row r="167" spans="2:5" x14ac:dyDescent="0.2">
      <c r="B167" s="5"/>
      <c r="C167" s="14"/>
      <c r="E167" s="164"/>
    </row>
    <row r="168" spans="2:5" x14ac:dyDescent="0.2">
      <c r="B168" s="5"/>
      <c r="C168" s="14"/>
      <c r="E168" s="164"/>
    </row>
    <row r="169" spans="2:5" x14ac:dyDescent="0.2">
      <c r="B169" s="5"/>
      <c r="C169" s="14"/>
      <c r="E169" s="164"/>
    </row>
    <row r="170" spans="2:5" x14ac:dyDescent="0.2">
      <c r="B170" s="5"/>
      <c r="C170" s="14"/>
      <c r="E170" s="164"/>
    </row>
    <row r="171" spans="2:5" x14ac:dyDescent="0.2">
      <c r="B171" s="5"/>
      <c r="C171" s="14"/>
      <c r="E171" s="164"/>
    </row>
    <row r="172" spans="2:5" x14ac:dyDescent="0.2">
      <c r="B172" s="5"/>
      <c r="C172" s="14"/>
      <c r="E172" s="164"/>
    </row>
    <row r="173" spans="2:5" x14ac:dyDescent="0.2">
      <c r="B173" s="5"/>
      <c r="C173" s="14"/>
      <c r="E173" s="164"/>
    </row>
    <row r="174" spans="2:5" x14ac:dyDescent="0.2">
      <c r="B174" s="5"/>
      <c r="C174" s="14"/>
      <c r="E174" s="164"/>
    </row>
    <row r="175" spans="2:5" x14ac:dyDescent="0.2">
      <c r="B175" s="5"/>
      <c r="C175" s="14"/>
      <c r="E175" s="164"/>
    </row>
    <row r="176" spans="2:5" x14ac:dyDescent="0.2">
      <c r="B176" s="5"/>
      <c r="C176" s="14"/>
      <c r="E176" s="164"/>
    </row>
    <row r="177" spans="2:5" x14ac:dyDescent="0.2">
      <c r="B177" s="5"/>
      <c r="C177" s="14"/>
      <c r="E177" s="164"/>
    </row>
    <row r="178" spans="2:5" x14ac:dyDescent="0.2">
      <c r="B178" s="5"/>
      <c r="C178" s="14"/>
      <c r="E178" s="164"/>
    </row>
    <row r="179" spans="2:5" x14ac:dyDescent="0.2">
      <c r="B179" s="5"/>
      <c r="C179" s="14"/>
      <c r="E179" s="164"/>
    </row>
    <row r="180" spans="2:5" x14ac:dyDescent="0.2">
      <c r="B180" s="5"/>
      <c r="C180" s="14"/>
      <c r="E180" s="164"/>
    </row>
    <row r="181" spans="2:5" x14ac:dyDescent="0.2">
      <c r="B181" s="5"/>
      <c r="C181" s="14"/>
      <c r="E181" s="164"/>
    </row>
    <row r="182" spans="2:5" x14ac:dyDescent="0.2">
      <c r="B182" s="5"/>
      <c r="C182" s="14"/>
      <c r="E182" s="164"/>
    </row>
    <row r="183" spans="2:5" x14ac:dyDescent="0.2">
      <c r="B183" s="5"/>
      <c r="C183" s="14"/>
      <c r="E183" s="164"/>
    </row>
    <row r="184" spans="2:5" x14ac:dyDescent="0.2">
      <c r="B184" s="5"/>
      <c r="C184" s="14"/>
      <c r="E184" s="164"/>
    </row>
    <row r="185" spans="2:5" x14ac:dyDescent="0.2">
      <c r="B185" s="5"/>
      <c r="C185" s="14"/>
      <c r="E185" s="164"/>
    </row>
    <row r="186" spans="2:5" x14ac:dyDescent="0.2">
      <c r="B186" s="5"/>
      <c r="C186" s="14"/>
      <c r="E186" s="164"/>
    </row>
    <row r="187" spans="2:5" x14ac:dyDescent="0.2">
      <c r="B187" s="5"/>
      <c r="C187" s="14"/>
      <c r="E187" s="164"/>
    </row>
    <row r="188" spans="2:5" x14ac:dyDescent="0.2">
      <c r="B188" s="5"/>
      <c r="C188" s="14"/>
      <c r="E188" s="164"/>
    </row>
    <row r="189" spans="2:5" x14ac:dyDescent="0.2">
      <c r="B189" s="5"/>
      <c r="C189" s="14"/>
      <c r="E189" s="164"/>
    </row>
    <row r="190" spans="2:5" x14ac:dyDescent="0.2">
      <c r="B190" s="5"/>
      <c r="C190" s="14"/>
      <c r="E190" s="164"/>
    </row>
    <row r="191" spans="2:5" x14ac:dyDescent="0.2">
      <c r="B191" s="5"/>
      <c r="C191" s="14"/>
      <c r="E191" s="164"/>
    </row>
    <row r="192" spans="2:5" x14ac:dyDescent="0.2">
      <c r="B192" s="5"/>
      <c r="C192" s="14"/>
      <c r="E192" s="164"/>
    </row>
    <row r="193" spans="2:5" x14ac:dyDescent="0.2">
      <c r="B193" s="5"/>
      <c r="C193" s="14"/>
      <c r="E193" s="164"/>
    </row>
    <row r="194" spans="2:5" x14ac:dyDescent="0.2">
      <c r="B194" s="5"/>
      <c r="C194" s="14"/>
      <c r="E194" s="164"/>
    </row>
    <row r="195" spans="2:5" x14ac:dyDescent="0.2">
      <c r="B195" s="5"/>
      <c r="C195" s="14"/>
      <c r="E195" s="164"/>
    </row>
    <row r="196" spans="2:5" x14ac:dyDescent="0.2">
      <c r="B196" s="5"/>
      <c r="C196" s="14"/>
      <c r="E196" s="164"/>
    </row>
    <row r="197" spans="2:5" x14ac:dyDescent="0.2">
      <c r="B197" s="5"/>
      <c r="C197" s="14"/>
      <c r="E197" s="164"/>
    </row>
    <row r="198" spans="2:5" x14ac:dyDescent="0.2">
      <c r="B198" s="5"/>
      <c r="C198" s="14"/>
      <c r="E198" s="164"/>
    </row>
    <row r="199" spans="2:5" x14ac:dyDescent="0.2">
      <c r="B199" s="5"/>
      <c r="C199" s="14"/>
      <c r="E199" s="164"/>
    </row>
    <row r="200" spans="2:5" x14ac:dyDescent="0.2">
      <c r="B200" s="5"/>
      <c r="C200" s="14"/>
      <c r="E200" s="164"/>
    </row>
    <row r="201" spans="2:5" x14ac:dyDescent="0.2">
      <c r="B201" s="5"/>
      <c r="C201" s="14"/>
      <c r="E201" s="164"/>
    </row>
    <row r="202" spans="2:5" x14ac:dyDescent="0.2">
      <c r="B202" s="5"/>
      <c r="C202" s="14"/>
      <c r="E202" s="164"/>
    </row>
    <row r="203" spans="2:5" x14ac:dyDescent="0.2">
      <c r="B203" s="5"/>
      <c r="C203" s="14"/>
      <c r="E203" s="164"/>
    </row>
    <row r="204" spans="2:5" x14ac:dyDescent="0.2">
      <c r="B204" s="5"/>
      <c r="C204" s="14"/>
      <c r="E204" s="164"/>
    </row>
    <row r="205" spans="2:5" x14ac:dyDescent="0.2">
      <c r="B205" s="5"/>
      <c r="C205" s="14"/>
      <c r="E205" s="164"/>
    </row>
    <row r="206" spans="2:5" x14ac:dyDescent="0.2">
      <c r="B206" s="5"/>
      <c r="C206" s="14"/>
      <c r="E206" s="164"/>
    </row>
    <row r="207" spans="2:5" x14ac:dyDescent="0.2">
      <c r="B207" s="5"/>
      <c r="C207" s="14"/>
      <c r="E207" s="164"/>
    </row>
    <row r="208" spans="2:5" x14ac:dyDescent="0.2">
      <c r="B208" s="5"/>
      <c r="C208" s="14"/>
      <c r="E208" s="164"/>
    </row>
    <row r="209" spans="2:5" x14ac:dyDescent="0.2">
      <c r="B209" s="5"/>
      <c r="C209" s="14"/>
      <c r="E209" s="164"/>
    </row>
    <row r="210" spans="2:5" x14ac:dyDescent="0.2">
      <c r="B210" s="5"/>
      <c r="C210" s="14"/>
      <c r="E210" s="164"/>
    </row>
    <row r="211" spans="2:5" x14ac:dyDescent="0.2">
      <c r="B211" s="5"/>
      <c r="C211" s="14"/>
      <c r="E211" s="164"/>
    </row>
    <row r="212" spans="2:5" x14ac:dyDescent="0.2">
      <c r="B212" s="5"/>
      <c r="C212" s="14"/>
      <c r="E212" s="164"/>
    </row>
    <row r="213" spans="2:5" x14ac:dyDescent="0.2">
      <c r="B213" s="5"/>
      <c r="C213" s="14"/>
      <c r="E213" s="164"/>
    </row>
    <row r="214" spans="2:5" x14ac:dyDescent="0.2">
      <c r="B214" s="5"/>
      <c r="C214" s="14"/>
      <c r="E214" s="164"/>
    </row>
    <row r="215" spans="2:5" x14ac:dyDescent="0.2">
      <c r="B215" s="5"/>
      <c r="C215" s="14"/>
      <c r="E215" s="164"/>
    </row>
    <row r="216" spans="2:5" x14ac:dyDescent="0.2">
      <c r="B216" s="5"/>
      <c r="C216" s="14"/>
      <c r="E216" s="164"/>
    </row>
    <row r="217" spans="2:5" x14ac:dyDescent="0.2">
      <c r="B217" s="5"/>
      <c r="C217" s="14"/>
      <c r="E217" s="164"/>
    </row>
    <row r="218" spans="2:5" x14ac:dyDescent="0.2">
      <c r="B218" s="5"/>
      <c r="C218" s="14"/>
      <c r="E218" s="164"/>
    </row>
    <row r="219" spans="2:5" x14ac:dyDescent="0.2">
      <c r="B219" s="5"/>
      <c r="C219" s="14"/>
      <c r="E219" s="164"/>
    </row>
    <row r="220" spans="2:5" x14ac:dyDescent="0.2">
      <c r="B220" s="5"/>
      <c r="C220" s="14"/>
      <c r="E220" s="164"/>
    </row>
    <row r="221" spans="2:5" x14ac:dyDescent="0.2">
      <c r="B221" s="5"/>
      <c r="C221" s="14"/>
      <c r="E221" s="164"/>
    </row>
    <row r="222" spans="2:5" x14ac:dyDescent="0.2">
      <c r="B222" s="5"/>
      <c r="C222" s="14"/>
      <c r="E222" s="164"/>
    </row>
    <row r="223" spans="2:5" x14ac:dyDescent="0.2">
      <c r="B223" s="5"/>
      <c r="C223" s="14"/>
      <c r="E223" s="164"/>
    </row>
    <row r="224" spans="2:5" x14ac:dyDescent="0.2">
      <c r="B224" s="5"/>
      <c r="C224" s="14"/>
      <c r="E224" s="164"/>
    </row>
    <row r="225" spans="2:5" x14ac:dyDescent="0.2">
      <c r="B225" s="5"/>
      <c r="C225" s="14"/>
      <c r="E225" s="164"/>
    </row>
    <row r="226" spans="2:5" x14ac:dyDescent="0.2">
      <c r="B226" s="5"/>
      <c r="C226" s="14"/>
      <c r="E226" s="164"/>
    </row>
    <row r="227" spans="2:5" x14ac:dyDescent="0.2">
      <c r="B227" s="5"/>
      <c r="C227" s="14"/>
      <c r="E227" s="164"/>
    </row>
    <row r="228" spans="2:5" x14ac:dyDescent="0.2">
      <c r="B228" s="5"/>
      <c r="C228" s="14"/>
      <c r="E228" s="164"/>
    </row>
    <row r="229" spans="2:5" x14ac:dyDescent="0.2">
      <c r="B229" s="5"/>
      <c r="C229" s="14"/>
      <c r="E229" s="164"/>
    </row>
    <row r="230" spans="2:5" x14ac:dyDescent="0.2">
      <c r="B230" s="5"/>
      <c r="C230" s="14"/>
      <c r="E230" s="164"/>
    </row>
    <row r="231" spans="2:5" x14ac:dyDescent="0.2">
      <c r="B231" s="5"/>
      <c r="C231" s="14"/>
      <c r="E231" s="164"/>
    </row>
    <row r="232" spans="2:5" x14ac:dyDescent="0.2">
      <c r="B232" s="5"/>
      <c r="C232" s="14"/>
      <c r="E232" s="164"/>
    </row>
    <row r="233" spans="2:5" x14ac:dyDescent="0.2">
      <c r="B233" s="5"/>
      <c r="C233" s="14"/>
      <c r="E233" s="164"/>
    </row>
    <row r="234" spans="2:5" x14ac:dyDescent="0.2">
      <c r="B234" s="5"/>
      <c r="C234" s="14"/>
      <c r="E234" s="164"/>
    </row>
    <row r="235" spans="2:5" x14ac:dyDescent="0.2">
      <c r="B235" s="5"/>
      <c r="C235" s="14"/>
      <c r="E235" s="164"/>
    </row>
    <row r="236" spans="2:5" x14ac:dyDescent="0.2">
      <c r="B236" s="5"/>
      <c r="C236" s="14"/>
      <c r="E236" s="164"/>
    </row>
    <row r="237" spans="2:5" x14ac:dyDescent="0.2">
      <c r="B237" s="5"/>
      <c r="C237" s="14"/>
      <c r="E237" s="164"/>
    </row>
    <row r="238" spans="2:5" x14ac:dyDescent="0.2">
      <c r="B238" s="5"/>
      <c r="C238" s="14"/>
      <c r="E238" s="164"/>
    </row>
    <row r="239" spans="2:5" x14ac:dyDescent="0.2">
      <c r="B239" s="5"/>
      <c r="C239" s="14"/>
      <c r="E239" s="164"/>
    </row>
    <row r="240" spans="2:5" x14ac:dyDescent="0.2">
      <c r="B240" s="5"/>
      <c r="C240" s="14"/>
      <c r="E240" s="164"/>
    </row>
    <row r="241" spans="2:5" x14ac:dyDescent="0.2">
      <c r="B241" s="5"/>
      <c r="C241" s="14"/>
      <c r="E241" s="164"/>
    </row>
    <row r="242" spans="2:5" x14ac:dyDescent="0.2">
      <c r="B242" s="5"/>
      <c r="C242" s="14"/>
      <c r="E242" s="164"/>
    </row>
    <row r="243" spans="2:5" x14ac:dyDescent="0.2">
      <c r="B243" s="5"/>
      <c r="C243" s="14"/>
      <c r="E243" s="164"/>
    </row>
    <row r="244" spans="2:5" x14ac:dyDescent="0.2">
      <c r="B244" s="5"/>
      <c r="C244" s="14"/>
      <c r="E244" s="164"/>
    </row>
    <row r="245" spans="2:5" x14ac:dyDescent="0.2">
      <c r="B245" s="5"/>
      <c r="C245" s="14"/>
      <c r="E245" s="164"/>
    </row>
    <row r="246" spans="2:5" x14ac:dyDescent="0.2">
      <c r="B246" s="5"/>
      <c r="C246" s="14"/>
      <c r="E246" s="164"/>
    </row>
    <row r="247" spans="2:5" x14ac:dyDescent="0.2">
      <c r="B247" s="5"/>
      <c r="C247" s="14"/>
      <c r="E247" s="164"/>
    </row>
    <row r="248" spans="2:5" x14ac:dyDescent="0.2">
      <c r="B248" s="5"/>
      <c r="C248" s="14"/>
      <c r="E248" s="164"/>
    </row>
    <row r="249" spans="2:5" x14ac:dyDescent="0.2">
      <c r="B249" s="5"/>
      <c r="C249" s="14"/>
      <c r="E249" s="164"/>
    </row>
    <row r="250" spans="2:5" x14ac:dyDescent="0.2">
      <c r="B250" s="5"/>
      <c r="C250" s="14"/>
      <c r="E250" s="164"/>
    </row>
    <row r="251" spans="2:5" x14ac:dyDescent="0.2">
      <c r="B251" s="5"/>
      <c r="C251" s="14"/>
      <c r="E251" s="164"/>
    </row>
    <row r="252" spans="2:5" x14ac:dyDescent="0.2">
      <c r="B252" s="5"/>
      <c r="C252" s="14"/>
      <c r="E252" s="164"/>
    </row>
    <row r="253" spans="2:5" x14ac:dyDescent="0.2">
      <c r="B253" s="5"/>
      <c r="C253" s="14"/>
      <c r="E253" s="164"/>
    </row>
    <row r="254" spans="2:5" x14ac:dyDescent="0.2">
      <c r="B254" s="5"/>
      <c r="C254" s="14"/>
      <c r="E254" s="164"/>
    </row>
    <row r="255" spans="2:5" x14ac:dyDescent="0.2">
      <c r="B255" s="5"/>
      <c r="C255" s="14"/>
      <c r="E255" s="164"/>
    </row>
    <row r="256" spans="2:5" x14ac:dyDescent="0.2">
      <c r="B256" s="5"/>
      <c r="C256" s="14"/>
      <c r="E256" s="164"/>
    </row>
    <row r="257" spans="2:3" x14ac:dyDescent="0.2">
      <c r="B257" s="5"/>
      <c r="C257" s="14"/>
    </row>
    <row r="258" spans="2:3" x14ac:dyDescent="0.2">
      <c r="B258" s="5"/>
      <c r="C258" s="14"/>
    </row>
    <row r="259" spans="2:3" x14ac:dyDescent="0.2">
      <c r="B259" s="5"/>
      <c r="C259" s="14"/>
    </row>
    <row r="260" spans="2:3" x14ac:dyDescent="0.2">
      <c r="B260" s="5"/>
      <c r="C260" s="14"/>
    </row>
    <row r="261" spans="2:3" x14ac:dyDescent="0.2">
      <c r="B261" s="5"/>
      <c r="C261" s="14"/>
    </row>
    <row r="262" spans="2:3" x14ac:dyDescent="0.2">
      <c r="B262" s="5"/>
      <c r="C262" s="14"/>
    </row>
    <row r="263" spans="2:3" x14ac:dyDescent="0.2">
      <c r="B263" s="5"/>
      <c r="C263" s="14"/>
    </row>
    <row r="264" spans="2:3" x14ac:dyDescent="0.2">
      <c r="B264" s="5"/>
      <c r="C264" s="14"/>
    </row>
    <row r="265" spans="2:3" x14ac:dyDescent="0.2">
      <c r="B265" s="5"/>
      <c r="C265" s="14"/>
    </row>
    <row r="266" spans="2:3" x14ac:dyDescent="0.2">
      <c r="B266" s="5"/>
      <c r="C266" s="14"/>
    </row>
    <row r="267" spans="2:3" x14ac:dyDescent="0.2">
      <c r="B267" s="5"/>
      <c r="C267" s="14"/>
    </row>
    <row r="268" spans="2:3" x14ac:dyDescent="0.2">
      <c r="B268" s="5"/>
      <c r="C268" s="14"/>
    </row>
    <row r="269" spans="2:3" x14ac:dyDescent="0.2">
      <c r="B269" s="5"/>
      <c r="C269" s="14"/>
    </row>
    <row r="270" spans="2:3" x14ac:dyDescent="0.2">
      <c r="B270" s="5"/>
      <c r="C270" s="14"/>
    </row>
    <row r="271" spans="2:3" x14ac:dyDescent="0.2">
      <c r="B271" s="5"/>
      <c r="C271" s="14"/>
    </row>
    <row r="272" spans="2:3" x14ac:dyDescent="0.2">
      <c r="B272" s="5"/>
      <c r="C272" s="14"/>
    </row>
    <row r="273" spans="2:3" x14ac:dyDescent="0.2">
      <c r="B273" s="5"/>
      <c r="C273" s="14"/>
    </row>
    <row r="274" spans="2:3" x14ac:dyDescent="0.2">
      <c r="B274" s="5"/>
      <c r="C274" s="14"/>
    </row>
    <row r="275" spans="2:3" x14ac:dyDescent="0.2">
      <c r="B275" s="5"/>
      <c r="C275" s="14"/>
    </row>
    <row r="276" spans="2:3" x14ac:dyDescent="0.2">
      <c r="B276" s="5"/>
      <c r="C276" s="14"/>
    </row>
    <row r="277" spans="2:3" x14ac:dyDescent="0.2">
      <c r="B277" s="5"/>
      <c r="C277" s="14"/>
    </row>
    <row r="278" spans="2:3" x14ac:dyDescent="0.2">
      <c r="B278" s="5"/>
      <c r="C278" s="14"/>
    </row>
    <row r="279" spans="2:3" x14ac:dyDescent="0.2">
      <c r="B279" s="5"/>
      <c r="C279" s="14"/>
    </row>
    <row r="280" spans="2:3" x14ac:dyDescent="0.2">
      <c r="B280" s="5"/>
      <c r="C280" s="14"/>
    </row>
    <row r="281" spans="2:3" x14ac:dyDescent="0.2">
      <c r="B281" s="5"/>
      <c r="C281" s="14"/>
    </row>
    <row r="282" spans="2:3" x14ac:dyDescent="0.2">
      <c r="B282" s="5"/>
      <c r="C282" s="14"/>
    </row>
    <row r="283" spans="2:3" x14ac:dyDescent="0.2">
      <c r="B283" s="5"/>
      <c r="C283" s="14"/>
    </row>
    <row r="284" spans="2:3" x14ac:dyDescent="0.2">
      <c r="B284" s="5"/>
      <c r="C284" s="14"/>
    </row>
    <row r="285" spans="2:3" x14ac:dyDescent="0.2">
      <c r="B285" s="5"/>
      <c r="C285" s="14"/>
    </row>
    <row r="286" spans="2:3" x14ac:dyDescent="0.2">
      <c r="B286" s="5"/>
      <c r="C286" s="14"/>
    </row>
    <row r="287" spans="2:3" x14ac:dyDescent="0.2">
      <c r="B287" s="5"/>
      <c r="C287" s="14"/>
    </row>
    <row r="288" spans="2:3" x14ac:dyDescent="0.2">
      <c r="B288" s="5"/>
      <c r="C288" s="14"/>
    </row>
    <row r="289" spans="2:3" x14ac:dyDescent="0.2">
      <c r="B289" s="5"/>
      <c r="C289" s="14"/>
    </row>
    <row r="290" spans="2:3" x14ac:dyDescent="0.2">
      <c r="B290" s="5"/>
      <c r="C290" s="14"/>
    </row>
    <row r="291" spans="2:3" x14ac:dyDescent="0.2">
      <c r="B291" s="5"/>
      <c r="C291" s="14"/>
    </row>
    <row r="292" spans="2:3" x14ac:dyDescent="0.2">
      <c r="B292" s="5"/>
      <c r="C292" s="14"/>
    </row>
    <row r="293" spans="2:3" x14ac:dyDescent="0.2">
      <c r="B293" s="5"/>
      <c r="C293" s="14"/>
    </row>
    <row r="294" spans="2:3" x14ac:dyDescent="0.2">
      <c r="B294" s="5"/>
      <c r="C294" s="14"/>
    </row>
    <row r="295" spans="2:3" x14ac:dyDescent="0.2">
      <c r="B295" s="5"/>
      <c r="C295" s="14"/>
    </row>
    <row r="296" spans="2:3" x14ac:dyDescent="0.2">
      <c r="B296" s="5"/>
      <c r="C296" s="14"/>
    </row>
    <row r="297" spans="2:3" x14ac:dyDescent="0.2">
      <c r="B297" s="5"/>
      <c r="C297" s="14"/>
    </row>
    <row r="298" spans="2:3" x14ac:dyDescent="0.2">
      <c r="B298" s="5"/>
      <c r="C298" s="14"/>
    </row>
    <row r="299" spans="2:3" x14ac:dyDescent="0.2">
      <c r="B299" s="5"/>
      <c r="C299" s="14"/>
    </row>
    <row r="300" spans="2:3" x14ac:dyDescent="0.2">
      <c r="B300" s="5"/>
      <c r="C300" s="14"/>
    </row>
    <row r="301" spans="2:3" x14ac:dyDescent="0.2">
      <c r="B301" s="5"/>
      <c r="C301" s="14"/>
    </row>
    <row r="302" spans="2:3" x14ac:dyDescent="0.2">
      <c r="B302" s="5"/>
      <c r="C302" s="14"/>
    </row>
    <row r="303" spans="2:3" x14ac:dyDescent="0.2">
      <c r="B303" s="5"/>
      <c r="C303" s="14"/>
    </row>
    <row r="304" spans="2:3" x14ac:dyDescent="0.2">
      <c r="B304" s="5"/>
      <c r="C304" s="14"/>
    </row>
    <row r="305" spans="2:3" x14ac:dyDescent="0.2">
      <c r="B305" s="5"/>
      <c r="C305" s="14"/>
    </row>
    <row r="306" spans="2:3" x14ac:dyDescent="0.2">
      <c r="B306" s="5"/>
      <c r="C306" s="14"/>
    </row>
    <row r="307" spans="2:3" x14ac:dyDescent="0.2">
      <c r="B307" s="5"/>
      <c r="C307" s="14"/>
    </row>
    <row r="308" spans="2:3" x14ac:dyDescent="0.2">
      <c r="B308" s="5"/>
      <c r="C308" s="14"/>
    </row>
    <row r="309" spans="2:3" x14ac:dyDescent="0.2">
      <c r="B309" s="5"/>
      <c r="C309" s="14"/>
    </row>
    <row r="310" spans="2:3" x14ac:dyDescent="0.2">
      <c r="B310" s="5"/>
      <c r="C310" s="14"/>
    </row>
    <row r="311" spans="2:3" x14ac:dyDescent="0.2">
      <c r="B311" s="5"/>
      <c r="C311" s="14"/>
    </row>
    <row r="312" spans="2:3" x14ac:dyDescent="0.2">
      <c r="B312" s="5"/>
      <c r="C312" s="14"/>
    </row>
    <row r="313" spans="2:3" x14ac:dyDescent="0.2">
      <c r="B313" s="5"/>
      <c r="C313" s="14"/>
    </row>
    <row r="314" spans="2:3" x14ac:dyDescent="0.2">
      <c r="B314" s="5"/>
      <c r="C314" s="14"/>
    </row>
    <row r="315" spans="2:3" x14ac:dyDescent="0.2">
      <c r="B315" s="5"/>
      <c r="C315" s="14"/>
    </row>
    <row r="316" spans="2:3" x14ac:dyDescent="0.2">
      <c r="B316" s="5"/>
      <c r="C316" s="14"/>
    </row>
    <row r="317" spans="2:3" x14ac:dyDescent="0.2">
      <c r="B317" s="5"/>
      <c r="C317" s="14"/>
    </row>
    <row r="318" spans="2:3" x14ac:dyDescent="0.2">
      <c r="B318" s="5"/>
      <c r="C318" s="14"/>
    </row>
    <row r="319" spans="2:3" x14ac:dyDescent="0.2">
      <c r="B319" s="5"/>
      <c r="C319" s="14"/>
    </row>
    <row r="320" spans="2:3" x14ac:dyDescent="0.2">
      <c r="B320" s="5"/>
      <c r="C320" s="14"/>
    </row>
    <row r="321" spans="2:3" x14ac:dyDescent="0.2">
      <c r="B321" s="5"/>
      <c r="C321" s="14"/>
    </row>
    <row r="322" spans="2:3" x14ac:dyDescent="0.2">
      <c r="B322" s="5"/>
      <c r="C322" s="14"/>
    </row>
    <row r="323" spans="2:3" x14ac:dyDescent="0.2">
      <c r="B323" s="5"/>
      <c r="C323" s="14"/>
    </row>
    <row r="324" spans="2:3" x14ac:dyDescent="0.2">
      <c r="B324" s="5"/>
      <c r="C324" s="14"/>
    </row>
    <row r="325" spans="2:3" x14ac:dyDescent="0.2">
      <c r="B325" s="5"/>
      <c r="C325" s="14"/>
    </row>
    <row r="326" spans="2:3" x14ac:dyDescent="0.2">
      <c r="B326" s="5"/>
      <c r="C326" s="14"/>
    </row>
    <row r="327" spans="2:3" x14ac:dyDescent="0.2">
      <c r="B327" s="5"/>
      <c r="C327" s="14"/>
    </row>
    <row r="328" spans="2:3" x14ac:dyDescent="0.2">
      <c r="B328" s="5"/>
      <c r="C328" s="14"/>
    </row>
    <row r="329" spans="2:3" x14ac:dyDescent="0.2">
      <c r="B329" s="5"/>
      <c r="C329" s="14"/>
    </row>
    <row r="330" spans="2:3" x14ac:dyDescent="0.2">
      <c r="B330" s="5"/>
      <c r="C330" s="14"/>
    </row>
    <row r="331" spans="2:3" x14ac:dyDescent="0.2">
      <c r="B331" s="5"/>
      <c r="C331" s="14"/>
    </row>
    <row r="332" spans="2:3" x14ac:dyDescent="0.2">
      <c r="B332" s="5"/>
      <c r="C332" s="14"/>
    </row>
    <row r="333" spans="2:3" x14ac:dyDescent="0.2">
      <c r="B333" s="5"/>
      <c r="C333" s="14"/>
    </row>
    <row r="334" spans="2:3" x14ac:dyDescent="0.2">
      <c r="B334" s="5"/>
      <c r="C334" s="14"/>
    </row>
    <row r="335" spans="2:3" x14ac:dyDescent="0.2">
      <c r="B335" s="5"/>
      <c r="C335" s="14"/>
    </row>
    <row r="336" spans="2:3" x14ac:dyDescent="0.2">
      <c r="B336" s="5"/>
      <c r="C336" s="14"/>
    </row>
    <row r="337" spans="2:3" x14ac:dyDescent="0.2">
      <c r="B337" s="5"/>
      <c r="C337" s="14"/>
    </row>
    <row r="338" spans="2:3" x14ac:dyDescent="0.2">
      <c r="B338" s="5"/>
      <c r="C338" s="14"/>
    </row>
    <row r="339" spans="2:3" x14ac:dyDescent="0.2">
      <c r="B339" s="5"/>
      <c r="C339" s="14"/>
    </row>
    <row r="340" spans="2:3" x14ac:dyDescent="0.2">
      <c r="B340" s="5"/>
      <c r="C340" s="14"/>
    </row>
    <row r="341" spans="2:3" x14ac:dyDescent="0.2">
      <c r="B341" s="5"/>
      <c r="C341" s="14"/>
    </row>
    <row r="342" spans="2:3" x14ac:dyDescent="0.2">
      <c r="B342" s="5"/>
      <c r="C342" s="14"/>
    </row>
    <row r="343" spans="2:3" x14ac:dyDescent="0.2">
      <c r="B343" s="5"/>
      <c r="C343" s="14"/>
    </row>
    <row r="344" spans="2:3" x14ac:dyDescent="0.2">
      <c r="B344" s="5"/>
      <c r="C344" s="14"/>
    </row>
    <row r="345" spans="2:3" x14ac:dyDescent="0.2">
      <c r="B345" s="5"/>
      <c r="C345" s="14"/>
    </row>
    <row r="346" spans="2:3" x14ac:dyDescent="0.2">
      <c r="B346" s="5"/>
      <c r="C346" s="14"/>
    </row>
    <row r="347" spans="2:3" x14ac:dyDescent="0.2">
      <c r="B347" s="5"/>
      <c r="C347" s="14"/>
    </row>
    <row r="348" spans="2:3" x14ac:dyDescent="0.2">
      <c r="B348" s="5"/>
      <c r="C348" s="14"/>
    </row>
    <row r="349" spans="2:3" x14ac:dyDescent="0.2">
      <c r="B349" s="5"/>
      <c r="C349" s="14"/>
    </row>
    <row r="350" spans="2:3" x14ac:dyDescent="0.2">
      <c r="B350" s="5"/>
      <c r="C350" s="14"/>
    </row>
    <row r="351" spans="2:3" x14ac:dyDescent="0.2">
      <c r="B351" s="5"/>
      <c r="C351" s="14"/>
    </row>
    <row r="352" spans="2:3" x14ac:dyDescent="0.2">
      <c r="B352" s="5"/>
      <c r="C352" s="14"/>
    </row>
    <row r="353" spans="2:3" x14ac:dyDescent="0.2">
      <c r="B353" s="5"/>
      <c r="C353" s="14"/>
    </row>
    <row r="354" spans="2:3" x14ac:dyDescent="0.2">
      <c r="B354" s="5"/>
      <c r="C354" s="14"/>
    </row>
    <row r="355" spans="2:3" x14ac:dyDescent="0.2">
      <c r="B355" s="5"/>
      <c r="C355" s="14"/>
    </row>
    <row r="356" spans="2:3" x14ac:dyDescent="0.2">
      <c r="B356" s="5"/>
      <c r="C356" s="14"/>
    </row>
    <row r="357" spans="2:3" x14ac:dyDescent="0.2">
      <c r="B357" s="5"/>
      <c r="C357" s="14"/>
    </row>
    <row r="358" spans="2:3" x14ac:dyDescent="0.2">
      <c r="B358" s="5"/>
      <c r="C358" s="14"/>
    </row>
    <row r="359" spans="2:3" x14ac:dyDescent="0.2">
      <c r="B359" s="5"/>
      <c r="C359" s="14"/>
    </row>
    <row r="360" spans="2:3" x14ac:dyDescent="0.2">
      <c r="B360" s="5"/>
      <c r="C360" s="14"/>
    </row>
    <row r="361" spans="2:3" x14ac:dyDescent="0.2">
      <c r="B361" s="5"/>
      <c r="C361" s="14"/>
    </row>
    <row r="362" spans="2:3" x14ac:dyDescent="0.2">
      <c r="B362" s="5"/>
      <c r="C362" s="14"/>
    </row>
    <row r="363" spans="2:3" x14ac:dyDescent="0.2">
      <c r="B363" s="5"/>
      <c r="C363" s="14"/>
    </row>
    <row r="364" spans="2:3" x14ac:dyDescent="0.2">
      <c r="B364" s="5"/>
      <c r="C364" s="14"/>
    </row>
    <row r="365" spans="2:3" x14ac:dyDescent="0.2">
      <c r="B365" s="5"/>
      <c r="C365" s="14"/>
    </row>
    <row r="366" spans="2:3" x14ac:dyDescent="0.2">
      <c r="B366" s="5"/>
      <c r="C366" s="14"/>
    </row>
    <row r="367" spans="2:3" x14ac:dyDescent="0.2">
      <c r="B367" s="5"/>
      <c r="C367" s="14"/>
    </row>
    <row r="368" spans="2:3" x14ac:dyDescent="0.2">
      <c r="B368" s="5"/>
      <c r="C368" s="14"/>
    </row>
    <row r="369" spans="2:3" x14ac:dyDescent="0.2">
      <c r="B369" s="5"/>
      <c r="C369" s="14"/>
    </row>
    <row r="370" spans="2:3" x14ac:dyDescent="0.2">
      <c r="B370" s="5"/>
      <c r="C370" s="14"/>
    </row>
    <row r="371" spans="2:3" x14ac:dyDescent="0.2">
      <c r="B371" s="5"/>
      <c r="C371" s="14"/>
    </row>
    <row r="372" spans="2:3" x14ac:dyDescent="0.2">
      <c r="B372" s="5"/>
      <c r="C372" s="14"/>
    </row>
    <row r="373" spans="2:3" x14ac:dyDescent="0.2">
      <c r="B373" s="5"/>
      <c r="C373" s="14"/>
    </row>
    <row r="374" spans="2:3" x14ac:dyDescent="0.2">
      <c r="B374" s="5"/>
      <c r="C374" s="14"/>
    </row>
    <row r="375" spans="2:3" x14ac:dyDescent="0.2">
      <c r="B375" s="5"/>
      <c r="C375" s="14"/>
    </row>
    <row r="376" spans="2:3" x14ac:dyDescent="0.2">
      <c r="B376" s="5"/>
      <c r="C376" s="14"/>
    </row>
    <row r="377" spans="2:3" x14ac:dyDescent="0.2">
      <c r="B377" s="5"/>
      <c r="C377" s="14"/>
    </row>
    <row r="378" spans="2:3" x14ac:dyDescent="0.2">
      <c r="B378" s="5"/>
      <c r="C378" s="14"/>
    </row>
    <row r="379" spans="2:3" x14ac:dyDescent="0.2">
      <c r="B379" s="5"/>
      <c r="C379" s="14"/>
    </row>
    <row r="380" spans="2:3" x14ac:dyDescent="0.2">
      <c r="B380" s="5"/>
      <c r="C380" s="14"/>
    </row>
    <row r="381" spans="2:3" x14ac:dyDescent="0.2">
      <c r="B381" s="5"/>
      <c r="C381" s="14"/>
    </row>
    <row r="382" spans="2:3" x14ac:dyDescent="0.2">
      <c r="B382" s="5"/>
      <c r="C382" s="14"/>
    </row>
    <row r="383" spans="2:3" x14ac:dyDescent="0.2">
      <c r="B383" s="5"/>
      <c r="C383" s="14"/>
    </row>
    <row r="384" spans="2:3" x14ac:dyDescent="0.2">
      <c r="B384" s="5"/>
      <c r="C384" s="14"/>
    </row>
    <row r="385" spans="2:3" x14ac:dyDescent="0.2">
      <c r="B385" s="5"/>
      <c r="C385" s="14"/>
    </row>
    <row r="386" spans="2:3" x14ac:dyDescent="0.2">
      <c r="B386" s="5"/>
      <c r="C386" s="14"/>
    </row>
    <row r="387" spans="2:3" x14ac:dyDescent="0.2">
      <c r="B387" s="5"/>
      <c r="C387" s="14"/>
    </row>
    <row r="388" spans="2:3" x14ac:dyDescent="0.2">
      <c r="B388" s="5"/>
      <c r="C388" s="14"/>
    </row>
    <row r="389" spans="2:3" x14ac:dyDescent="0.2">
      <c r="B389" s="5"/>
      <c r="C389" s="14"/>
    </row>
    <row r="390" spans="2:3" x14ac:dyDescent="0.2">
      <c r="B390" s="5"/>
      <c r="C390" s="14"/>
    </row>
    <row r="391" spans="2:3" x14ac:dyDescent="0.2">
      <c r="B391" s="5"/>
      <c r="C391" s="14"/>
    </row>
    <row r="392" spans="2:3" x14ac:dyDescent="0.2">
      <c r="B392" s="5"/>
      <c r="C392" s="14"/>
    </row>
    <row r="393" spans="2:3" x14ac:dyDescent="0.2">
      <c r="B393" s="5"/>
      <c r="C393" s="14"/>
    </row>
    <row r="394" spans="2:3" x14ac:dyDescent="0.2">
      <c r="B394" s="5"/>
      <c r="C394" s="14"/>
    </row>
    <row r="395" spans="2:3" x14ac:dyDescent="0.2">
      <c r="B395" s="5"/>
      <c r="C395" s="14"/>
    </row>
    <row r="396" spans="2:3" x14ac:dyDescent="0.2">
      <c r="B396" s="5"/>
      <c r="C396" s="14"/>
    </row>
    <row r="397" spans="2:3" x14ac:dyDescent="0.2">
      <c r="B397" s="5"/>
      <c r="C397" s="14"/>
    </row>
    <row r="398" spans="2:3" x14ac:dyDescent="0.2">
      <c r="B398" s="5"/>
      <c r="C398" s="14"/>
    </row>
    <row r="399" spans="2:3" x14ac:dyDescent="0.2">
      <c r="B399" s="5"/>
      <c r="C399" s="14"/>
    </row>
    <row r="400" spans="2:3" x14ac:dyDescent="0.2">
      <c r="B400" s="5"/>
      <c r="C400" s="14"/>
    </row>
    <row r="401" spans="2:3" x14ac:dyDescent="0.2">
      <c r="B401" s="5"/>
      <c r="C401" s="14"/>
    </row>
    <row r="402" spans="2:3" x14ac:dyDescent="0.2">
      <c r="B402" s="5"/>
      <c r="C402" s="14"/>
    </row>
    <row r="403" spans="2:3" x14ac:dyDescent="0.2">
      <c r="B403" s="5"/>
      <c r="C403" s="14"/>
    </row>
    <row r="404" spans="2:3" x14ac:dyDescent="0.2">
      <c r="B404" s="5"/>
      <c r="C404" s="14"/>
    </row>
    <row r="405" spans="2:3" x14ac:dyDescent="0.2">
      <c r="B405" s="5"/>
      <c r="C405" s="14"/>
    </row>
    <row r="406" spans="2:3" x14ac:dyDescent="0.2">
      <c r="B406" s="5"/>
      <c r="C406" s="14"/>
    </row>
    <row r="407" spans="2:3" x14ac:dyDescent="0.2">
      <c r="B407" s="5"/>
      <c r="C407" s="14"/>
    </row>
    <row r="408" spans="2:3" x14ac:dyDescent="0.2">
      <c r="B408" s="5"/>
      <c r="C408" s="14"/>
    </row>
    <row r="409" spans="2:3" x14ac:dyDescent="0.2">
      <c r="B409" s="5"/>
      <c r="C409" s="14"/>
    </row>
    <row r="410" spans="2:3" x14ac:dyDescent="0.2">
      <c r="B410" s="5"/>
      <c r="C410" s="14"/>
    </row>
    <row r="411" spans="2:3" x14ac:dyDescent="0.2">
      <c r="B411" s="5"/>
      <c r="C411" s="14"/>
    </row>
    <row r="412" spans="2:3" x14ac:dyDescent="0.2">
      <c r="B412" s="5"/>
      <c r="C412" s="14"/>
    </row>
    <row r="413" spans="2:3" x14ac:dyDescent="0.2">
      <c r="B413" s="5"/>
      <c r="C413" s="14"/>
    </row>
    <row r="414" spans="2:3" x14ac:dyDescent="0.2">
      <c r="B414" s="5"/>
      <c r="C414" s="14"/>
    </row>
    <row r="415" spans="2:3" x14ac:dyDescent="0.2">
      <c r="B415" s="5"/>
      <c r="C415" s="14"/>
    </row>
    <row r="416" spans="2:3" x14ac:dyDescent="0.2">
      <c r="B416" s="5"/>
      <c r="C416" s="14"/>
    </row>
    <row r="417" spans="2:3" x14ac:dyDescent="0.2">
      <c r="B417" s="5"/>
      <c r="C417" s="14"/>
    </row>
    <row r="418" spans="2:3" x14ac:dyDescent="0.2">
      <c r="B418" s="5"/>
      <c r="C418" s="14"/>
    </row>
    <row r="419" spans="2:3" x14ac:dyDescent="0.2">
      <c r="B419" s="5"/>
      <c r="C419" s="14"/>
    </row>
    <row r="420" spans="2:3" x14ac:dyDescent="0.2">
      <c r="B420" s="5"/>
      <c r="C420" s="14"/>
    </row>
    <row r="421" spans="2:3" x14ac:dyDescent="0.2">
      <c r="B421" s="5"/>
      <c r="C421" s="14"/>
    </row>
    <row r="422" spans="2:3" x14ac:dyDescent="0.2">
      <c r="B422" s="5"/>
      <c r="C422" s="14"/>
    </row>
    <row r="423" spans="2:3" x14ac:dyDescent="0.2">
      <c r="B423" s="5"/>
      <c r="C423" s="14"/>
    </row>
    <row r="424" spans="2:3" x14ac:dyDescent="0.2">
      <c r="B424" s="5"/>
      <c r="C424" s="14"/>
    </row>
    <row r="425" spans="2:3" x14ac:dyDescent="0.2">
      <c r="B425" s="5"/>
      <c r="C425" s="14"/>
    </row>
    <row r="426" spans="2:3" x14ac:dyDescent="0.2">
      <c r="B426" s="5"/>
      <c r="C426" s="14"/>
    </row>
    <row r="427" spans="2:3" x14ac:dyDescent="0.2">
      <c r="B427" s="5"/>
      <c r="C427" s="14"/>
    </row>
    <row r="428" spans="2:3" x14ac:dyDescent="0.2">
      <c r="B428" s="5"/>
      <c r="C428" s="14"/>
    </row>
    <row r="429" spans="2:3" x14ac:dyDescent="0.2">
      <c r="B429" s="5"/>
      <c r="C429" s="14"/>
    </row>
    <row r="430" spans="2:3" x14ac:dyDescent="0.2">
      <c r="B430" s="5"/>
      <c r="C430" s="14"/>
    </row>
    <row r="431" spans="2:3" x14ac:dyDescent="0.2">
      <c r="B431" s="5"/>
      <c r="C431" s="14"/>
    </row>
    <row r="432" spans="2:3" x14ac:dyDescent="0.2">
      <c r="B432" s="5"/>
      <c r="C432" s="14"/>
    </row>
    <row r="433" spans="2:3" x14ac:dyDescent="0.2">
      <c r="B433" s="5"/>
      <c r="C433" s="14"/>
    </row>
    <row r="434" spans="2:3" x14ac:dyDescent="0.2">
      <c r="B434" s="5"/>
      <c r="C434" s="14"/>
    </row>
    <row r="435" spans="2:3" x14ac:dyDescent="0.2">
      <c r="B435" s="5"/>
      <c r="C435" s="14"/>
    </row>
    <row r="436" spans="2:3" x14ac:dyDescent="0.2">
      <c r="B436" s="5"/>
      <c r="C436" s="14"/>
    </row>
    <row r="437" spans="2:3" x14ac:dyDescent="0.2">
      <c r="B437" s="5"/>
      <c r="C437" s="14"/>
    </row>
    <row r="438" spans="2:3" x14ac:dyDescent="0.2">
      <c r="B438" s="5"/>
      <c r="C438" s="14"/>
    </row>
    <row r="439" spans="2:3" x14ac:dyDescent="0.2">
      <c r="B439" s="5"/>
      <c r="C439" s="14"/>
    </row>
    <row r="440" spans="2:3" x14ac:dyDescent="0.2">
      <c r="B440" s="5"/>
      <c r="C440" s="14"/>
    </row>
    <row r="441" spans="2:3" x14ac:dyDescent="0.2">
      <c r="B441" s="5"/>
      <c r="C441" s="14"/>
    </row>
    <row r="442" spans="2:3" x14ac:dyDescent="0.2">
      <c r="B442" s="5"/>
      <c r="C442" s="14"/>
    </row>
    <row r="443" spans="2:3" x14ac:dyDescent="0.2">
      <c r="B443" s="5"/>
      <c r="C443" s="14"/>
    </row>
    <row r="444" spans="2:3" x14ac:dyDescent="0.2">
      <c r="B444" s="5"/>
      <c r="C444" s="14"/>
    </row>
    <row r="445" spans="2:3" x14ac:dyDescent="0.2">
      <c r="B445" s="5"/>
      <c r="C445" s="14"/>
    </row>
    <row r="446" spans="2:3" x14ac:dyDescent="0.2">
      <c r="B446" s="5"/>
      <c r="C446" s="14"/>
    </row>
    <row r="447" spans="2:3" x14ac:dyDescent="0.2">
      <c r="B447" s="5"/>
      <c r="C447" s="14"/>
    </row>
    <row r="448" spans="2:3" x14ac:dyDescent="0.2">
      <c r="B448" s="5"/>
      <c r="C448" s="14"/>
    </row>
    <row r="449" spans="2:3" x14ac:dyDescent="0.2">
      <c r="B449" s="5"/>
      <c r="C449" s="14"/>
    </row>
    <row r="450" spans="2:3" x14ac:dyDescent="0.2">
      <c r="B450" s="5"/>
      <c r="C450" s="14"/>
    </row>
    <row r="451" spans="2:3" x14ac:dyDescent="0.2">
      <c r="B451" s="5"/>
      <c r="C451" s="14"/>
    </row>
    <row r="452" spans="2:3" x14ac:dyDescent="0.2">
      <c r="B452" s="5"/>
      <c r="C452" s="14"/>
    </row>
    <row r="453" spans="2:3" x14ac:dyDescent="0.2">
      <c r="B453" s="5"/>
      <c r="C453" s="14"/>
    </row>
    <row r="454" spans="2:3" x14ac:dyDescent="0.2">
      <c r="B454" s="5"/>
      <c r="C454" s="14"/>
    </row>
    <row r="455" spans="2:3" x14ac:dyDescent="0.2">
      <c r="B455" s="5"/>
      <c r="C455" s="14"/>
    </row>
    <row r="456" spans="2:3" x14ac:dyDescent="0.2">
      <c r="B456" s="5"/>
      <c r="C456" s="14"/>
    </row>
    <row r="457" spans="2:3" x14ac:dyDescent="0.2">
      <c r="B457" s="5"/>
      <c r="C457" s="14"/>
    </row>
    <row r="458" spans="2:3" x14ac:dyDescent="0.2">
      <c r="B458" s="5"/>
      <c r="C458" s="14"/>
    </row>
    <row r="459" spans="2:3" x14ac:dyDescent="0.2">
      <c r="B459" s="5"/>
      <c r="C459" s="14"/>
    </row>
    <row r="460" spans="2:3" x14ac:dyDescent="0.2">
      <c r="B460" s="5"/>
      <c r="C460" s="14"/>
    </row>
    <row r="461" spans="2:3" x14ac:dyDescent="0.2">
      <c r="B461" s="5"/>
      <c r="C461" s="14"/>
    </row>
    <row r="462" spans="2:3" x14ac:dyDescent="0.2">
      <c r="B462" s="5"/>
      <c r="C462" s="14"/>
    </row>
    <row r="463" spans="2:3" x14ac:dyDescent="0.2">
      <c r="B463" s="5"/>
      <c r="C463" s="14"/>
    </row>
    <row r="464" spans="2:3" x14ac:dyDescent="0.2">
      <c r="B464" s="5"/>
      <c r="C464" s="14"/>
    </row>
    <row r="465" spans="2:3" x14ac:dyDescent="0.2">
      <c r="B465" s="5"/>
      <c r="C465" s="14"/>
    </row>
    <row r="466" spans="2:3" x14ac:dyDescent="0.2">
      <c r="B466" s="5"/>
      <c r="C466" s="14"/>
    </row>
    <row r="467" spans="2:3" x14ac:dyDescent="0.2">
      <c r="B467" s="5"/>
      <c r="C467" s="14"/>
    </row>
    <row r="468" spans="2:3" x14ac:dyDescent="0.2">
      <c r="B468" s="5"/>
      <c r="C468" s="14"/>
    </row>
    <row r="469" spans="2:3" x14ac:dyDescent="0.2">
      <c r="B469" s="5"/>
      <c r="C469" s="14"/>
    </row>
    <row r="470" spans="2:3" x14ac:dyDescent="0.2">
      <c r="B470" s="5"/>
      <c r="C470" s="14"/>
    </row>
    <row r="471" spans="2:3" x14ac:dyDescent="0.2">
      <c r="B471" s="5"/>
      <c r="C471" s="14"/>
    </row>
    <row r="472" spans="2:3" x14ac:dyDescent="0.2">
      <c r="B472" s="5"/>
      <c r="C472" s="14"/>
    </row>
    <row r="473" spans="2:3" x14ac:dyDescent="0.2">
      <c r="B473" s="5"/>
      <c r="C473" s="14"/>
    </row>
    <row r="474" spans="2:3" x14ac:dyDescent="0.2">
      <c r="B474" s="5"/>
      <c r="C474" s="14"/>
    </row>
    <row r="475" spans="2:3" x14ac:dyDescent="0.2">
      <c r="B475" s="5"/>
      <c r="C475" s="14"/>
    </row>
    <row r="476" spans="2:3" x14ac:dyDescent="0.2">
      <c r="B476" s="5"/>
      <c r="C476" s="14"/>
    </row>
    <row r="477" spans="2:3" x14ac:dyDescent="0.2">
      <c r="B477" s="5"/>
      <c r="C477" s="14"/>
    </row>
    <row r="478" spans="2:3" x14ac:dyDescent="0.2">
      <c r="B478" s="5"/>
      <c r="C478" s="14"/>
    </row>
    <row r="479" spans="2:3" x14ac:dyDescent="0.2">
      <c r="B479" s="5"/>
      <c r="C479" s="14"/>
    </row>
    <row r="480" spans="2:3" x14ac:dyDescent="0.2">
      <c r="B480" s="5"/>
      <c r="C480" s="14"/>
    </row>
    <row r="481" spans="2:3" x14ac:dyDescent="0.2">
      <c r="B481" s="5"/>
      <c r="C481" s="14"/>
    </row>
    <row r="482" spans="2:3" x14ac:dyDescent="0.2">
      <c r="B482" s="5"/>
      <c r="C482" s="14"/>
    </row>
    <row r="483" spans="2:3" x14ac:dyDescent="0.2">
      <c r="B483" s="5"/>
      <c r="C483" s="14"/>
    </row>
    <row r="484" spans="2:3" x14ac:dyDescent="0.2">
      <c r="B484" s="5"/>
      <c r="C484" s="14"/>
    </row>
    <row r="485" spans="2:3" x14ac:dyDescent="0.2">
      <c r="B485" s="5"/>
      <c r="C485" s="14"/>
    </row>
    <row r="486" spans="2:3" x14ac:dyDescent="0.2">
      <c r="B486" s="5"/>
      <c r="C486" s="14"/>
    </row>
    <row r="487" spans="2:3" x14ac:dyDescent="0.2">
      <c r="B487" s="5"/>
      <c r="C487" s="14"/>
    </row>
    <row r="488" spans="2:3" x14ac:dyDescent="0.2">
      <c r="B488" s="5"/>
      <c r="C488" s="14"/>
    </row>
    <row r="489" spans="2:3" x14ac:dyDescent="0.2">
      <c r="B489" s="5"/>
      <c r="C489" s="14"/>
    </row>
    <row r="490" spans="2:3" x14ac:dyDescent="0.2">
      <c r="B490" s="5"/>
      <c r="C490" s="14"/>
    </row>
    <row r="491" spans="2:3" x14ac:dyDescent="0.2">
      <c r="B491" s="5"/>
      <c r="C491" s="14"/>
    </row>
    <row r="492" spans="2:3" x14ac:dyDescent="0.2">
      <c r="B492" s="5"/>
      <c r="C492" s="14"/>
    </row>
    <row r="493" spans="2:3" x14ac:dyDescent="0.2">
      <c r="B493" s="5"/>
      <c r="C493" s="14"/>
    </row>
    <row r="494" spans="2:3" x14ac:dyDescent="0.2">
      <c r="B494" s="5"/>
      <c r="C494" s="14"/>
    </row>
    <row r="495" spans="2:3" x14ac:dyDescent="0.2">
      <c r="B495" s="5"/>
      <c r="C495" s="14"/>
    </row>
    <row r="496" spans="2:3" x14ac:dyDescent="0.2">
      <c r="B496" s="5"/>
      <c r="C496" s="14"/>
    </row>
    <row r="497" spans="2:3" x14ac:dyDescent="0.2">
      <c r="B497" s="5"/>
      <c r="C497" s="14"/>
    </row>
    <row r="498" spans="2:3" x14ac:dyDescent="0.2">
      <c r="B498" s="5"/>
      <c r="C498" s="14"/>
    </row>
    <row r="499" spans="2:3" x14ac:dyDescent="0.2">
      <c r="B499" s="5"/>
      <c r="C499" s="14"/>
    </row>
    <row r="500" spans="2:3" x14ac:dyDescent="0.2">
      <c r="B500" s="5"/>
      <c r="C500" s="14"/>
    </row>
    <row r="501" spans="2:3" x14ac:dyDescent="0.2">
      <c r="B501" s="5"/>
      <c r="C501" s="14"/>
    </row>
    <row r="502" spans="2:3" x14ac:dyDescent="0.2">
      <c r="B502" s="5"/>
      <c r="C502" s="14"/>
    </row>
    <row r="503" spans="2:3" x14ac:dyDescent="0.2">
      <c r="B503" s="5"/>
      <c r="C503" s="14"/>
    </row>
    <row r="504" spans="2:3" x14ac:dyDescent="0.2">
      <c r="B504" s="5"/>
      <c r="C504" s="14"/>
    </row>
    <row r="505" spans="2:3" x14ac:dyDescent="0.2">
      <c r="B505" s="5"/>
      <c r="C505" s="14"/>
    </row>
    <row r="506" spans="2:3" x14ac:dyDescent="0.2">
      <c r="B506" s="5"/>
      <c r="C506" s="14"/>
    </row>
    <row r="507" spans="2:3" x14ac:dyDescent="0.2">
      <c r="B507" s="5"/>
      <c r="C507" s="14"/>
    </row>
    <row r="508" spans="2:3" x14ac:dyDescent="0.2">
      <c r="B508" s="5"/>
      <c r="C508" s="14"/>
    </row>
    <row r="509" spans="2:3" x14ac:dyDescent="0.2">
      <c r="B509" s="5"/>
      <c r="C509" s="14"/>
    </row>
    <row r="510" spans="2:3" x14ac:dyDescent="0.2">
      <c r="B510" s="5"/>
      <c r="C510" s="14"/>
    </row>
    <row r="511" spans="2:3" x14ac:dyDescent="0.2">
      <c r="B511" s="5"/>
      <c r="C511" s="14"/>
    </row>
    <row r="512" spans="2:3" x14ac:dyDescent="0.2">
      <c r="B512" s="5"/>
      <c r="C512" s="14"/>
    </row>
    <row r="513" spans="2:3" x14ac:dyDescent="0.2">
      <c r="B513" s="5"/>
      <c r="C513" s="14"/>
    </row>
    <row r="514" spans="2:3" x14ac:dyDescent="0.2">
      <c r="B514" s="5"/>
      <c r="C514" s="14"/>
    </row>
    <row r="515" spans="2:3" x14ac:dyDescent="0.2">
      <c r="B515" s="5"/>
      <c r="C515" s="14"/>
    </row>
    <row r="516" spans="2:3" x14ac:dyDescent="0.2">
      <c r="B516" s="5"/>
      <c r="C516" s="14"/>
    </row>
    <row r="517" spans="2:3" x14ac:dyDescent="0.2">
      <c r="B517" s="5"/>
      <c r="C517" s="14"/>
    </row>
    <row r="518" spans="2:3" x14ac:dyDescent="0.2">
      <c r="B518" s="5"/>
      <c r="C518" s="14"/>
    </row>
    <row r="519" spans="2:3" x14ac:dyDescent="0.2">
      <c r="B519" s="5"/>
      <c r="C519" s="14"/>
    </row>
    <row r="520" spans="2:3" x14ac:dyDescent="0.2">
      <c r="B520" s="5"/>
      <c r="C520" s="14"/>
    </row>
    <row r="521" spans="2:3" x14ac:dyDescent="0.2">
      <c r="B521" s="5"/>
      <c r="C521" s="14"/>
    </row>
    <row r="522" spans="2:3" x14ac:dyDescent="0.2">
      <c r="B522" s="5"/>
      <c r="C522" s="14"/>
    </row>
    <row r="523" spans="2:3" x14ac:dyDescent="0.2">
      <c r="B523" s="5"/>
      <c r="C523" s="14"/>
    </row>
    <row r="524" spans="2:3" x14ac:dyDescent="0.2">
      <c r="B524" s="5"/>
      <c r="C524" s="14"/>
    </row>
    <row r="525" spans="2:3" x14ac:dyDescent="0.2">
      <c r="B525" s="5"/>
      <c r="C525" s="14"/>
    </row>
    <row r="526" spans="2:3" x14ac:dyDescent="0.2">
      <c r="B526" s="5"/>
      <c r="C526" s="14"/>
    </row>
    <row r="527" spans="2:3" x14ac:dyDescent="0.2">
      <c r="B527" s="5"/>
      <c r="C527" s="14"/>
    </row>
    <row r="528" spans="2:3" x14ac:dyDescent="0.2">
      <c r="B528" s="5"/>
      <c r="C528" s="14"/>
    </row>
    <row r="529" spans="2:3" x14ac:dyDescent="0.2">
      <c r="B529" s="5"/>
      <c r="C529" s="14"/>
    </row>
    <row r="530" spans="2:3" x14ac:dyDescent="0.2">
      <c r="B530" s="5"/>
      <c r="C530" s="14"/>
    </row>
    <row r="531" spans="2:3" x14ac:dyDescent="0.2">
      <c r="B531" s="5"/>
      <c r="C531" s="14"/>
    </row>
    <row r="532" spans="2:3" x14ac:dyDescent="0.2">
      <c r="B532" s="5"/>
      <c r="C532" s="14"/>
    </row>
    <row r="533" spans="2:3" x14ac:dyDescent="0.2">
      <c r="B533" s="5"/>
      <c r="C533" s="14"/>
    </row>
    <row r="534" spans="2:3" x14ac:dyDescent="0.2">
      <c r="B534" s="5"/>
      <c r="C534" s="14"/>
    </row>
    <row r="535" spans="2:3" x14ac:dyDescent="0.2">
      <c r="B535" s="5"/>
      <c r="C535" s="14"/>
    </row>
    <row r="536" spans="2:3" x14ac:dyDescent="0.2">
      <c r="B536" s="5"/>
      <c r="C536" s="14"/>
    </row>
    <row r="537" spans="2:3" x14ac:dyDescent="0.2">
      <c r="B537" s="5"/>
      <c r="C537" s="14"/>
    </row>
    <row r="538" spans="2:3" x14ac:dyDescent="0.2">
      <c r="B538" s="5"/>
      <c r="C538" s="14"/>
    </row>
    <row r="539" spans="2:3" x14ac:dyDescent="0.2">
      <c r="B539" s="5"/>
      <c r="C539" s="14"/>
    </row>
    <row r="540" spans="2:3" x14ac:dyDescent="0.2">
      <c r="B540" s="5"/>
      <c r="C540" s="14"/>
    </row>
    <row r="541" spans="2:3" x14ac:dyDescent="0.2">
      <c r="B541" s="5"/>
      <c r="C541" s="14"/>
    </row>
    <row r="542" spans="2:3" x14ac:dyDescent="0.2">
      <c r="B542" s="5"/>
      <c r="C542" s="14"/>
    </row>
    <row r="543" spans="2:3" x14ac:dyDescent="0.2">
      <c r="B543" s="5"/>
      <c r="C543" s="14"/>
    </row>
    <row r="544" spans="2:3" x14ac:dyDescent="0.2">
      <c r="B544" s="5"/>
      <c r="C544" s="14"/>
    </row>
    <row r="545" spans="2:3" x14ac:dyDescent="0.2">
      <c r="B545" s="5"/>
      <c r="C545" s="14"/>
    </row>
    <row r="546" spans="2:3" x14ac:dyDescent="0.2">
      <c r="B546" s="5"/>
      <c r="C546" s="14"/>
    </row>
    <row r="547" spans="2:3" x14ac:dyDescent="0.2">
      <c r="B547" s="5"/>
      <c r="C547" s="14"/>
    </row>
    <row r="548" spans="2:3" x14ac:dyDescent="0.2">
      <c r="B548" s="5"/>
      <c r="C548" s="14"/>
    </row>
    <row r="549" spans="2:3" x14ac:dyDescent="0.2">
      <c r="B549" s="5"/>
      <c r="C549" s="14"/>
    </row>
    <row r="550" spans="2:3" x14ac:dyDescent="0.2">
      <c r="B550" s="5"/>
      <c r="C550" s="14"/>
    </row>
    <row r="551" spans="2:3" x14ac:dyDescent="0.2">
      <c r="B551" s="5"/>
      <c r="C551" s="14"/>
    </row>
    <row r="552" spans="2:3" x14ac:dyDescent="0.2">
      <c r="B552" s="5"/>
      <c r="C552" s="14"/>
    </row>
    <row r="553" spans="2:3" x14ac:dyDescent="0.2">
      <c r="B553" s="5"/>
      <c r="C553" s="14"/>
    </row>
    <row r="554" spans="2:3" x14ac:dyDescent="0.2">
      <c r="B554" s="5"/>
      <c r="C554" s="14"/>
    </row>
    <row r="555" spans="2:3" x14ac:dyDescent="0.2">
      <c r="B555" s="5"/>
      <c r="C555" s="14"/>
    </row>
    <row r="556" spans="2:3" x14ac:dyDescent="0.2">
      <c r="B556" s="5"/>
      <c r="C556" s="14"/>
    </row>
    <row r="557" spans="2:3" x14ac:dyDescent="0.2">
      <c r="B557" s="5"/>
      <c r="C557" s="14"/>
    </row>
    <row r="558" spans="2:3" x14ac:dyDescent="0.2">
      <c r="B558" s="5"/>
      <c r="C558" s="14"/>
    </row>
    <row r="559" spans="2:3" x14ac:dyDescent="0.2">
      <c r="B559" s="5"/>
      <c r="C559" s="14"/>
    </row>
    <row r="560" spans="2:3" x14ac:dyDescent="0.2">
      <c r="B560" s="5"/>
      <c r="C560" s="14"/>
    </row>
    <row r="561" spans="2:3" x14ac:dyDescent="0.2">
      <c r="B561" s="5"/>
      <c r="C561" s="14"/>
    </row>
    <row r="562" spans="2:3" x14ac:dyDescent="0.2">
      <c r="B562" s="5"/>
      <c r="C562" s="14"/>
    </row>
    <row r="563" spans="2:3" x14ac:dyDescent="0.2">
      <c r="B563" s="5"/>
      <c r="C563" s="14"/>
    </row>
    <row r="564" spans="2:3" x14ac:dyDescent="0.2">
      <c r="B564" s="5"/>
      <c r="C564" s="14"/>
    </row>
    <row r="565" spans="2:3" x14ac:dyDescent="0.2">
      <c r="B565" s="5"/>
      <c r="C565" s="14"/>
    </row>
    <row r="566" spans="2:3" x14ac:dyDescent="0.2">
      <c r="B566" s="5"/>
      <c r="C566" s="14"/>
    </row>
    <row r="567" spans="2:3" x14ac:dyDescent="0.2">
      <c r="B567" s="5"/>
      <c r="C567" s="14"/>
    </row>
    <row r="568" spans="2:3" x14ac:dyDescent="0.2">
      <c r="B568" s="5"/>
      <c r="C568" s="14"/>
    </row>
    <row r="569" spans="2:3" x14ac:dyDescent="0.2">
      <c r="B569" s="5"/>
      <c r="C569" s="14"/>
    </row>
    <row r="570" spans="2:3" x14ac:dyDescent="0.2">
      <c r="B570" s="5"/>
      <c r="C570" s="14"/>
    </row>
    <row r="571" spans="2:3" x14ac:dyDescent="0.2">
      <c r="B571" s="5"/>
      <c r="C571" s="14"/>
    </row>
    <row r="572" spans="2:3" x14ac:dyDescent="0.2">
      <c r="B572" s="5"/>
      <c r="C572" s="14"/>
    </row>
    <row r="573" spans="2:3" x14ac:dyDescent="0.2">
      <c r="B573" s="5"/>
      <c r="C573" s="14"/>
    </row>
    <row r="574" spans="2:3" x14ac:dyDescent="0.2">
      <c r="B574" s="5"/>
      <c r="C574" s="14"/>
    </row>
    <row r="575" spans="2:3" x14ac:dyDescent="0.2">
      <c r="B575" s="5"/>
      <c r="C575" s="14"/>
    </row>
    <row r="576" spans="2:3" x14ac:dyDescent="0.2">
      <c r="B576" s="5"/>
      <c r="C576" s="14"/>
    </row>
    <row r="577" spans="2:3" x14ac:dyDescent="0.2">
      <c r="B577" s="5"/>
      <c r="C577" s="14"/>
    </row>
    <row r="578" spans="2:3" x14ac:dyDescent="0.2">
      <c r="B578" s="5"/>
      <c r="C578" s="14"/>
    </row>
    <row r="579" spans="2:3" x14ac:dyDescent="0.2">
      <c r="B579" s="5"/>
      <c r="C579" s="14"/>
    </row>
    <row r="580" spans="2:3" x14ac:dyDescent="0.2">
      <c r="B580" s="5"/>
      <c r="C580" s="14"/>
    </row>
    <row r="581" spans="2:3" x14ac:dyDescent="0.2">
      <c r="B581" s="5"/>
      <c r="C581" s="14"/>
    </row>
    <row r="582" spans="2:3" x14ac:dyDescent="0.2">
      <c r="B582" s="5"/>
      <c r="C582" s="14"/>
    </row>
    <row r="583" spans="2:3" x14ac:dyDescent="0.2">
      <c r="B583" s="5"/>
      <c r="C583" s="14"/>
    </row>
    <row r="584" spans="2:3" x14ac:dyDescent="0.2">
      <c r="B584" s="5"/>
      <c r="C584" s="14"/>
    </row>
    <row r="585" spans="2:3" x14ac:dyDescent="0.2">
      <c r="B585" s="5"/>
      <c r="C585" s="14"/>
    </row>
    <row r="586" spans="2:3" x14ac:dyDescent="0.2">
      <c r="B586" s="5"/>
      <c r="C586" s="14"/>
    </row>
    <row r="587" spans="2:3" x14ac:dyDescent="0.2">
      <c r="B587" s="5"/>
      <c r="C587" s="14"/>
    </row>
    <row r="588" spans="2:3" x14ac:dyDescent="0.2">
      <c r="B588" s="5"/>
      <c r="C588" s="14"/>
    </row>
    <row r="589" spans="2:3" x14ac:dyDescent="0.2">
      <c r="B589" s="5"/>
      <c r="C589" s="14"/>
    </row>
    <row r="590" spans="2:3" x14ac:dyDescent="0.2">
      <c r="B590" s="5"/>
      <c r="C590" s="14"/>
    </row>
    <row r="591" spans="2:3" x14ac:dyDescent="0.2">
      <c r="B591" s="5"/>
      <c r="C591" s="14"/>
    </row>
    <row r="592" spans="2:3" x14ac:dyDescent="0.2">
      <c r="B592" s="5"/>
      <c r="C592" s="14"/>
    </row>
    <row r="593" spans="2:3" x14ac:dyDescent="0.2">
      <c r="B593" s="5"/>
      <c r="C593" s="14"/>
    </row>
    <row r="594" spans="2:3" x14ac:dyDescent="0.2">
      <c r="B594" s="5"/>
      <c r="C594" s="14"/>
    </row>
    <row r="595" spans="2:3" x14ac:dyDescent="0.2">
      <c r="B595" s="5"/>
      <c r="C595" s="14"/>
    </row>
    <row r="596" spans="2:3" x14ac:dyDescent="0.2">
      <c r="B596" s="5"/>
      <c r="C596" s="14"/>
    </row>
    <row r="597" spans="2:3" x14ac:dyDescent="0.2">
      <c r="B597" s="5"/>
      <c r="C597" s="14"/>
    </row>
    <row r="598" spans="2:3" x14ac:dyDescent="0.2">
      <c r="B598" s="5"/>
      <c r="C598" s="14"/>
    </row>
    <row r="599" spans="2:3" x14ac:dyDescent="0.2">
      <c r="B599" s="5"/>
      <c r="C599" s="14"/>
    </row>
    <row r="600" spans="2:3" x14ac:dyDescent="0.2">
      <c r="B600" s="5"/>
      <c r="C600" s="14"/>
    </row>
    <row r="601" spans="2:3" x14ac:dyDescent="0.2">
      <c r="B601" s="5"/>
      <c r="C601" s="14"/>
    </row>
    <row r="602" spans="2:3" x14ac:dyDescent="0.2">
      <c r="B602" s="5"/>
      <c r="C602" s="14"/>
    </row>
    <row r="603" spans="2:3" x14ac:dyDescent="0.2">
      <c r="B603" s="5"/>
      <c r="C603" s="14"/>
    </row>
    <row r="604" spans="2:3" x14ac:dyDescent="0.2">
      <c r="B604" s="5"/>
      <c r="C604" s="14"/>
    </row>
    <row r="605" spans="2:3" x14ac:dyDescent="0.2">
      <c r="B605" s="5"/>
      <c r="C605" s="14"/>
    </row>
    <row r="606" spans="2:3" x14ac:dyDescent="0.2">
      <c r="B606" s="5"/>
      <c r="C606" s="14"/>
    </row>
    <row r="607" spans="2:3" x14ac:dyDescent="0.2">
      <c r="B607" s="5"/>
      <c r="C607" s="14"/>
    </row>
    <row r="608" spans="2:3" x14ac:dyDescent="0.2">
      <c r="B608" s="5"/>
      <c r="C608" s="14"/>
    </row>
    <row r="609" spans="2:3" x14ac:dyDescent="0.2">
      <c r="B609" s="5"/>
      <c r="C609" s="14"/>
    </row>
    <row r="610" spans="2:3" x14ac:dyDescent="0.2">
      <c r="B610" s="5"/>
      <c r="C610" s="14"/>
    </row>
    <row r="611" spans="2:3" x14ac:dyDescent="0.2">
      <c r="B611" s="5"/>
      <c r="C611" s="14"/>
    </row>
    <row r="612" spans="2:3" x14ac:dyDescent="0.2">
      <c r="B612" s="5"/>
      <c r="C612" s="14"/>
    </row>
    <row r="613" spans="2:3" x14ac:dyDescent="0.2">
      <c r="B613" s="5"/>
      <c r="C613" s="14"/>
    </row>
    <row r="614" spans="2:3" x14ac:dyDescent="0.2">
      <c r="B614" s="5"/>
      <c r="C614" s="14"/>
    </row>
    <row r="615" spans="2:3" x14ac:dyDescent="0.2">
      <c r="B615" s="5"/>
      <c r="C615" s="14"/>
    </row>
    <row r="616" spans="2:3" x14ac:dyDescent="0.2">
      <c r="B616" s="5"/>
      <c r="C616" s="14"/>
    </row>
    <row r="617" spans="2:3" x14ac:dyDescent="0.2">
      <c r="B617" s="5"/>
      <c r="C617" s="14"/>
    </row>
    <row r="618" spans="2:3" x14ac:dyDescent="0.2">
      <c r="B618" s="5"/>
      <c r="C618" s="14"/>
    </row>
    <row r="619" spans="2:3" x14ac:dyDescent="0.2">
      <c r="B619" s="5"/>
      <c r="C619" s="14"/>
    </row>
    <row r="620" spans="2:3" x14ac:dyDescent="0.2">
      <c r="B620" s="5"/>
      <c r="C620" s="14"/>
    </row>
    <row r="621" spans="2:3" x14ac:dyDescent="0.2">
      <c r="B621" s="5"/>
      <c r="C621" s="14"/>
    </row>
    <row r="622" spans="2:3" x14ac:dyDescent="0.2">
      <c r="B622" s="5"/>
      <c r="C622" s="14"/>
    </row>
    <row r="623" spans="2:3" x14ac:dyDescent="0.2">
      <c r="B623" s="5"/>
      <c r="C623" s="14"/>
    </row>
    <row r="624" spans="2:3" x14ac:dyDescent="0.2">
      <c r="B624" s="5"/>
      <c r="C624" s="14"/>
    </row>
    <row r="625" spans="2:3" x14ac:dyDescent="0.2">
      <c r="B625" s="5"/>
      <c r="C625" s="14"/>
    </row>
    <row r="626" spans="2:3" x14ac:dyDescent="0.2">
      <c r="B626" s="5"/>
      <c r="C626" s="14"/>
    </row>
    <row r="627" spans="2:3" x14ac:dyDescent="0.2">
      <c r="B627" s="5"/>
      <c r="C627" s="14"/>
    </row>
    <row r="628" spans="2:3" x14ac:dyDescent="0.2">
      <c r="B628" s="5"/>
      <c r="C628" s="14"/>
    </row>
    <row r="629" spans="2:3" x14ac:dyDescent="0.2">
      <c r="B629" s="5"/>
      <c r="C629" s="14"/>
    </row>
    <row r="630" spans="2:3" x14ac:dyDescent="0.2">
      <c r="B630" s="5"/>
      <c r="C630" s="14"/>
    </row>
    <row r="631" spans="2:3" x14ac:dyDescent="0.2">
      <c r="B631" s="5"/>
      <c r="C631" s="14"/>
    </row>
    <row r="632" spans="2:3" x14ac:dyDescent="0.2">
      <c r="B632" s="5"/>
      <c r="C632" s="14"/>
    </row>
    <row r="633" spans="2:3" x14ac:dyDescent="0.2">
      <c r="B633" s="5"/>
      <c r="C633" s="14"/>
    </row>
    <row r="634" spans="2:3" x14ac:dyDescent="0.2">
      <c r="B634" s="5"/>
      <c r="C634" s="14"/>
    </row>
    <row r="635" spans="2:3" x14ac:dyDescent="0.2">
      <c r="B635" s="5"/>
      <c r="C635" s="14"/>
    </row>
    <row r="636" spans="2:3" x14ac:dyDescent="0.2">
      <c r="B636" s="5"/>
      <c r="C636" s="14"/>
    </row>
    <row r="637" spans="2:3" x14ac:dyDescent="0.2">
      <c r="B637" s="5"/>
      <c r="C637" s="14"/>
    </row>
    <row r="638" spans="2:3" x14ac:dyDescent="0.2">
      <c r="B638" s="5"/>
      <c r="C638" s="14"/>
    </row>
    <row r="639" spans="2:3" x14ac:dyDescent="0.2">
      <c r="B639" s="5"/>
      <c r="C639" s="14"/>
    </row>
    <row r="640" spans="2:3" x14ac:dyDescent="0.2">
      <c r="B640" s="5"/>
      <c r="C640" s="14"/>
    </row>
    <row r="641" spans="2:3" x14ac:dyDescent="0.2">
      <c r="B641" s="5"/>
      <c r="C641" s="14"/>
    </row>
    <row r="642" spans="2:3" x14ac:dyDescent="0.2">
      <c r="B642" s="5"/>
      <c r="C642" s="14"/>
    </row>
    <row r="643" spans="2:3" x14ac:dyDescent="0.2">
      <c r="B643" s="5"/>
      <c r="C643" s="14"/>
    </row>
    <row r="644" spans="2:3" x14ac:dyDescent="0.2">
      <c r="B644" s="5"/>
      <c r="C644" s="14"/>
    </row>
    <row r="645" spans="2:3" x14ac:dyDescent="0.2">
      <c r="B645" s="5"/>
      <c r="C645" s="14"/>
    </row>
    <row r="646" spans="2:3" x14ac:dyDescent="0.2">
      <c r="B646" s="5"/>
      <c r="C646" s="14"/>
    </row>
    <row r="647" spans="2:3" x14ac:dyDescent="0.2">
      <c r="B647" s="5"/>
      <c r="C647" s="14"/>
    </row>
    <row r="648" spans="2:3" x14ac:dyDescent="0.2">
      <c r="B648" s="5"/>
      <c r="C648" s="14"/>
    </row>
    <row r="649" spans="2:3" x14ac:dyDescent="0.2">
      <c r="B649" s="5"/>
      <c r="C649" s="14"/>
    </row>
    <row r="650" spans="2:3" x14ac:dyDescent="0.2">
      <c r="B650" s="5"/>
      <c r="C650" s="14"/>
    </row>
    <row r="651" spans="2:3" x14ac:dyDescent="0.2">
      <c r="B651" s="5"/>
      <c r="C651" s="14"/>
    </row>
    <row r="652" spans="2:3" x14ac:dyDescent="0.2">
      <c r="B652" s="5"/>
      <c r="C652" s="14"/>
    </row>
    <row r="653" spans="2:3" x14ac:dyDescent="0.2">
      <c r="B653" s="5"/>
      <c r="C653" s="14"/>
    </row>
    <row r="654" spans="2:3" x14ac:dyDescent="0.2">
      <c r="B654" s="5"/>
      <c r="C654" s="14"/>
    </row>
    <row r="655" spans="2:3" x14ac:dyDescent="0.2">
      <c r="B655" s="5"/>
      <c r="C655" s="14"/>
    </row>
    <row r="656" spans="2:3" x14ac:dyDescent="0.2">
      <c r="B656" s="5"/>
      <c r="C656" s="14"/>
    </row>
    <row r="657" spans="2:3" x14ac:dyDescent="0.2">
      <c r="B657" s="5"/>
      <c r="C657" s="14"/>
    </row>
    <row r="658" spans="2:3" x14ac:dyDescent="0.2">
      <c r="B658" s="5"/>
      <c r="C658" s="14"/>
    </row>
    <row r="659" spans="2:3" x14ac:dyDescent="0.2">
      <c r="B659" s="5"/>
      <c r="C659" s="14"/>
    </row>
    <row r="660" spans="2:3" x14ac:dyDescent="0.2">
      <c r="B660" s="5"/>
      <c r="C660" s="14"/>
    </row>
    <row r="661" spans="2:3" x14ac:dyDescent="0.2">
      <c r="B661" s="5"/>
      <c r="C661" s="14"/>
    </row>
    <row r="662" spans="2:3" x14ac:dyDescent="0.2">
      <c r="B662" s="5"/>
      <c r="C662" s="14"/>
    </row>
    <row r="663" spans="2:3" x14ac:dyDescent="0.2">
      <c r="B663" s="5"/>
      <c r="C663" s="14"/>
    </row>
    <row r="664" spans="2:3" x14ac:dyDescent="0.2">
      <c r="B664" s="5"/>
      <c r="C664" s="14"/>
    </row>
    <row r="665" spans="2:3" x14ac:dyDescent="0.2">
      <c r="B665" s="5"/>
      <c r="C665" s="14"/>
    </row>
    <row r="666" spans="2:3" x14ac:dyDescent="0.2">
      <c r="B666" s="5"/>
      <c r="C666" s="14"/>
    </row>
    <row r="667" spans="2:3" x14ac:dyDescent="0.2">
      <c r="B667" s="5"/>
      <c r="C667" s="14"/>
    </row>
    <row r="668" spans="2:3" x14ac:dyDescent="0.2">
      <c r="B668" s="5"/>
      <c r="C668" s="14"/>
    </row>
    <row r="669" spans="2:3" x14ac:dyDescent="0.2">
      <c r="B669" s="5"/>
      <c r="C669" s="14"/>
    </row>
    <row r="670" spans="2:3" x14ac:dyDescent="0.2">
      <c r="B670" s="5"/>
      <c r="C670" s="14"/>
    </row>
    <row r="671" spans="2:3" x14ac:dyDescent="0.2">
      <c r="B671" s="5"/>
      <c r="C671" s="14"/>
    </row>
    <row r="672" spans="2:3" x14ac:dyDescent="0.2">
      <c r="B672" s="5"/>
      <c r="C672" s="14"/>
    </row>
    <row r="673" spans="2:3" x14ac:dyDescent="0.2">
      <c r="B673" s="5"/>
      <c r="C673" s="14"/>
    </row>
    <row r="674" spans="2:3" x14ac:dyDescent="0.2">
      <c r="B674" s="5"/>
      <c r="C674" s="14"/>
    </row>
    <row r="675" spans="2:3" x14ac:dyDescent="0.2">
      <c r="B675" s="5"/>
      <c r="C675" s="14"/>
    </row>
    <row r="676" spans="2:3" x14ac:dyDescent="0.2">
      <c r="B676" s="5"/>
      <c r="C676" s="14"/>
    </row>
    <row r="677" spans="2:3" x14ac:dyDescent="0.2">
      <c r="B677" s="5"/>
      <c r="C677" s="14"/>
    </row>
    <row r="678" spans="2:3" x14ac:dyDescent="0.2">
      <c r="B678" s="5"/>
      <c r="C678" s="14"/>
    </row>
    <row r="679" spans="2:3" x14ac:dyDescent="0.2">
      <c r="B679" s="5"/>
      <c r="C679" s="14"/>
    </row>
    <row r="680" spans="2:3" x14ac:dyDescent="0.2">
      <c r="B680" s="5"/>
      <c r="C680" s="14"/>
    </row>
    <row r="681" spans="2:3" x14ac:dyDescent="0.2">
      <c r="B681" s="5"/>
      <c r="C681" s="14"/>
    </row>
    <row r="682" spans="2:3" x14ac:dyDescent="0.2">
      <c r="B682" s="5"/>
      <c r="C682" s="14"/>
    </row>
    <row r="683" spans="2:3" x14ac:dyDescent="0.2">
      <c r="B683" s="5"/>
      <c r="C683" s="14"/>
    </row>
    <row r="684" spans="2:3" x14ac:dyDescent="0.2">
      <c r="B684" s="5"/>
      <c r="C684" s="14"/>
    </row>
    <row r="685" spans="2:3" x14ac:dyDescent="0.2">
      <c r="B685" s="5"/>
      <c r="C685" s="14"/>
    </row>
    <row r="686" spans="2:3" x14ac:dyDescent="0.2">
      <c r="B686" s="5"/>
      <c r="C686" s="14"/>
    </row>
    <row r="687" spans="2:3" x14ac:dyDescent="0.2">
      <c r="B687" s="5"/>
      <c r="C687" s="14"/>
    </row>
    <row r="688" spans="2:3" x14ac:dyDescent="0.2">
      <c r="B688" s="5"/>
      <c r="C688" s="14"/>
    </row>
    <row r="689" spans="2:3" x14ac:dyDescent="0.2">
      <c r="B689" s="5"/>
      <c r="C689" s="14"/>
    </row>
    <row r="690" spans="2:3" x14ac:dyDescent="0.2">
      <c r="B690" s="5"/>
      <c r="C690" s="14"/>
    </row>
    <row r="691" spans="2:3" x14ac:dyDescent="0.2">
      <c r="B691" s="5"/>
      <c r="C691" s="14"/>
    </row>
    <row r="692" spans="2:3" x14ac:dyDescent="0.2">
      <c r="B692" s="5"/>
      <c r="C692" s="14"/>
    </row>
    <row r="693" spans="2:3" x14ac:dyDescent="0.2">
      <c r="B693" s="5"/>
      <c r="C693" s="14"/>
    </row>
    <row r="694" spans="2:3" x14ac:dyDescent="0.2">
      <c r="B694" s="5"/>
      <c r="C694" s="14"/>
    </row>
    <row r="695" spans="2:3" x14ac:dyDescent="0.2">
      <c r="B695" s="5"/>
      <c r="C695" s="14"/>
    </row>
    <row r="696" spans="2:3" x14ac:dyDescent="0.2">
      <c r="B696" s="5"/>
      <c r="C696" s="14"/>
    </row>
    <row r="697" spans="2:3" x14ac:dyDescent="0.2">
      <c r="B697" s="5"/>
      <c r="C697" s="14"/>
    </row>
    <row r="698" spans="2:3" x14ac:dyDescent="0.2">
      <c r="B698" s="5"/>
      <c r="C698" s="14"/>
    </row>
    <row r="699" spans="2:3" x14ac:dyDescent="0.2">
      <c r="B699" s="5"/>
      <c r="C699" s="14"/>
    </row>
    <row r="700" spans="2:3" x14ac:dyDescent="0.2">
      <c r="B700" s="5"/>
      <c r="C700" s="14"/>
    </row>
    <row r="701" spans="2:3" x14ac:dyDescent="0.2">
      <c r="B701" s="5"/>
      <c r="C701" s="14"/>
    </row>
    <row r="702" spans="2:3" x14ac:dyDescent="0.2">
      <c r="B702" s="5"/>
      <c r="C702" s="14"/>
    </row>
    <row r="703" spans="2:3" x14ac:dyDescent="0.2">
      <c r="B703" s="5"/>
      <c r="C703" s="14"/>
    </row>
    <row r="704" spans="2:3" x14ac:dyDescent="0.2">
      <c r="B704" s="5"/>
      <c r="C704" s="14"/>
    </row>
    <row r="705" spans="2:3" x14ac:dyDescent="0.2">
      <c r="B705" s="5"/>
      <c r="C705" s="14"/>
    </row>
    <row r="706" spans="2:3" x14ac:dyDescent="0.2">
      <c r="B706" s="5"/>
      <c r="C706" s="14"/>
    </row>
    <row r="707" spans="2:3" x14ac:dyDescent="0.2">
      <c r="B707" s="5"/>
      <c r="C707" s="14"/>
    </row>
    <row r="708" spans="2:3" x14ac:dyDescent="0.2">
      <c r="B708" s="5"/>
      <c r="C708" s="14"/>
    </row>
    <row r="709" spans="2:3" x14ac:dyDescent="0.2">
      <c r="B709" s="5"/>
      <c r="C709" s="14"/>
    </row>
    <row r="710" spans="2:3" x14ac:dyDescent="0.2">
      <c r="B710" s="5"/>
      <c r="C710" s="14"/>
    </row>
    <row r="711" spans="2:3" x14ac:dyDescent="0.2">
      <c r="B711" s="5"/>
      <c r="C711" s="14"/>
    </row>
    <row r="712" spans="2:3" x14ac:dyDescent="0.2">
      <c r="B712" s="5"/>
      <c r="C712" s="14"/>
    </row>
    <row r="713" spans="2:3" x14ac:dyDescent="0.2">
      <c r="B713" s="5"/>
      <c r="C713" s="14"/>
    </row>
    <row r="714" spans="2:3" x14ac:dyDescent="0.2">
      <c r="B714" s="5"/>
      <c r="C714" s="14"/>
    </row>
    <row r="715" spans="2:3" x14ac:dyDescent="0.2">
      <c r="B715" s="5"/>
      <c r="C715" s="14"/>
    </row>
    <row r="716" spans="2:3" x14ac:dyDescent="0.2">
      <c r="B716" s="5"/>
      <c r="C716" s="14"/>
    </row>
    <row r="717" spans="2:3" x14ac:dyDescent="0.2">
      <c r="B717" s="5"/>
      <c r="C717" s="14"/>
    </row>
    <row r="718" spans="2:3" x14ac:dyDescent="0.2">
      <c r="B718" s="5"/>
      <c r="C718" s="14"/>
    </row>
    <row r="719" spans="2:3" x14ac:dyDescent="0.2">
      <c r="B719" s="5"/>
      <c r="C719" s="14"/>
    </row>
    <row r="720" spans="2:3" x14ac:dyDescent="0.2">
      <c r="B720" s="5"/>
      <c r="C720" s="14"/>
    </row>
    <row r="721" spans="2:3" x14ac:dyDescent="0.2">
      <c r="B721" s="5"/>
      <c r="C721" s="14"/>
    </row>
    <row r="722" spans="2:3" x14ac:dyDescent="0.2">
      <c r="B722" s="5"/>
      <c r="C722" s="14"/>
    </row>
    <row r="723" spans="2:3" x14ac:dyDescent="0.2">
      <c r="B723" s="5"/>
      <c r="C723" s="14"/>
    </row>
    <row r="724" spans="2:3" x14ac:dyDescent="0.2">
      <c r="B724" s="5"/>
      <c r="C724" s="14"/>
    </row>
    <row r="725" spans="2:3" x14ac:dyDescent="0.2">
      <c r="B725" s="5"/>
      <c r="C725" s="14"/>
    </row>
    <row r="726" spans="2:3" x14ac:dyDescent="0.2">
      <c r="B726" s="5"/>
      <c r="C726" s="14"/>
    </row>
    <row r="727" spans="2:3" x14ac:dyDescent="0.2">
      <c r="B727" s="5"/>
      <c r="C727" s="14"/>
    </row>
    <row r="728" spans="2:3" x14ac:dyDescent="0.2">
      <c r="B728" s="5"/>
      <c r="C728" s="14"/>
    </row>
    <row r="729" spans="2:3" x14ac:dyDescent="0.2">
      <c r="B729" s="5"/>
      <c r="C729" s="14"/>
    </row>
    <row r="730" spans="2:3" x14ac:dyDescent="0.2">
      <c r="B730" s="5"/>
      <c r="C730" s="14"/>
    </row>
    <row r="731" spans="2:3" x14ac:dyDescent="0.2">
      <c r="B731" s="5"/>
      <c r="C731" s="14"/>
    </row>
    <row r="732" spans="2:3" x14ac:dyDescent="0.2">
      <c r="B732" s="5"/>
      <c r="C732" s="14"/>
    </row>
    <row r="733" spans="2:3" x14ac:dyDescent="0.2">
      <c r="B733" s="5"/>
      <c r="C733" s="14"/>
    </row>
    <row r="734" spans="2:3" x14ac:dyDescent="0.2">
      <c r="B734" s="5"/>
      <c r="C734" s="14"/>
    </row>
    <row r="735" spans="2:3" x14ac:dyDescent="0.2">
      <c r="B735" s="5"/>
      <c r="C735" s="14"/>
    </row>
    <row r="736" spans="2:3" x14ac:dyDescent="0.2">
      <c r="B736" s="5"/>
      <c r="C736" s="14"/>
    </row>
    <row r="737" spans="2:3" x14ac:dyDescent="0.2">
      <c r="B737" s="5"/>
      <c r="C737" s="14"/>
    </row>
    <row r="738" spans="2:3" x14ac:dyDescent="0.2">
      <c r="B738" s="5"/>
      <c r="C738" s="14"/>
    </row>
    <row r="739" spans="2:3" x14ac:dyDescent="0.2">
      <c r="B739" s="5"/>
      <c r="C739" s="14"/>
    </row>
    <row r="740" spans="2:3" x14ac:dyDescent="0.2">
      <c r="B740" s="5"/>
      <c r="C740" s="14"/>
    </row>
    <row r="741" spans="2:3" x14ac:dyDescent="0.2">
      <c r="B741" s="5"/>
      <c r="C741" s="14"/>
    </row>
    <row r="742" spans="2:3" x14ac:dyDescent="0.2">
      <c r="B742" s="5"/>
      <c r="C742" s="14"/>
    </row>
    <row r="743" spans="2:3" x14ac:dyDescent="0.2">
      <c r="B743" s="5"/>
      <c r="C743" s="14"/>
    </row>
    <row r="744" spans="2:3" x14ac:dyDescent="0.2">
      <c r="B744" s="5"/>
      <c r="C744" s="14"/>
    </row>
    <row r="745" spans="2:3" x14ac:dyDescent="0.2">
      <c r="B745" s="5"/>
      <c r="C745" s="14"/>
    </row>
    <row r="746" spans="2:3" x14ac:dyDescent="0.2">
      <c r="B746" s="5"/>
      <c r="C746" s="14"/>
    </row>
    <row r="747" spans="2:3" x14ac:dyDescent="0.2">
      <c r="B747" s="5"/>
      <c r="C747" s="14"/>
    </row>
    <row r="748" spans="2:3" x14ac:dyDescent="0.2">
      <c r="B748" s="5"/>
      <c r="C748" s="14"/>
    </row>
    <row r="749" spans="2:3" x14ac:dyDescent="0.2">
      <c r="B749" s="5"/>
      <c r="C749" s="14"/>
    </row>
    <row r="750" spans="2:3" x14ac:dyDescent="0.2">
      <c r="B750" s="5"/>
      <c r="C750" s="14"/>
    </row>
    <row r="751" spans="2:3" x14ac:dyDescent="0.2">
      <c r="B751" s="5"/>
      <c r="C751" s="14"/>
    </row>
    <row r="752" spans="2:3" x14ac:dyDescent="0.2">
      <c r="B752" s="5"/>
      <c r="C752" s="14"/>
    </row>
    <row r="753" spans="2:3" x14ac:dyDescent="0.2">
      <c r="B753" s="5"/>
      <c r="C753" s="14"/>
    </row>
    <row r="754" spans="2:3" x14ac:dyDescent="0.2">
      <c r="B754" s="5"/>
      <c r="C754" s="14"/>
    </row>
    <row r="755" spans="2:3" x14ac:dyDescent="0.2">
      <c r="B755" s="5"/>
      <c r="C755" s="14"/>
    </row>
    <row r="756" spans="2:3" x14ac:dyDescent="0.2">
      <c r="B756" s="5"/>
      <c r="C756" s="14"/>
    </row>
    <row r="757" spans="2:3" x14ac:dyDescent="0.2">
      <c r="B757" s="5"/>
      <c r="C757" s="14"/>
    </row>
    <row r="758" spans="2:3" x14ac:dyDescent="0.2">
      <c r="B758" s="5"/>
      <c r="C758" s="14"/>
    </row>
    <row r="759" spans="2:3" x14ac:dyDescent="0.2">
      <c r="B759" s="5"/>
      <c r="C759" s="14"/>
    </row>
    <row r="760" spans="2:3" x14ac:dyDescent="0.2">
      <c r="B760" s="5"/>
      <c r="C760" s="14"/>
    </row>
    <row r="761" spans="2:3" x14ac:dyDescent="0.2">
      <c r="B761" s="5"/>
      <c r="C761" s="14"/>
    </row>
    <row r="762" spans="2:3" x14ac:dyDescent="0.2">
      <c r="B762" s="5"/>
      <c r="C762" s="14"/>
    </row>
    <row r="763" spans="2:3" x14ac:dyDescent="0.2">
      <c r="B763" s="5"/>
      <c r="C763" s="14"/>
    </row>
    <row r="764" spans="2:3" x14ac:dyDescent="0.2">
      <c r="B764" s="5"/>
      <c r="C764" s="14"/>
    </row>
    <row r="765" spans="2:3" x14ac:dyDescent="0.2">
      <c r="B765" s="5"/>
      <c r="C765" s="14"/>
    </row>
    <row r="766" spans="2:3" x14ac:dyDescent="0.2">
      <c r="B766" s="5"/>
      <c r="C766" s="14"/>
    </row>
    <row r="767" spans="2:3" x14ac:dyDescent="0.2">
      <c r="B767" s="5"/>
      <c r="C767" s="14"/>
    </row>
    <row r="768" spans="2:3" x14ac:dyDescent="0.2">
      <c r="B768" s="5"/>
      <c r="C768" s="14"/>
    </row>
    <row r="769" spans="2:3" x14ac:dyDescent="0.2">
      <c r="B769" s="5"/>
      <c r="C769" s="14"/>
    </row>
    <row r="770" spans="2:3" x14ac:dyDescent="0.2">
      <c r="B770" s="5"/>
      <c r="C770" s="14"/>
    </row>
    <row r="771" spans="2:3" x14ac:dyDescent="0.2">
      <c r="B771" s="5"/>
      <c r="C771" s="14"/>
    </row>
    <row r="772" spans="2:3" x14ac:dyDescent="0.2">
      <c r="B772" s="5"/>
      <c r="C772" s="14"/>
    </row>
    <row r="773" spans="2:3" x14ac:dyDescent="0.2">
      <c r="B773" s="5"/>
      <c r="C773" s="14"/>
    </row>
    <row r="774" spans="2:3" x14ac:dyDescent="0.2">
      <c r="B774" s="5"/>
      <c r="C774" s="14"/>
    </row>
    <row r="775" spans="2:3" x14ac:dyDescent="0.2">
      <c r="B775" s="5"/>
      <c r="C775" s="14"/>
    </row>
    <row r="776" spans="2:3" x14ac:dyDescent="0.2">
      <c r="B776" s="5"/>
      <c r="C776" s="14"/>
    </row>
    <row r="777" spans="2:3" x14ac:dyDescent="0.2">
      <c r="B777" s="5"/>
      <c r="C777" s="14"/>
    </row>
    <row r="778" spans="2:3" x14ac:dyDescent="0.2">
      <c r="B778" s="5"/>
      <c r="C778" s="14"/>
    </row>
    <row r="779" spans="2:3" x14ac:dyDescent="0.2">
      <c r="B779" s="5"/>
      <c r="C779" s="14"/>
    </row>
    <row r="780" spans="2:3" x14ac:dyDescent="0.2">
      <c r="B780" s="5"/>
      <c r="C780" s="14"/>
    </row>
    <row r="781" spans="2:3" x14ac:dyDescent="0.2">
      <c r="B781" s="5"/>
      <c r="C781" s="14"/>
    </row>
    <row r="782" spans="2:3" x14ac:dyDescent="0.2">
      <c r="B782" s="5"/>
      <c r="C782" s="14"/>
    </row>
    <row r="783" spans="2:3" x14ac:dyDescent="0.2">
      <c r="B783" s="5"/>
      <c r="C783" s="14"/>
    </row>
    <row r="784" spans="2:3" x14ac:dyDescent="0.2">
      <c r="B784" s="5"/>
      <c r="C784" s="14"/>
    </row>
    <row r="785" spans="2:3" x14ac:dyDescent="0.2">
      <c r="B785" s="5"/>
      <c r="C785" s="14"/>
    </row>
    <row r="786" spans="2:3" x14ac:dyDescent="0.2">
      <c r="B786" s="5"/>
      <c r="C786" s="14"/>
    </row>
    <row r="787" spans="2:3" x14ac:dyDescent="0.2">
      <c r="B787" s="5"/>
      <c r="C787" s="14"/>
    </row>
    <row r="788" spans="2:3" x14ac:dyDescent="0.2">
      <c r="B788" s="5"/>
      <c r="C788" s="14"/>
    </row>
    <row r="789" spans="2:3" x14ac:dyDescent="0.2">
      <c r="B789" s="5"/>
      <c r="C789" s="14"/>
    </row>
    <row r="790" spans="2:3" x14ac:dyDescent="0.2">
      <c r="B790" s="5"/>
      <c r="C790" s="14"/>
    </row>
    <row r="791" spans="2:3" x14ac:dyDescent="0.2">
      <c r="B791" s="5"/>
      <c r="C791" s="14"/>
    </row>
    <row r="792" spans="2:3" x14ac:dyDescent="0.2">
      <c r="B792" s="5"/>
      <c r="C792" s="14"/>
    </row>
    <row r="793" spans="2:3" x14ac:dyDescent="0.2">
      <c r="B793" s="5"/>
      <c r="C793" s="14"/>
    </row>
    <row r="794" spans="2:3" x14ac:dyDescent="0.2">
      <c r="B794" s="5"/>
      <c r="C794" s="14"/>
    </row>
    <row r="795" spans="2:3" x14ac:dyDescent="0.2">
      <c r="B795" s="5"/>
      <c r="C795" s="14"/>
    </row>
    <row r="796" spans="2:3" x14ac:dyDescent="0.2">
      <c r="B796" s="5"/>
      <c r="C796" s="14"/>
    </row>
    <row r="797" spans="2:3" x14ac:dyDescent="0.2">
      <c r="B797" s="5"/>
      <c r="C797" s="14"/>
    </row>
    <row r="798" spans="2:3" x14ac:dyDescent="0.2">
      <c r="B798" s="5"/>
      <c r="C798" s="14"/>
    </row>
    <row r="799" spans="2:3" x14ac:dyDescent="0.2">
      <c r="B799" s="5"/>
      <c r="C799" s="14"/>
    </row>
    <row r="800" spans="2:3" x14ac:dyDescent="0.2">
      <c r="B800" s="5"/>
      <c r="C800" s="14"/>
    </row>
    <row r="801" spans="2:3" x14ac:dyDescent="0.2">
      <c r="B801" s="5"/>
      <c r="C801" s="14"/>
    </row>
    <row r="802" spans="2:3" x14ac:dyDescent="0.2">
      <c r="B802" s="5"/>
      <c r="C802" s="14"/>
    </row>
    <row r="803" spans="2:3" x14ac:dyDescent="0.2">
      <c r="B803" s="5"/>
      <c r="C803" s="14"/>
    </row>
    <row r="804" spans="2:3" x14ac:dyDescent="0.2">
      <c r="B804" s="5"/>
      <c r="C804" s="14"/>
    </row>
    <row r="805" spans="2:3" x14ac:dyDescent="0.2">
      <c r="B805" s="5"/>
      <c r="C805" s="14"/>
    </row>
    <row r="806" spans="2:3" x14ac:dyDescent="0.2">
      <c r="B806" s="5"/>
      <c r="C806" s="14"/>
    </row>
    <row r="807" spans="2:3" x14ac:dyDescent="0.2">
      <c r="B807" s="5"/>
      <c r="C807" s="14"/>
    </row>
    <row r="808" spans="2:3" x14ac:dyDescent="0.2">
      <c r="B808" s="5"/>
      <c r="C808" s="14"/>
    </row>
    <row r="809" spans="2:3" x14ac:dyDescent="0.2">
      <c r="B809" s="5"/>
      <c r="C809" s="14"/>
    </row>
    <row r="810" spans="2:3" x14ac:dyDescent="0.2">
      <c r="B810" s="5"/>
      <c r="C810" s="14"/>
    </row>
    <row r="811" spans="2:3" x14ac:dyDescent="0.2">
      <c r="B811" s="5"/>
      <c r="C811" s="14"/>
    </row>
    <row r="812" spans="2:3" x14ac:dyDescent="0.2">
      <c r="B812" s="5"/>
      <c r="C812" s="14"/>
    </row>
    <row r="813" spans="2:3" x14ac:dyDescent="0.2">
      <c r="B813" s="5"/>
      <c r="C813" s="14"/>
    </row>
    <row r="814" spans="2:3" x14ac:dyDescent="0.2">
      <c r="B814" s="5"/>
      <c r="C814" s="14"/>
    </row>
    <row r="815" spans="2:3" x14ac:dyDescent="0.2">
      <c r="B815" s="5"/>
      <c r="C815" s="14"/>
    </row>
    <row r="816" spans="2:3" x14ac:dyDescent="0.2">
      <c r="B816" s="5"/>
      <c r="C816" s="14"/>
    </row>
    <row r="817" spans="2:3" x14ac:dyDescent="0.2">
      <c r="B817" s="5"/>
      <c r="C817" s="14"/>
    </row>
    <row r="818" spans="2:3" x14ac:dyDescent="0.2">
      <c r="B818" s="5"/>
      <c r="C818" s="14"/>
    </row>
    <row r="819" spans="2:3" x14ac:dyDescent="0.2">
      <c r="B819" s="5"/>
      <c r="C819" s="14"/>
    </row>
    <row r="820" spans="2:3" x14ac:dyDescent="0.2">
      <c r="B820" s="5"/>
      <c r="C820" s="14"/>
    </row>
    <row r="821" spans="2:3" x14ac:dyDescent="0.2">
      <c r="B821" s="5"/>
      <c r="C821" s="14"/>
    </row>
    <row r="822" spans="2:3" x14ac:dyDescent="0.2">
      <c r="B822" s="5"/>
      <c r="C822" s="14"/>
    </row>
    <row r="823" spans="2:3" x14ac:dyDescent="0.2">
      <c r="B823" s="5"/>
      <c r="C823" s="14"/>
    </row>
    <row r="824" spans="2:3" x14ac:dyDescent="0.2">
      <c r="B824" s="5"/>
      <c r="C824" s="14"/>
    </row>
    <row r="825" spans="2:3" x14ac:dyDescent="0.2">
      <c r="B825" s="5"/>
      <c r="C825" s="14"/>
    </row>
    <row r="826" spans="2:3" x14ac:dyDescent="0.2">
      <c r="B826" s="5"/>
      <c r="C826" s="14"/>
    </row>
    <row r="827" spans="2:3" x14ac:dyDescent="0.2">
      <c r="B827" s="5"/>
      <c r="C827" s="14"/>
    </row>
    <row r="828" spans="2:3" x14ac:dyDescent="0.2">
      <c r="B828" s="5"/>
      <c r="C828" s="14"/>
    </row>
    <row r="829" spans="2:3" x14ac:dyDescent="0.2">
      <c r="B829" s="5"/>
      <c r="C829" s="14"/>
    </row>
    <row r="830" spans="2:3" x14ac:dyDescent="0.2">
      <c r="B830" s="5"/>
      <c r="C830" s="14"/>
    </row>
    <row r="831" spans="2:3" x14ac:dyDescent="0.2">
      <c r="B831" s="5"/>
      <c r="C831" s="14"/>
    </row>
    <row r="832" spans="2:3" x14ac:dyDescent="0.2">
      <c r="B832" s="5"/>
      <c r="C832" s="14"/>
    </row>
    <row r="833" spans="2:3" x14ac:dyDescent="0.2">
      <c r="B833" s="5"/>
      <c r="C833" s="14"/>
    </row>
    <row r="834" spans="2:3" x14ac:dyDescent="0.2">
      <c r="B834" s="5"/>
      <c r="C834" s="14"/>
    </row>
    <row r="835" spans="2:3" x14ac:dyDescent="0.2">
      <c r="B835" s="5"/>
      <c r="C835" s="14"/>
    </row>
    <row r="836" spans="2:3" x14ac:dyDescent="0.2">
      <c r="B836" s="5"/>
      <c r="C836" s="14"/>
    </row>
    <row r="837" spans="2:3" x14ac:dyDescent="0.2">
      <c r="B837" s="5"/>
      <c r="C837" s="14"/>
    </row>
    <row r="838" spans="2:3" x14ac:dyDescent="0.2">
      <c r="B838" s="5"/>
      <c r="C838" s="14"/>
    </row>
    <row r="839" spans="2:3" x14ac:dyDescent="0.2">
      <c r="B839" s="5"/>
      <c r="C839" s="14"/>
    </row>
    <row r="840" spans="2:3" x14ac:dyDescent="0.2">
      <c r="B840" s="5"/>
      <c r="C840" s="14"/>
    </row>
    <row r="841" spans="2:3" x14ac:dyDescent="0.2">
      <c r="B841" s="5"/>
      <c r="C841" s="14"/>
    </row>
    <row r="842" spans="2:3" x14ac:dyDescent="0.2">
      <c r="B842" s="5"/>
      <c r="C842" s="14"/>
    </row>
    <row r="843" spans="2:3" x14ac:dyDescent="0.2">
      <c r="B843" s="5"/>
      <c r="C843" s="14"/>
    </row>
    <row r="844" spans="2:3" x14ac:dyDescent="0.2">
      <c r="B844" s="5"/>
      <c r="C844" s="14"/>
    </row>
    <row r="845" spans="2:3" x14ac:dyDescent="0.2">
      <c r="B845" s="5"/>
      <c r="C845" s="14"/>
    </row>
    <row r="846" spans="2:3" x14ac:dyDescent="0.2">
      <c r="B846" s="5"/>
      <c r="C846" s="14"/>
    </row>
    <row r="847" spans="2:3" x14ac:dyDescent="0.2">
      <c r="B847" s="5"/>
      <c r="C847" s="14"/>
    </row>
    <row r="848" spans="2:3" x14ac:dyDescent="0.2">
      <c r="B848" s="5"/>
      <c r="C848" s="14"/>
    </row>
    <row r="849" spans="2:3" x14ac:dyDescent="0.2">
      <c r="B849" s="5"/>
      <c r="C849" s="14"/>
    </row>
    <row r="850" spans="2:3" x14ac:dyDescent="0.2">
      <c r="B850" s="5"/>
      <c r="C850" s="14"/>
    </row>
    <row r="851" spans="2:3" x14ac:dyDescent="0.2">
      <c r="B851" s="5"/>
      <c r="C851" s="14"/>
    </row>
    <row r="852" spans="2:3" x14ac:dyDescent="0.2">
      <c r="B852" s="5"/>
      <c r="C852" s="14"/>
    </row>
    <row r="853" spans="2:3" x14ac:dyDescent="0.2">
      <c r="B853" s="5"/>
      <c r="C853" s="14"/>
    </row>
    <row r="854" spans="2:3" x14ac:dyDescent="0.2">
      <c r="B854" s="5"/>
      <c r="C854" s="14"/>
    </row>
    <row r="855" spans="2:3" x14ac:dyDescent="0.2">
      <c r="B855" s="5"/>
      <c r="C855" s="14"/>
    </row>
    <row r="856" spans="2:3" x14ac:dyDescent="0.2">
      <c r="B856" s="5"/>
      <c r="C856" s="14"/>
    </row>
    <row r="857" spans="2:3" x14ac:dyDescent="0.2">
      <c r="B857" s="5"/>
      <c r="C857" s="14"/>
    </row>
    <row r="858" spans="2:3" x14ac:dyDescent="0.2">
      <c r="B858" s="5"/>
      <c r="C858" s="14"/>
    </row>
    <row r="859" spans="2:3" x14ac:dyDescent="0.2">
      <c r="B859" s="5"/>
      <c r="C859" s="14"/>
    </row>
    <row r="860" spans="2:3" x14ac:dyDescent="0.2">
      <c r="B860" s="5"/>
      <c r="C860" s="14"/>
    </row>
    <row r="861" spans="2:3" x14ac:dyDescent="0.2">
      <c r="B861" s="5"/>
      <c r="C861" s="14"/>
    </row>
    <row r="862" spans="2:3" x14ac:dyDescent="0.2">
      <c r="B862" s="5"/>
      <c r="C862" s="14"/>
    </row>
    <row r="863" spans="2:3" x14ac:dyDescent="0.2">
      <c r="B863" s="5"/>
      <c r="C863" s="14"/>
    </row>
    <row r="864" spans="2:3" x14ac:dyDescent="0.2">
      <c r="B864" s="5"/>
      <c r="C864" s="14"/>
    </row>
    <row r="865" spans="2:3" x14ac:dyDescent="0.2">
      <c r="B865" s="5"/>
      <c r="C865" s="14"/>
    </row>
    <row r="866" spans="2:3" x14ac:dyDescent="0.2">
      <c r="B866" s="5"/>
      <c r="C866" s="14"/>
    </row>
    <row r="867" spans="2:3" x14ac:dyDescent="0.2">
      <c r="B867" s="5"/>
      <c r="C867" s="14"/>
    </row>
    <row r="868" spans="2:3" x14ac:dyDescent="0.2">
      <c r="B868" s="5"/>
      <c r="C868" s="14"/>
    </row>
    <row r="869" spans="2:3" x14ac:dyDescent="0.2">
      <c r="B869" s="5"/>
      <c r="C869" s="14"/>
    </row>
    <row r="870" spans="2:3" x14ac:dyDescent="0.2">
      <c r="B870" s="5"/>
      <c r="C870" s="14"/>
    </row>
    <row r="871" spans="2:3" x14ac:dyDescent="0.2">
      <c r="B871" s="5"/>
      <c r="C871" s="14"/>
    </row>
    <row r="872" spans="2:3" x14ac:dyDescent="0.2">
      <c r="B872" s="5"/>
      <c r="C872" s="14"/>
    </row>
    <row r="873" spans="2:3" x14ac:dyDescent="0.2">
      <c r="B873" s="5"/>
      <c r="C873" s="14"/>
    </row>
    <row r="874" spans="2:3" x14ac:dyDescent="0.2">
      <c r="B874" s="5"/>
      <c r="C874" s="14"/>
    </row>
    <row r="875" spans="2:3" x14ac:dyDescent="0.2">
      <c r="B875" s="5"/>
      <c r="C875" s="14"/>
    </row>
    <row r="876" spans="2:3" x14ac:dyDescent="0.2">
      <c r="B876" s="5"/>
      <c r="C876" s="14"/>
    </row>
    <row r="877" spans="2:3" x14ac:dyDescent="0.2">
      <c r="B877" s="5"/>
      <c r="C877" s="14"/>
    </row>
    <row r="878" spans="2:3" x14ac:dyDescent="0.2">
      <c r="B878" s="5"/>
      <c r="C878" s="14"/>
    </row>
    <row r="879" spans="2:3" x14ac:dyDescent="0.2">
      <c r="B879" s="5"/>
      <c r="C879" s="14"/>
    </row>
    <row r="880" spans="2:3" x14ac:dyDescent="0.2">
      <c r="B880" s="5"/>
      <c r="C880" s="14"/>
    </row>
    <row r="881" spans="2:3" x14ac:dyDescent="0.2">
      <c r="B881" s="5"/>
      <c r="C881" s="14"/>
    </row>
    <row r="882" spans="2:3" x14ac:dyDescent="0.2">
      <c r="B882" s="5"/>
      <c r="C882" s="14"/>
    </row>
    <row r="883" spans="2:3" x14ac:dyDescent="0.2">
      <c r="B883" s="5"/>
      <c r="C883" s="14"/>
    </row>
    <row r="884" spans="2:3" x14ac:dyDescent="0.2">
      <c r="B884" s="5"/>
      <c r="C884" s="14"/>
    </row>
    <row r="885" spans="2:3" x14ac:dyDescent="0.2">
      <c r="B885" s="5"/>
      <c r="C885" s="14"/>
    </row>
    <row r="886" spans="2:3" x14ac:dyDescent="0.2">
      <c r="B886" s="5"/>
      <c r="C886" s="14"/>
    </row>
    <row r="887" spans="2:3" x14ac:dyDescent="0.2">
      <c r="B887" s="5"/>
      <c r="C887" s="14"/>
    </row>
    <row r="888" spans="2:3" x14ac:dyDescent="0.2">
      <c r="B888" s="5"/>
      <c r="C888" s="14"/>
    </row>
    <row r="889" spans="2:3" x14ac:dyDescent="0.2">
      <c r="B889" s="5"/>
      <c r="C889" s="14"/>
    </row>
    <row r="890" spans="2:3" x14ac:dyDescent="0.2">
      <c r="B890" s="5"/>
      <c r="C890" s="14"/>
    </row>
    <row r="891" spans="2:3" x14ac:dyDescent="0.2">
      <c r="B891" s="5"/>
      <c r="C891" s="14"/>
    </row>
    <row r="892" spans="2:3" x14ac:dyDescent="0.2">
      <c r="B892" s="5"/>
      <c r="C892" s="14"/>
    </row>
    <row r="893" spans="2:3" x14ac:dyDescent="0.2">
      <c r="B893" s="5"/>
      <c r="C893" s="14"/>
    </row>
    <row r="894" spans="2:3" x14ac:dyDescent="0.2">
      <c r="B894" s="5"/>
      <c r="C894" s="14"/>
    </row>
    <row r="895" spans="2:3" x14ac:dyDescent="0.2">
      <c r="B895" s="5"/>
      <c r="C895" s="14"/>
    </row>
    <row r="896" spans="2:3" x14ac:dyDescent="0.2">
      <c r="B896" s="5"/>
      <c r="C896" s="14"/>
    </row>
    <row r="897" spans="2:3" x14ac:dyDescent="0.2">
      <c r="B897" s="5"/>
      <c r="C897" s="14"/>
    </row>
    <row r="898" spans="2:3" x14ac:dyDescent="0.2">
      <c r="B898" s="5"/>
      <c r="C898" s="14"/>
    </row>
    <row r="899" spans="2:3" x14ac:dyDescent="0.2">
      <c r="B899" s="5"/>
      <c r="C899" s="14"/>
    </row>
    <row r="900" spans="2:3" x14ac:dyDescent="0.2">
      <c r="B900" s="5"/>
      <c r="C900" s="14"/>
    </row>
    <row r="901" spans="2:3" x14ac:dyDescent="0.2">
      <c r="B901" s="5"/>
      <c r="C901" s="14"/>
    </row>
    <row r="902" spans="2:3" x14ac:dyDescent="0.2">
      <c r="B902" s="5"/>
      <c r="C902" s="14"/>
    </row>
    <row r="903" spans="2:3" x14ac:dyDescent="0.2">
      <c r="B903" s="5"/>
      <c r="C903" s="14"/>
    </row>
    <row r="904" spans="2:3" x14ac:dyDescent="0.2">
      <c r="B904" s="5"/>
      <c r="C904" s="14"/>
    </row>
    <row r="905" spans="2:3" x14ac:dyDescent="0.2">
      <c r="B905" s="5"/>
      <c r="C905" s="14"/>
    </row>
    <row r="906" spans="2:3" x14ac:dyDescent="0.2">
      <c r="B906" s="5"/>
      <c r="C906" s="14"/>
    </row>
    <row r="907" spans="2:3" x14ac:dyDescent="0.2">
      <c r="B907" s="5"/>
      <c r="C907" s="14"/>
    </row>
    <row r="908" spans="2:3" x14ac:dyDescent="0.2">
      <c r="B908" s="5"/>
      <c r="C908" s="14"/>
    </row>
    <row r="909" spans="2:3" x14ac:dyDescent="0.2">
      <c r="B909" s="5"/>
      <c r="C909" s="14"/>
    </row>
    <row r="910" spans="2:3" x14ac:dyDescent="0.2">
      <c r="B910" s="5"/>
      <c r="C910" s="14"/>
    </row>
    <row r="911" spans="2:3" x14ac:dyDescent="0.2">
      <c r="B911" s="5"/>
      <c r="C911" s="14"/>
    </row>
    <row r="912" spans="2:3" x14ac:dyDescent="0.2">
      <c r="B912" s="5"/>
      <c r="C912" s="14"/>
    </row>
    <row r="913" spans="2:3" x14ac:dyDescent="0.2">
      <c r="B913" s="5"/>
      <c r="C913" s="14"/>
    </row>
    <row r="914" spans="2:3" x14ac:dyDescent="0.2">
      <c r="B914" s="5"/>
      <c r="C914" s="14"/>
    </row>
    <row r="915" spans="2:3" x14ac:dyDescent="0.2">
      <c r="B915" s="5"/>
      <c r="C915" s="14"/>
    </row>
    <row r="916" spans="2:3" x14ac:dyDescent="0.2">
      <c r="B916" s="5"/>
      <c r="C916" s="14"/>
    </row>
    <row r="917" spans="2:3" x14ac:dyDescent="0.2">
      <c r="B917" s="5"/>
      <c r="C917" s="14"/>
    </row>
    <row r="918" spans="2:3" x14ac:dyDescent="0.2">
      <c r="B918" s="5"/>
      <c r="C918" s="14"/>
    </row>
    <row r="919" spans="2:3" x14ac:dyDescent="0.2">
      <c r="B919" s="5"/>
      <c r="C919" s="14"/>
    </row>
    <row r="920" spans="2:3" x14ac:dyDescent="0.2">
      <c r="B920" s="5"/>
      <c r="C920" s="14"/>
    </row>
    <row r="921" spans="2:3" x14ac:dyDescent="0.2">
      <c r="B921" s="5"/>
      <c r="C921" s="14"/>
    </row>
    <row r="922" spans="2:3" x14ac:dyDescent="0.2">
      <c r="B922" s="5"/>
      <c r="C922" s="14"/>
    </row>
    <row r="923" spans="2:3" x14ac:dyDescent="0.2">
      <c r="B923" s="5"/>
      <c r="C923" s="14"/>
    </row>
    <row r="924" spans="2:3" x14ac:dyDescent="0.2">
      <c r="B924" s="5"/>
      <c r="C924" s="14"/>
    </row>
    <row r="925" spans="2:3" x14ac:dyDescent="0.2">
      <c r="B925" s="5"/>
      <c r="C925" s="14"/>
    </row>
    <row r="926" spans="2:3" x14ac:dyDescent="0.2">
      <c r="B926" s="5"/>
      <c r="C926" s="14"/>
    </row>
    <row r="927" spans="2:3" x14ac:dyDescent="0.2">
      <c r="B927" s="5"/>
      <c r="C927" s="14"/>
    </row>
    <row r="928" spans="2:3" x14ac:dyDescent="0.2">
      <c r="B928" s="5"/>
      <c r="C928" s="14"/>
    </row>
    <row r="929" spans="2:3" x14ac:dyDescent="0.2">
      <c r="B929" s="5"/>
      <c r="C929" s="14"/>
    </row>
    <row r="930" spans="2:3" x14ac:dyDescent="0.2">
      <c r="B930" s="5"/>
      <c r="C930" s="14"/>
    </row>
    <row r="931" spans="2:3" x14ac:dyDescent="0.2">
      <c r="B931" s="5"/>
      <c r="C931" s="14"/>
    </row>
    <row r="932" spans="2:3" x14ac:dyDescent="0.2">
      <c r="B932" s="5"/>
      <c r="C932" s="14"/>
    </row>
    <row r="933" spans="2:3" x14ac:dyDescent="0.2">
      <c r="B933" s="5"/>
      <c r="C933" s="14"/>
    </row>
    <row r="934" spans="2:3" x14ac:dyDescent="0.2">
      <c r="B934" s="5"/>
      <c r="C934" s="14"/>
    </row>
    <row r="935" spans="2:3" x14ac:dyDescent="0.2">
      <c r="B935" s="5"/>
      <c r="C935" s="14"/>
    </row>
    <row r="936" spans="2:3" x14ac:dyDescent="0.2">
      <c r="B936" s="5"/>
      <c r="C936" s="14"/>
    </row>
    <row r="937" spans="2:3" x14ac:dyDescent="0.2">
      <c r="B937" s="5"/>
      <c r="C937" s="14"/>
    </row>
    <row r="938" spans="2:3" x14ac:dyDescent="0.2">
      <c r="B938" s="5"/>
      <c r="C938" s="14"/>
    </row>
    <row r="939" spans="2:3" x14ac:dyDescent="0.2">
      <c r="B939" s="5"/>
      <c r="C939" s="14"/>
    </row>
    <row r="940" spans="2:3" x14ac:dyDescent="0.2">
      <c r="B940" s="5"/>
      <c r="C940" s="14"/>
    </row>
    <row r="941" spans="2:3" x14ac:dyDescent="0.2">
      <c r="B941" s="5"/>
      <c r="C941" s="14"/>
    </row>
    <row r="942" spans="2:3" x14ac:dyDescent="0.2">
      <c r="B942" s="5"/>
      <c r="C942" s="14"/>
    </row>
    <row r="943" spans="2:3" x14ac:dyDescent="0.2">
      <c r="B943" s="5"/>
      <c r="C943" s="14"/>
    </row>
    <row r="944" spans="2:3" x14ac:dyDescent="0.2">
      <c r="B944" s="5"/>
      <c r="C944" s="14"/>
    </row>
    <row r="945" spans="2:3" x14ac:dyDescent="0.2">
      <c r="B945" s="5"/>
      <c r="C945" s="14"/>
    </row>
    <row r="946" spans="2:3" x14ac:dyDescent="0.2">
      <c r="B946" s="5"/>
      <c r="C946" s="14"/>
    </row>
    <row r="947" spans="2:3" x14ac:dyDescent="0.2">
      <c r="B947" s="5"/>
      <c r="C947" s="14"/>
    </row>
    <row r="948" spans="2:3" x14ac:dyDescent="0.2">
      <c r="B948" s="5"/>
      <c r="C948" s="14"/>
    </row>
    <row r="949" spans="2:3" x14ac:dyDescent="0.2">
      <c r="B949" s="5"/>
      <c r="C949" s="14"/>
    </row>
    <row r="950" spans="2:3" x14ac:dyDescent="0.2">
      <c r="B950" s="5"/>
      <c r="C950" s="14"/>
    </row>
    <row r="951" spans="2:3" x14ac:dyDescent="0.2">
      <c r="B951" s="5"/>
      <c r="C951" s="14"/>
    </row>
    <row r="952" spans="2:3" x14ac:dyDescent="0.2">
      <c r="B952" s="5"/>
      <c r="C952" s="14"/>
    </row>
    <row r="953" spans="2:3" x14ac:dyDescent="0.2">
      <c r="B953" s="5"/>
      <c r="C953" s="14"/>
    </row>
    <row r="954" spans="2:3" x14ac:dyDescent="0.2">
      <c r="B954" s="5"/>
      <c r="C954" s="14"/>
    </row>
    <row r="955" spans="2:3" x14ac:dyDescent="0.2">
      <c r="B955" s="5"/>
      <c r="C955" s="14"/>
    </row>
    <row r="956" spans="2:3" x14ac:dyDescent="0.2">
      <c r="B956" s="5"/>
      <c r="C956" s="14"/>
    </row>
    <row r="957" spans="2:3" x14ac:dyDescent="0.2">
      <c r="B957" s="5"/>
      <c r="C957" s="14"/>
    </row>
    <row r="958" spans="2:3" x14ac:dyDescent="0.2">
      <c r="B958" s="5"/>
      <c r="C958" s="14"/>
    </row>
    <row r="959" spans="2:3" x14ac:dyDescent="0.2">
      <c r="B959" s="5"/>
      <c r="C959" s="14"/>
    </row>
    <row r="960" spans="2:3" x14ac:dyDescent="0.2">
      <c r="B960" s="5"/>
      <c r="C960" s="14"/>
    </row>
    <row r="961" spans="2:3" x14ac:dyDescent="0.2">
      <c r="B961" s="5"/>
      <c r="C961" s="14"/>
    </row>
    <row r="962" spans="2:3" x14ac:dyDescent="0.2">
      <c r="B962" s="5"/>
      <c r="C962" s="14"/>
    </row>
    <row r="963" spans="2:3" x14ac:dyDescent="0.2">
      <c r="B963" s="5"/>
      <c r="C963" s="14"/>
    </row>
    <row r="964" spans="2:3" x14ac:dyDescent="0.2">
      <c r="B964" s="5"/>
      <c r="C964" s="14"/>
    </row>
    <row r="965" spans="2:3" x14ac:dyDescent="0.2">
      <c r="B965" s="5"/>
      <c r="C965" s="14"/>
    </row>
    <row r="966" spans="2:3" x14ac:dyDescent="0.2">
      <c r="B966" s="5"/>
      <c r="C966" s="14"/>
    </row>
    <row r="967" spans="2:3" x14ac:dyDescent="0.2">
      <c r="B967" s="5"/>
      <c r="C967" s="14"/>
    </row>
    <row r="968" spans="2:3" x14ac:dyDescent="0.2">
      <c r="B968" s="5"/>
      <c r="C968" s="14"/>
    </row>
    <row r="969" spans="2:3" x14ac:dyDescent="0.2">
      <c r="B969" s="5"/>
      <c r="C969" s="14"/>
    </row>
    <row r="970" spans="2:3" x14ac:dyDescent="0.2">
      <c r="B970" s="5"/>
      <c r="C970" s="14"/>
    </row>
    <row r="971" spans="2:3" x14ac:dyDescent="0.2">
      <c r="B971" s="5"/>
      <c r="C971" s="14"/>
    </row>
    <row r="972" spans="2:3" x14ac:dyDescent="0.2">
      <c r="B972" s="5"/>
      <c r="C972" s="14"/>
    </row>
    <row r="973" spans="2:3" x14ac:dyDescent="0.2">
      <c r="B973" s="5"/>
      <c r="C973" s="14"/>
    </row>
    <row r="974" spans="2:3" x14ac:dyDescent="0.2">
      <c r="B974" s="5"/>
      <c r="C974" s="14"/>
    </row>
    <row r="975" spans="2:3" x14ac:dyDescent="0.2">
      <c r="B975" s="5"/>
      <c r="C975" s="14"/>
    </row>
    <row r="976" spans="2:3" x14ac:dyDescent="0.2">
      <c r="B976" s="5"/>
      <c r="C976" s="14"/>
    </row>
    <row r="977" spans="2:3" x14ac:dyDescent="0.2">
      <c r="B977" s="5"/>
      <c r="C977" s="14"/>
    </row>
    <row r="978" spans="2:3" x14ac:dyDescent="0.2">
      <c r="B978" s="5"/>
      <c r="C978" s="14"/>
    </row>
    <row r="979" spans="2:3" x14ac:dyDescent="0.2">
      <c r="B979" s="5"/>
      <c r="C979" s="14"/>
    </row>
    <row r="980" spans="2:3" x14ac:dyDescent="0.2">
      <c r="B980" s="5"/>
      <c r="C980" s="14"/>
    </row>
    <row r="981" spans="2:3" x14ac:dyDescent="0.2">
      <c r="B981" s="5"/>
      <c r="C981" s="14"/>
    </row>
    <row r="982" spans="2:3" x14ac:dyDescent="0.2">
      <c r="B982" s="5"/>
      <c r="C982" s="14"/>
    </row>
    <row r="983" spans="2:3" x14ac:dyDescent="0.2">
      <c r="B983" s="5"/>
      <c r="C983" s="14"/>
    </row>
    <row r="984" spans="2:3" x14ac:dyDescent="0.2">
      <c r="B984" s="5"/>
      <c r="C984" s="14"/>
    </row>
    <row r="985" spans="2:3" x14ac:dyDescent="0.2">
      <c r="B985" s="5"/>
      <c r="C985" s="14"/>
    </row>
    <row r="986" spans="2:3" x14ac:dyDescent="0.2">
      <c r="B986" s="5"/>
      <c r="C986" s="14"/>
    </row>
    <row r="987" spans="2:3" x14ac:dyDescent="0.2">
      <c r="B987" s="5"/>
      <c r="C987" s="14"/>
    </row>
    <row r="988" spans="2:3" x14ac:dyDescent="0.2">
      <c r="B988" s="5"/>
      <c r="C988" s="14"/>
    </row>
    <row r="989" spans="2:3" x14ac:dyDescent="0.2">
      <c r="B989" s="5"/>
      <c r="C989" s="14"/>
    </row>
    <row r="990" spans="2:3" x14ac:dyDescent="0.2">
      <c r="B990" s="5"/>
      <c r="C990" s="14"/>
    </row>
    <row r="991" spans="2:3" x14ac:dyDescent="0.2">
      <c r="B991" s="5"/>
      <c r="C991" s="14"/>
    </row>
    <row r="992" spans="2:3" x14ac:dyDescent="0.2">
      <c r="B992" s="5"/>
      <c r="C992" s="14"/>
    </row>
    <row r="993" spans="2:3" x14ac:dyDescent="0.2">
      <c r="B993" s="5"/>
      <c r="C993" s="14"/>
    </row>
    <row r="994" spans="2:3" x14ac:dyDescent="0.2">
      <c r="B994" s="5"/>
      <c r="C994" s="14"/>
    </row>
    <row r="995" spans="2:3" x14ac:dyDescent="0.2">
      <c r="B995" s="5"/>
      <c r="C995" s="14"/>
    </row>
    <row r="996" spans="2:3" x14ac:dyDescent="0.2">
      <c r="B996" s="5"/>
      <c r="C996" s="14"/>
    </row>
    <row r="997" spans="2:3" x14ac:dyDescent="0.2">
      <c r="B997" s="5"/>
      <c r="C997" s="14"/>
    </row>
    <row r="998" spans="2:3" x14ac:dyDescent="0.2">
      <c r="B998" s="5"/>
      <c r="C998" s="14"/>
    </row>
    <row r="999" spans="2:3" x14ac:dyDescent="0.2">
      <c r="B999" s="5"/>
      <c r="C999" s="14"/>
    </row>
    <row r="1000" spans="2:3" x14ac:dyDescent="0.2">
      <c r="B1000" s="5"/>
      <c r="C1000" s="14"/>
    </row>
    <row r="1001" spans="2:3" x14ac:dyDescent="0.2">
      <c r="B1001" s="5"/>
      <c r="C1001" s="14"/>
    </row>
    <row r="1002" spans="2:3" x14ac:dyDescent="0.2">
      <c r="B1002" s="5"/>
      <c r="C1002" s="14"/>
    </row>
    <row r="1003" spans="2:3" x14ac:dyDescent="0.2">
      <c r="B1003" s="5"/>
      <c r="C1003" s="14"/>
    </row>
    <row r="1004" spans="2:3" x14ac:dyDescent="0.2">
      <c r="B1004" s="5"/>
      <c r="C1004" s="14"/>
    </row>
    <row r="1005" spans="2:3" x14ac:dyDescent="0.2">
      <c r="B1005" s="5"/>
      <c r="C1005" s="14"/>
    </row>
    <row r="1006" spans="2:3" x14ac:dyDescent="0.2">
      <c r="B1006" s="5"/>
      <c r="C1006" s="14"/>
    </row>
    <row r="1007" spans="2:3" x14ac:dyDescent="0.2">
      <c r="B1007" s="5"/>
      <c r="C1007" s="14"/>
    </row>
    <row r="1008" spans="2:3" x14ac:dyDescent="0.2">
      <c r="B1008" s="5"/>
      <c r="C1008" s="14"/>
    </row>
    <row r="1009" spans="2:3" x14ac:dyDescent="0.2">
      <c r="B1009" s="5"/>
      <c r="C1009" s="14"/>
    </row>
    <row r="1010" spans="2:3" x14ac:dyDescent="0.2">
      <c r="B1010" s="5"/>
      <c r="C1010" s="14"/>
    </row>
    <row r="1011" spans="2:3" x14ac:dyDescent="0.2">
      <c r="B1011" s="5"/>
      <c r="C1011" s="14"/>
    </row>
    <row r="1012" spans="2:3" x14ac:dyDescent="0.2">
      <c r="B1012" s="5"/>
      <c r="C1012" s="14"/>
    </row>
    <row r="1013" spans="2:3" x14ac:dyDescent="0.2">
      <c r="B1013" s="5"/>
      <c r="C1013" s="14"/>
    </row>
    <row r="1014" spans="2:3" x14ac:dyDescent="0.2">
      <c r="B1014" s="5"/>
      <c r="C1014" s="14"/>
    </row>
    <row r="1015" spans="2:3" x14ac:dyDescent="0.2">
      <c r="B1015" s="5"/>
      <c r="C1015" s="14"/>
    </row>
    <row r="1016" spans="2:3" x14ac:dyDescent="0.2">
      <c r="B1016" s="5"/>
      <c r="C1016" s="14"/>
    </row>
    <row r="1017" spans="2:3" x14ac:dyDescent="0.2">
      <c r="B1017" s="5"/>
      <c r="C1017" s="14"/>
    </row>
    <row r="1018" spans="2:3" x14ac:dyDescent="0.2">
      <c r="B1018" s="5"/>
      <c r="C1018" s="14"/>
    </row>
    <row r="1019" spans="2:3" x14ac:dyDescent="0.2">
      <c r="B1019" s="5"/>
      <c r="C1019" s="14"/>
    </row>
    <row r="1020" spans="2:3" x14ac:dyDescent="0.2">
      <c r="B1020" s="5"/>
      <c r="C1020" s="14"/>
    </row>
    <row r="1021" spans="2:3" x14ac:dyDescent="0.2">
      <c r="B1021" s="5"/>
      <c r="C1021" s="14"/>
    </row>
    <row r="1022" spans="2:3" x14ac:dyDescent="0.2">
      <c r="B1022" s="5"/>
      <c r="C1022" s="14"/>
    </row>
    <row r="1023" spans="2:3" x14ac:dyDescent="0.2">
      <c r="B1023" s="5"/>
      <c r="C1023" s="14"/>
    </row>
    <row r="1024" spans="2:3" x14ac:dyDescent="0.2">
      <c r="B1024" s="5"/>
      <c r="C1024" s="14"/>
    </row>
    <row r="1025" spans="2:3" x14ac:dyDescent="0.2">
      <c r="B1025" s="5"/>
      <c r="C1025" s="14"/>
    </row>
    <row r="1026" spans="2:3" x14ac:dyDescent="0.2">
      <c r="B1026" s="5"/>
      <c r="C1026" s="14"/>
    </row>
    <row r="1027" spans="2:3" x14ac:dyDescent="0.2">
      <c r="B1027" s="5"/>
      <c r="C1027" s="14"/>
    </row>
    <row r="1028" spans="2:3" x14ac:dyDescent="0.2">
      <c r="B1028" s="5"/>
      <c r="C1028" s="14"/>
    </row>
    <row r="1029" spans="2:3" x14ac:dyDescent="0.2">
      <c r="B1029" s="5"/>
      <c r="C1029" s="14"/>
    </row>
    <row r="1030" spans="2:3" x14ac:dyDescent="0.2">
      <c r="B1030" s="5"/>
      <c r="C1030" s="14"/>
    </row>
    <row r="1031" spans="2:3" x14ac:dyDescent="0.2">
      <c r="B1031" s="5"/>
      <c r="C1031" s="14"/>
    </row>
    <row r="1032" spans="2:3" x14ac:dyDescent="0.2">
      <c r="B1032" s="5"/>
      <c r="C1032" s="14"/>
    </row>
    <row r="1033" spans="2:3" x14ac:dyDescent="0.2">
      <c r="B1033" s="5"/>
      <c r="C1033" s="14"/>
    </row>
    <row r="1034" spans="2:3" x14ac:dyDescent="0.2">
      <c r="B1034" s="5"/>
      <c r="C1034" s="14"/>
    </row>
    <row r="1035" spans="2:3" x14ac:dyDescent="0.2">
      <c r="B1035" s="5"/>
      <c r="C1035" s="14"/>
    </row>
    <row r="1036" spans="2:3" x14ac:dyDescent="0.2">
      <c r="B1036" s="5"/>
      <c r="C1036" s="14"/>
    </row>
    <row r="1037" spans="2:3" x14ac:dyDescent="0.2">
      <c r="B1037" s="5"/>
      <c r="C1037" s="14"/>
    </row>
    <row r="1038" spans="2:3" x14ac:dyDescent="0.2">
      <c r="B1038" s="5"/>
      <c r="C1038" s="14"/>
    </row>
    <row r="1039" spans="2:3" x14ac:dyDescent="0.2">
      <c r="B1039" s="5"/>
      <c r="C1039" s="14"/>
    </row>
    <row r="1040" spans="2:3" x14ac:dyDescent="0.2">
      <c r="B1040" s="5"/>
      <c r="C1040" s="14"/>
    </row>
    <row r="1041" spans="2:3" x14ac:dyDescent="0.2">
      <c r="B1041" s="5"/>
      <c r="C1041" s="14"/>
    </row>
    <row r="1042" spans="2:3" x14ac:dyDescent="0.2">
      <c r="B1042" s="5"/>
      <c r="C1042" s="14"/>
    </row>
    <row r="1043" spans="2:3" x14ac:dyDescent="0.2">
      <c r="B1043" s="5"/>
      <c r="C1043" s="14"/>
    </row>
    <row r="1044" spans="2:3" x14ac:dyDescent="0.2">
      <c r="B1044" s="5"/>
      <c r="C1044" s="14"/>
    </row>
    <row r="1045" spans="2:3" x14ac:dyDescent="0.2">
      <c r="B1045" s="5"/>
      <c r="C1045" s="14"/>
    </row>
    <row r="1046" spans="2:3" x14ac:dyDescent="0.2">
      <c r="B1046" s="5"/>
      <c r="C1046" s="14"/>
    </row>
    <row r="1047" spans="2:3" x14ac:dyDescent="0.2">
      <c r="B1047" s="5"/>
      <c r="C1047" s="14"/>
    </row>
    <row r="1048" spans="2:3" x14ac:dyDescent="0.2">
      <c r="B1048" s="5"/>
      <c r="C1048" s="14"/>
    </row>
    <row r="1049" spans="2:3" x14ac:dyDescent="0.2">
      <c r="B1049" s="5"/>
      <c r="C1049" s="14"/>
    </row>
    <row r="1050" spans="2:3" x14ac:dyDescent="0.2">
      <c r="B1050" s="5"/>
      <c r="C1050" s="14"/>
    </row>
    <row r="1051" spans="2:3" x14ac:dyDescent="0.2">
      <c r="B1051" s="5"/>
      <c r="C1051" s="14"/>
    </row>
    <row r="1052" spans="2:3" x14ac:dyDescent="0.2">
      <c r="B1052" s="5"/>
      <c r="C1052" s="14"/>
    </row>
    <row r="1053" spans="2:3" x14ac:dyDescent="0.2">
      <c r="B1053" s="5"/>
      <c r="C1053" s="14"/>
    </row>
    <row r="1054" spans="2:3" x14ac:dyDescent="0.2">
      <c r="B1054" s="5"/>
      <c r="C1054" s="14"/>
    </row>
    <row r="1055" spans="2:3" x14ac:dyDescent="0.2">
      <c r="B1055" s="5"/>
      <c r="C1055" s="14"/>
    </row>
    <row r="1056" spans="2:3" x14ac:dyDescent="0.2">
      <c r="B1056" s="5"/>
      <c r="C1056" s="14"/>
    </row>
    <row r="1057" spans="2:3" x14ac:dyDescent="0.2">
      <c r="B1057" s="5"/>
      <c r="C1057" s="14"/>
    </row>
    <row r="1058" spans="2:3" x14ac:dyDescent="0.2">
      <c r="B1058" s="5"/>
      <c r="C1058" s="14"/>
    </row>
    <row r="1059" spans="2:3" x14ac:dyDescent="0.2">
      <c r="B1059" s="5"/>
      <c r="C1059" s="14"/>
    </row>
    <row r="1060" spans="2:3" x14ac:dyDescent="0.2">
      <c r="B1060" s="5"/>
      <c r="C1060" s="14"/>
    </row>
    <row r="1061" spans="2:3" x14ac:dyDescent="0.2">
      <c r="B1061" s="5"/>
      <c r="C1061" s="14"/>
    </row>
    <row r="1062" spans="2:3" x14ac:dyDescent="0.2">
      <c r="B1062" s="5"/>
      <c r="C1062" s="14"/>
    </row>
    <row r="1063" spans="2:3" x14ac:dyDescent="0.2">
      <c r="B1063" s="5"/>
      <c r="C1063" s="14"/>
    </row>
    <row r="1064" spans="2:3" x14ac:dyDescent="0.2">
      <c r="B1064" s="5"/>
      <c r="C1064" s="14"/>
    </row>
    <row r="1065" spans="2:3" x14ac:dyDescent="0.2">
      <c r="B1065" s="5"/>
      <c r="C1065" s="14"/>
    </row>
    <row r="1066" spans="2:3" x14ac:dyDescent="0.2">
      <c r="B1066" s="5"/>
      <c r="C1066" s="14"/>
    </row>
    <row r="1067" spans="2:3" x14ac:dyDescent="0.2">
      <c r="B1067" s="5"/>
      <c r="C1067" s="14"/>
    </row>
    <row r="1068" spans="2:3" x14ac:dyDescent="0.2">
      <c r="B1068" s="5"/>
      <c r="C1068" s="14"/>
    </row>
    <row r="1069" spans="2:3" x14ac:dyDescent="0.2">
      <c r="B1069" s="5"/>
      <c r="C1069" s="14"/>
    </row>
    <row r="1070" spans="2:3" x14ac:dyDescent="0.2">
      <c r="B1070" s="5"/>
      <c r="C1070" s="14"/>
    </row>
    <row r="1071" spans="2:3" x14ac:dyDescent="0.2">
      <c r="B1071" s="5"/>
      <c r="C1071" s="14"/>
    </row>
    <row r="1072" spans="2:3" x14ac:dyDescent="0.2">
      <c r="B1072" s="5"/>
      <c r="C1072" s="14"/>
    </row>
    <row r="1073" spans="2:3" x14ac:dyDescent="0.2">
      <c r="B1073" s="5"/>
      <c r="C1073" s="14"/>
    </row>
    <row r="1074" spans="2:3" x14ac:dyDescent="0.2">
      <c r="B1074" s="5"/>
      <c r="C1074" s="14"/>
    </row>
    <row r="1075" spans="2:3" x14ac:dyDescent="0.2">
      <c r="B1075" s="5"/>
      <c r="C1075" s="14"/>
    </row>
    <row r="1076" spans="2:3" x14ac:dyDescent="0.2">
      <c r="B1076" s="5"/>
      <c r="C1076" s="14"/>
    </row>
    <row r="1077" spans="2:3" x14ac:dyDescent="0.2">
      <c r="B1077" s="5"/>
      <c r="C1077" s="14"/>
    </row>
    <row r="1078" spans="2:3" x14ac:dyDescent="0.2">
      <c r="B1078" s="5"/>
      <c r="C1078" s="14"/>
    </row>
    <row r="1079" spans="2:3" x14ac:dyDescent="0.2">
      <c r="B1079" s="5"/>
      <c r="C1079" s="14"/>
    </row>
    <row r="1080" spans="2:3" x14ac:dyDescent="0.2">
      <c r="B1080" s="5"/>
      <c r="C1080" s="14"/>
    </row>
    <row r="1081" spans="2:3" x14ac:dyDescent="0.2">
      <c r="B1081" s="5"/>
      <c r="C1081" s="14"/>
    </row>
    <row r="1082" spans="2:3" x14ac:dyDescent="0.2">
      <c r="B1082" s="5"/>
      <c r="C1082" s="14"/>
    </row>
    <row r="1083" spans="2:3" x14ac:dyDescent="0.2">
      <c r="B1083" s="5"/>
      <c r="C1083" s="14"/>
    </row>
    <row r="1084" spans="2:3" x14ac:dyDescent="0.2">
      <c r="B1084" s="5"/>
      <c r="C1084" s="14"/>
    </row>
    <row r="1085" spans="2:3" x14ac:dyDescent="0.2">
      <c r="B1085" s="5"/>
      <c r="C1085" s="14"/>
    </row>
    <row r="1086" spans="2:3" x14ac:dyDescent="0.2">
      <c r="B1086" s="5"/>
      <c r="C1086" s="14"/>
    </row>
    <row r="1087" spans="2:3" x14ac:dyDescent="0.2">
      <c r="B1087" s="5"/>
      <c r="C1087" s="14"/>
    </row>
    <row r="1088" spans="2:3" x14ac:dyDescent="0.2">
      <c r="B1088" s="5"/>
      <c r="C1088" s="14"/>
    </row>
    <row r="1089" spans="2:3" x14ac:dyDescent="0.2">
      <c r="B1089" s="5"/>
      <c r="C1089" s="14"/>
    </row>
    <row r="1090" spans="2:3" x14ac:dyDescent="0.2">
      <c r="B1090" s="5"/>
      <c r="C1090" s="14"/>
    </row>
    <row r="1091" spans="2:3" x14ac:dyDescent="0.2">
      <c r="B1091" s="5"/>
      <c r="C1091" s="14"/>
    </row>
    <row r="1092" spans="2:3" x14ac:dyDescent="0.2">
      <c r="B1092" s="5"/>
      <c r="C1092" s="14"/>
    </row>
    <row r="1093" spans="2:3" x14ac:dyDescent="0.2">
      <c r="B1093" s="5"/>
      <c r="C1093" s="14"/>
    </row>
    <row r="1094" spans="2:3" x14ac:dyDescent="0.2">
      <c r="B1094" s="5"/>
      <c r="C1094" s="14"/>
    </row>
    <row r="1095" spans="2:3" x14ac:dyDescent="0.2">
      <c r="B1095" s="5"/>
      <c r="C1095" s="14"/>
    </row>
    <row r="1096" spans="2:3" x14ac:dyDescent="0.2">
      <c r="B1096" s="5"/>
      <c r="C1096" s="14"/>
    </row>
    <row r="1097" spans="2:3" x14ac:dyDescent="0.2">
      <c r="B1097" s="5"/>
      <c r="C1097" s="14"/>
    </row>
    <row r="1098" spans="2:3" x14ac:dyDescent="0.2">
      <c r="B1098" s="5"/>
      <c r="C1098" s="14"/>
    </row>
    <row r="1099" spans="2:3" x14ac:dyDescent="0.2">
      <c r="B1099" s="5"/>
      <c r="C1099" s="14"/>
    </row>
    <row r="1100" spans="2:3" x14ac:dyDescent="0.2">
      <c r="B1100" s="5"/>
      <c r="C1100" s="14"/>
    </row>
    <row r="1101" spans="2:3" x14ac:dyDescent="0.2">
      <c r="B1101" s="5"/>
      <c r="C1101" s="14"/>
    </row>
    <row r="1102" spans="2:3" x14ac:dyDescent="0.2">
      <c r="B1102" s="5"/>
      <c r="C1102" s="14"/>
    </row>
    <row r="1103" spans="2:3" x14ac:dyDescent="0.2">
      <c r="B1103" s="5"/>
      <c r="C1103" s="14"/>
    </row>
    <row r="1104" spans="2:3" x14ac:dyDescent="0.2">
      <c r="B1104" s="5"/>
      <c r="C1104" s="14"/>
    </row>
    <row r="1105" spans="2:3" x14ac:dyDescent="0.2">
      <c r="B1105" s="5"/>
      <c r="C1105" s="14"/>
    </row>
    <row r="1106" spans="2:3" x14ac:dyDescent="0.2">
      <c r="B1106" s="5"/>
      <c r="C1106" s="14"/>
    </row>
    <row r="1107" spans="2:3" x14ac:dyDescent="0.2">
      <c r="B1107" s="5"/>
      <c r="C1107" s="14"/>
    </row>
    <row r="1108" spans="2:3" x14ac:dyDescent="0.2">
      <c r="B1108" s="5"/>
      <c r="C1108" s="14"/>
    </row>
    <row r="1109" spans="2:3" x14ac:dyDescent="0.2">
      <c r="B1109" s="5"/>
      <c r="C1109" s="14"/>
    </row>
    <row r="1110" spans="2:3" x14ac:dyDescent="0.2">
      <c r="B1110" s="5"/>
      <c r="C1110" s="14"/>
    </row>
    <row r="1111" spans="2:3" x14ac:dyDescent="0.2">
      <c r="B1111" s="5"/>
      <c r="C1111" s="14"/>
    </row>
    <row r="1112" spans="2:3" x14ac:dyDescent="0.2">
      <c r="B1112" s="5"/>
      <c r="C1112" s="14"/>
    </row>
    <row r="1113" spans="2:3" x14ac:dyDescent="0.2">
      <c r="B1113" s="5"/>
      <c r="C1113" s="14"/>
    </row>
    <row r="1114" spans="2:3" x14ac:dyDescent="0.2">
      <c r="B1114" s="5"/>
      <c r="C1114" s="14"/>
    </row>
    <row r="1115" spans="2:3" x14ac:dyDescent="0.2">
      <c r="B1115" s="5"/>
      <c r="C1115" s="14"/>
    </row>
    <row r="1116" spans="2:3" x14ac:dyDescent="0.2">
      <c r="B1116" s="5"/>
      <c r="C1116" s="14"/>
    </row>
    <row r="1117" spans="2:3" x14ac:dyDescent="0.2">
      <c r="B1117" s="5"/>
      <c r="C1117" s="14"/>
    </row>
    <row r="1118" spans="2:3" x14ac:dyDescent="0.2">
      <c r="B1118" s="5"/>
      <c r="C1118" s="14"/>
    </row>
    <row r="1119" spans="2:3" x14ac:dyDescent="0.2">
      <c r="B1119" s="5"/>
      <c r="C1119" s="14"/>
    </row>
    <row r="1120" spans="2:3" x14ac:dyDescent="0.2">
      <c r="B1120" s="5"/>
      <c r="C1120" s="14"/>
    </row>
    <row r="1121" spans="2:3" x14ac:dyDescent="0.2">
      <c r="B1121" s="5"/>
      <c r="C1121" s="14"/>
    </row>
    <row r="1122" spans="2:3" x14ac:dyDescent="0.2">
      <c r="B1122" s="5"/>
      <c r="C1122" s="14"/>
    </row>
    <row r="1123" spans="2:3" x14ac:dyDescent="0.2">
      <c r="B1123" s="5"/>
      <c r="C1123" s="14"/>
    </row>
    <row r="1124" spans="2:3" x14ac:dyDescent="0.2">
      <c r="B1124" s="5"/>
      <c r="C1124" s="14"/>
    </row>
    <row r="1125" spans="2:3" x14ac:dyDescent="0.2">
      <c r="B1125" s="5"/>
      <c r="C1125" s="14"/>
    </row>
    <row r="1126" spans="2:3" x14ac:dyDescent="0.2">
      <c r="B1126" s="5"/>
      <c r="C1126" s="14"/>
    </row>
    <row r="1127" spans="2:3" x14ac:dyDescent="0.2">
      <c r="B1127" s="5"/>
      <c r="C1127" s="14"/>
    </row>
    <row r="1128" spans="2:3" x14ac:dyDescent="0.2">
      <c r="B1128" s="5"/>
      <c r="C1128" s="14"/>
    </row>
    <row r="1129" spans="2:3" x14ac:dyDescent="0.2">
      <c r="B1129" s="5"/>
      <c r="C1129" s="14"/>
    </row>
    <row r="1130" spans="2:3" x14ac:dyDescent="0.2">
      <c r="B1130" s="5"/>
      <c r="C1130" s="14"/>
    </row>
    <row r="1131" spans="2:3" x14ac:dyDescent="0.2">
      <c r="B1131" s="5"/>
      <c r="C1131" s="14"/>
    </row>
    <row r="1132" spans="2:3" x14ac:dyDescent="0.2">
      <c r="B1132" s="5"/>
      <c r="C1132" s="14"/>
    </row>
    <row r="1133" spans="2:3" x14ac:dyDescent="0.2">
      <c r="B1133" s="5"/>
      <c r="C1133" s="14"/>
    </row>
    <row r="1134" spans="2:3" x14ac:dyDescent="0.2">
      <c r="B1134" s="5"/>
      <c r="C1134" s="14"/>
    </row>
    <row r="1135" spans="2:3" x14ac:dyDescent="0.2">
      <c r="B1135" s="5"/>
      <c r="C1135" s="14"/>
    </row>
    <row r="1136" spans="2:3" x14ac:dyDescent="0.2">
      <c r="B1136" s="5"/>
      <c r="C1136" s="14"/>
    </row>
    <row r="1137" spans="2:3" x14ac:dyDescent="0.2">
      <c r="B1137" s="5"/>
      <c r="C1137" s="14"/>
    </row>
    <row r="1138" spans="2:3" x14ac:dyDescent="0.2">
      <c r="B1138" s="5"/>
      <c r="C1138" s="14"/>
    </row>
    <row r="1139" spans="2:3" x14ac:dyDescent="0.2">
      <c r="B1139" s="5"/>
      <c r="C1139" s="14"/>
    </row>
    <row r="1140" spans="2:3" x14ac:dyDescent="0.2">
      <c r="B1140" s="5"/>
      <c r="C1140" s="14"/>
    </row>
    <row r="1141" spans="2:3" x14ac:dyDescent="0.2">
      <c r="B1141" s="5"/>
      <c r="C1141" s="14"/>
    </row>
    <row r="1142" spans="2:3" x14ac:dyDescent="0.2">
      <c r="B1142" s="5"/>
      <c r="C1142" s="14"/>
    </row>
    <row r="1143" spans="2:3" x14ac:dyDescent="0.2">
      <c r="B1143" s="5"/>
      <c r="C1143" s="14"/>
    </row>
    <row r="1144" spans="2:3" x14ac:dyDescent="0.2">
      <c r="B1144" s="5"/>
      <c r="C1144" s="14"/>
    </row>
    <row r="1145" spans="2:3" x14ac:dyDescent="0.2">
      <c r="B1145" s="5"/>
      <c r="C1145" s="14"/>
    </row>
    <row r="1146" spans="2:3" x14ac:dyDescent="0.2">
      <c r="B1146" s="5"/>
      <c r="C1146" s="14"/>
    </row>
    <row r="1147" spans="2:3" x14ac:dyDescent="0.2">
      <c r="B1147" s="5"/>
      <c r="C1147" s="14"/>
    </row>
    <row r="1148" spans="2:3" x14ac:dyDescent="0.2">
      <c r="B1148" s="5"/>
      <c r="C1148" s="14"/>
    </row>
    <row r="1149" spans="2:3" x14ac:dyDescent="0.2">
      <c r="B1149" s="5"/>
      <c r="C1149" s="14"/>
    </row>
    <row r="1150" spans="2:3" x14ac:dyDescent="0.2">
      <c r="B1150" s="5"/>
      <c r="C1150" s="14"/>
    </row>
    <row r="1151" spans="2:3" x14ac:dyDescent="0.2">
      <c r="B1151" s="5"/>
      <c r="C1151" s="14"/>
    </row>
    <row r="1152" spans="2:3" x14ac:dyDescent="0.2">
      <c r="B1152" s="5"/>
      <c r="C1152" s="14"/>
    </row>
    <row r="1153" spans="2:3" x14ac:dyDescent="0.2">
      <c r="B1153" s="5"/>
      <c r="C1153" s="14"/>
    </row>
    <row r="1154" spans="2:3" x14ac:dyDescent="0.2">
      <c r="B1154" s="5"/>
      <c r="C1154" s="14"/>
    </row>
    <row r="1155" spans="2:3" x14ac:dyDescent="0.2">
      <c r="B1155" s="5"/>
      <c r="C1155" s="14"/>
    </row>
    <row r="1156" spans="2:3" x14ac:dyDescent="0.2">
      <c r="B1156" s="5"/>
      <c r="C1156" s="14"/>
    </row>
    <row r="1157" spans="2:3" x14ac:dyDescent="0.2">
      <c r="B1157" s="5"/>
      <c r="C1157" s="14"/>
    </row>
    <row r="1158" spans="2:3" x14ac:dyDescent="0.2">
      <c r="B1158" s="5"/>
      <c r="C1158" s="14"/>
    </row>
    <row r="1159" spans="2:3" x14ac:dyDescent="0.2">
      <c r="B1159" s="5"/>
      <c r="C1159" s="14"/>
    </row>
    <row r="1160" spans="2:3" x14ac:dyDescent="0.2">
      <c r="B1160" s="5"/>
      <c r="C1160" s="14"/>
    </row>
    <row r="1161" spans="2:3" x14ac:dyDescent="0.2">
      <c r="B1161" s="5"/>
      <c r="C1161" s="14"/>
    </row>
    <row r="1162" spans="2:3" x14ac:dyDescent="0.2">
      <c r="B1162" s="5"/>
      <c r="C1162" s="14"/>
    </row>
    <row r="1163" spans="2:3" x14ac:dyDescent="0.2">
      <c r="B1163" s="5"/>
      <c r="C1163" s="14"/>
    </row>
    <row r="1164" spans="2:3" x14ac:dyDescent="0.2">
      <c r="B1164" s="5"/>
      <c r="C1164" s="14"/>
    </row>
    <row r="1165" spans="2:3" x14ac:dyDescent="0.2">
      <c r="B1165" s="5"/>
      <c r="C1165" s="14"/>
    </row>
    <row r="1166" spans="2:3" x14ac:dyDescent="0.2">
      <c r="B1166" s="5"/>
      <c r="C1166" s="14"/>
    </row>
    <row r="1167" spans="2:3" x14ac:dyDescent="0.2">
      <c r="B1167" s="5"/>
      <c r="C1167" s="14"/>
    </row>
    <row r="1168" spans="2:3" x14ac:dyDescent="0.2">
      <c r="B1168" s="5"/>
      <c r="C1168" s="14"/>
    </row>
    <row r="1169" spans="2:3" x14ac:dyDescent="0.2">
      <c r="B1169" s="5"/>
      <c r="C1169" s="14"/>
    </row>
    <row r="1170" spans="2:3" x14ac:dyDescent="0.2">
      <c r="B1170" s="5"/>
      <c r="C1170" s="14"/>
    </row>
    <row r="1171" spans="2:3" x14ac:dyDescent="0.2">
      <c r="B1171" s="5"/>
      <c r="C1171" s="14"/>
    </row>
    <row r="1172" spans="2:3" x14ac:dyDescent="0.2">
      <c r="B1172" s="5"/>
      <c r="C1172" s="14"/>
    </row>
    <row r="1173" spans="2:3" x14ac:dyDescent="0.2">
      <c r="B1173" s="5"/>
      <c r="C1173" s="14"/>
    </row>
    <row r="1174" spans="2:3" x14ac:dyDescent="0.2">
      <c r="B1174" s="5"/>
      <c r="C1174" s="14"/>
    </row>
    <row r="1175" spans="2:3" x14ac:dyDescent="0.2">
      <c r="B1175" s="5"/>
      <c r="C1175" s="14"/>
    </row>
    <row r="1176" spans="2:3" x14ac:dyDescent="0.2">
      <c r="B1176" s="5"/>
      <c r="C1176" s="14"/>
    </row>
    <row r="1177" spans="2:3" x14ac:dyDescent="0.2">
      <c r="B1177" s="5"/>
      <c r="C1177" s="14"/>
    </row>
    <row r="1178" spans="2:3" x14ac:dyDescent="0.2">
      <c r="B1178" s="5"/>
      <c r="C1178" s="14"/>
    </row>
    <row r="1179" spans="2:3" x14ac:dyDescent="0.2">
      <c r="B1179" s="5"/>
      <c r="C1179" s="14"/>
    </row>
    <row r="1180" spans="2:3" x14ac:dyDescent="0.2">
      <c r="B1180" s="5"/>
      <c r="C1180" s="14"/>
    </row>
    <row r="1181" spans="2:3" x14ac:dyDescent="0.2">
      <c r="B1181" s="5"/>
      <c r="C1181" s="14"/>
    </row>
    <row r="1182" spans="2:3" x14ac:dyDescent="0.2">
      <c r="B1182" s="5"/>
      <c r="C1182" s="14"/>
    </row>
    <row r="1183" spans="2:3" x14ac:dyDescent="0.2">
      <c r="B1183" s="5"/>
      <c r="C1183" s="14"/>
    </row>
    <row r="1184" spans="2:3" x14ac:dyDescent="0.2">
      <c r="B1184" s="5"/>
      <c r="C1184" s="14"/>
    </row>
    <row r="1185" spans="2:3" x14ac:dyDescent="0.2">
      <c r="B1185" s="5"/>
      <c r="C1185" s="14"/>
    </row>
    <row r="1186" spans="2:3" x14ac:dyDescent="0.2">
      <c r="B1186" s="5"/>
      <c r="C1186" s="14"/>
    </row>
    <row r="1187" spans="2:3" x14ac:dyDescent="0.2">
      <c r="B1187" s="5"/>
      <c r="C1187" s="14"/>
    </row>
    <row r="1188" spans="2:3" x14ac:dyDescent="0.2">
      <c r="B1188" s="5"/>
      <c r="C1188" s="14"/>
    </row>
    <row r="1189" spans="2:3" x14ac:dyDescent="0.2">
      <c r="B1189" s="5"/>
      <c r="C1189" s="14"/>
    </row>
    <row r="1190" spans="2:3" x14ac:dyDescent="0.2">
      <c r="B1190" s="5"/>
      <c r="C1190" s="14"/>
    </row>
    <row r="1191" spans="2:3" x14ac:dyDescent="0.2">
      <c r="B1191" s="5"/>
      <c r="C1191" s="14"/>
    </row>
    <row r="1192" spans="2:3" x14ac:dyDescent="0.2">
      <c r="B1192" s="5"/>
      <c r="C1192" s="14"/>
    </row>
    <row r="1193" spans="2:3" x14ac:dyDescent="0.2">
      <c r="B1193" s="5"/>
      <c r="C1193" s="14"/>
    </row>
    <row r="1194" spans="2:3" x14ac:dyDescent="0.2">
      <c r="B1194" s="5"/>
      <c r="C1194" s="14"/>
    </row>
    <row r="1195" spans="2:3" x14ac:dyDescent="0.2">
      <c r="B1195" s="5"/>
      <c r="C1195" s="14"/>
    </row>
    <row r="1196" spans="2:3" x14ac:dyDescent="0.2">
      <c r="B1196" s="5"/>
      <c r="C1196" s="14"/>
    </row>
    <row r="1197" spans="2:3" x14ac:dyDescent="0.2">
      <c r="B1197" s="5"/>
      <c r="C1197" s="14"/>
    </row>
    <row r="1198" spans="2:3" x14ac:dyDescent="0.2">
      <c r="B1198" s="5"/>
      <c r="C1198" s="14"/>
    </row>
    <row r="1199" spans="2:3" x14ac:dyDescent="0.2">
      <c r="B1199" s="5"/>
      <c r="C1199" s="14"/>
    </row>
    <row r="1200" spans="2:3" x14ac:dyDescent="0.2">
      <c r="B1200" s="5"/>
      <c r="C1200" s="14"/>
    </row>
    <row r="1201" spans="2:3" x14ac:dyDescent="0.2">
      <c r="B1201" s="5"/>
      <c r="C1201" s="14"/>
    </row>
    <row r="1202" spans="2:3" x14ac:dyDescent="0.2">
      <c r="B1202" s="5"/>
      <c r="C1202" s="14"/>
    </row>
    <row r="1203" spans="2:3" x14ac:dyDescent="0.2">
      <c r="B1203" s="5"/>
      <c r="C1203" s="14"/>
    </row>
    <row r="1204" spans="2:3" x14ac:dyDescent="0.2">
      <c r="B1204" s="5"/>
      <c r="C1204" s="14"/>
    </row>
    <row r="1205" spans="2:3" x14ac:dyDescent="0.2">
      <c r="B1205" s="5"/>
      <c r="C1205" s="14"/>
    </row>
    <row r="1206" spans="2:3" x14ac:dyDescent="0.2">
      <c r="B1206" s="5"/>
      <c r="C1206" s="14"/>
    </row>
    <row r="1207" spans="2:3" x14ac:dyDescent="0.2">
      <c r="B1207" s="5"/>
      <c r="C1207" s="14"/>
    </row>
    <row r="1208" spans="2:3" x14ac:dyDescent="0.2">
      <c r="B1208" s="5"/>
      <c r="C1208" s="14"/>
    </row>
    <row r="1209" spans="2:3" x14ac:dyDescent="0.2">
      <c r="B1209" s="5"/>
      <c r="C1209" s="14"/>
    </row>
    <row r="1210" spans="2:3" x14ac:dyDescent="0.2">
      <c r="B1210" s="5"/>
      <c r="C1210" s="14"/>
    </row>
    <row r="1211" spans="2:3" x14ac:dyDescent="0.2">
      <c r="B1211" s="5"/>
      <c r="C1211" s="14"/>
    </row>
    <row r="1212" spans="2:3" x14ac:dyDescent="0.2">
      <c r="B1212" s="5"/>
      <c r="C1212" s="14"/>
    </row>
    <row r="1213" spans="2:3" x14ac:dyDescent="0.2">
      <c r="B1213" s="5"/>
      <c r="C1213" s="14"/>
    </row>
    <row r="1214" spans="2:3" x14ac:dyDescent="0.2">
      <c r="B1214" s="5"/>
      <c r="C1214" s="14"/>
    </row>
    <row r="1215" spans="2:3" x14ac:dyDescent="0.2">
      <c r="B1215" s="5"/>
      <c r="C1215" s="14"/>
    </row>
    <row r="1216" spans="2:3" x14ac:dyDescent="0.2">
      <c r="B1216" s="5"/>
      <c r="C1216" s="14"/>
    </row>
    <row r="1217" spans="2:3" x14ac:dyDescent="0.2">
      <c r="B1217" s="5"/>
      <c r="C1217" s="14"/>
    </row>
    <row r="1218" spans="2:3" x14ac:dyDescent="0.2">
      <c r="B1218" s="5"/>
      <c r="C1218" s="14"/>
    </row>
    <row r="1219" spans="2:3" x14ac:dyDescent="0.2">
      <c r="B1219" s="5"/>
      <c r="C1219" s="14"/>
    </row>
    <row r="1220" spans="2:3" x14ac:dyDescent="0.2">
      <c r="B1220" s="5"/>
      <c r="C1220" s="14"/>
    </row>
    <row r="1221" spans="2:3" x14ac:dyDescent="0.2">
      <c r="B1221" s="5"/>
      <c r="C1221" s="14"/>
    </row>
    <row r="1222" spans="2:3" x14ac:dyDescent="0.2">
      <c r="B1222" s="5"/>
      <c r="C1222" s="14"/>
    </row>
    <row r="1223" spans="2:3" x14ac:dyDescent="0.2">
      <c r="B1223" s="5"/>
      <c r="C1223" s="14"/>
    </row>
    <row r="1224" spans="2:3" x14ac:dyDescent="0.2">
      <c r="B1224" s="5"/>
      <c r="C1224" s="14"/>
    </row>
    <row r="1225" spans="2:3" x14ac:dyDescent="0.2">
      <c r="B1225" s="5"/>
      <c r="C1225" s="14"/>
    </row>
    <row r="1226" spans="2:3" x14ac:dyDescent="0.2">
      <c r="B1226" s="5"/>
      <c r="C1226" s="14"/>
    </row>
    <row r="1227" spans="2:3" x14ac:dyDescent="0.2">
      <c r="B1227" s="5"/>
      <c r="C1227" s="14"/>
    </row>
    <row r="1228" spans="2:3" x14ac:dyDescent="0.2">
      <c r="B1228" s="5"/>
      <c r="C1228" s="14"/>
    </row>
    <row r="1229" spans="2:3" x14ac:dyDescent="0.2">
      <c r="B1229" s="5"/>
      <c r="C1229" s="14"/>
    </row>
    <row r="1230" spans="2:3" x14ac:dyDescent="0.2">
      <c r="B1230" s="5"/>
      <c r="C1230" s="14"/>
    </row>
    <row r="1231" spans="2:3" x14ac:dyDescent="0.2">
      <c r="B1231" s="5"/>
      <c r="C1231" s="14"/>
    </row>
    <row r="1232" spans="2:3" x14ac:dyDescent="0.2">
      <c r="B1232" s="5"/>
      <c r="C1232" s="14"/>
    </row>
    <row r="1233" spans="2:3" x14ac:dyDescent="0.2">
      <c r="B1233" s="5"/>
      <c r="C1233" s="14"/>
    </row>
    <row r="1234" spans="2:3" x14ac:dyDescent="0.2">
      <c r="B1234" s="5"/>
      <c r="C1234" s="14"/>
    </row>
    <row r="1235" spans="2:3" x14ac:dyDescent="0.2">
      <c r="B1235" s="5"/>
      <c r="C1235" s="14"/>
    </row>
    <row r="1236" spans="2:3" x14ac:dyDescent="0.2">
      <c r="B1236" s="5"/>
      <c r="C1236" s="14"/>
    </row>
    <row r="1237" spans="2:3" x14ac:dyDescent="0.2">
      <c r="B1237" s="5"/>
      <c r="C1237" s="14"/>
    </row>
    <row r="1238" spans="2:3" x14ac:dyDescent="0.2">
      <c r="B1238" s="5"/>
      <c r="C1238" s="14"/>
    </row>
    <row r="1239" spans="2:3" x14ac:dyDescent="0.2">
      <c r="B1239" s="5"/>
      <c r="C1239" s="14"/>
    </row>
    <row r="1240" spans="2:3" x14ac:dyDescent="0.2">
      <c r="B1240" s="5"/>
      <c r="C1240" s="14"/>
    </row>
    <row r="1241" spans="2:3" x14ac:dyDescent="0.2">
      <c r="B1241" s="5"/>
      <c r="C1241" s="14"/>
    </row>
    <row r="1242" spans="2:3" x14ac:dyDescent="0.2">
      <c r="B1242" s="5"/>
      <c r="C1242" s="14"/>
    </row>
    <row r="1243" spans="2:3" x14ac:dyDescent="0.2">
      <c r="B1243" s="5"/>
      <c r="C1243" s="14"/>
    </row>
    <row r="1244" spans="2:3" x14ac:dyDescent="0.2">
      <c r="B1244" s="5"/>
      <c r="C1244" s="14"/>
    </row>
    <row r="1245" spans="2:3" x14ac:dyDescent="0.2">
      <c r="B1245" s="5"/>
      <c r="C1245" s="14"/>
    </row>
    <row r="1246" spans="2:3" x14ac:dyDescent="0.2">
      <c r="B1246" s="5"/>
      <c r="C1246" s="14"/>
    </row>
    <row r="1247" spans="2:3" x14ac:dyDescent="0.2">
      <c r="B1247" s="5"/>
      <c r="C1247" s="14"/>
    </row>
    <row r="1248" spans="2:3" x14ac:dyDescent="0.2">
      <c r="B1248" s="5"/>
      <c r="C1248" s="14"/>
    </row>
    <row r="1249" spans="2:3" x14ac:dyDescent="0.2">
      <c r="B1249" s="5"/>
      <c r="C1249" s="14"/>
    </row>
    <row r="1250" spans="2:3" x14ac:dyDescent="0.2">
      <c r="B1250" s="5"/>
      <c r="C1250" s="14"/>
    </row>
    <row r="1251" spans="2:3" x14ac:dyDescent="0.2">
      <c r="B1251" s="5"/>
      <c r="C1251" s="14"/>
    </row>
    <row r="1252" spans="2:3" x14ac:dyDescent="0.2">
      <c r="B1252" s="5"/>
      <c r="C1252" s="14"/>
    </row>
    <row r="1253" spans="2:3" x14ac:dyDescent="0.2">
      <c r="B1253" s="5"/>
      <c r="C1253" s="14"/>
    </row>
    <row r="1254" spans="2:3" x14ac:dyDescent="0.2">
      <c r="B1254" s="5"/>
      <c r="C1254" s="14"/>
    </row>
    <row r="1255" spans="2:3" x14ac:dyDescent="0.2">
      <c r="B1255" s="5"/>
      <c r="C1255" s="14"/>
    </row>
    <row r="1256" spans="2:3" x14ac:dyDescent="0.2">
      <c r="B1256" s="5"/>
      <c r="C1256" s="14"/>
    </row>
    <row r="1257" spans="2:3" x14ac:dyDescent="0.2">
      <c r="B1257" s="5"/>
      <c r="C1257" s="14"/>
    </row>
    <row r="1258" spans="2:3" x14ac:dyDescent="0.2">
      <c r="B1258" s="5"/>
      <c r="C1258" s="14"/>
    </row>
    <row r="1259" spans="2:3" x14ac:dyDescent="0.2">
      <c r="B1259" s="5"/>
      <c r="C1259" s="14"/>
    </row>
    <row r="1260" spans="2:3" x14ac:dyDescent="0.2">
      <c r="B1260" s="5"/>
      <c r="C1260" s="14"/>
    </row>
    <row r="1261" spans="2:3" x14ac:dyDescent="0.2">
      <c r="B1261" s="5"/>
      <c r="C1261" s="14"/>
    </row>
    <row r="1262" spans="2:3" x14ac:dyDescent="0.2">
      <c r="B1262" s="5"/>
      <c r="C1262" s="14"/>
    </row>
    <row r="1263" spans="2:3" x14ac:dyDescent="0.2">
      <c r="B1263" s="5"/>
      <c r="C1263" s="14"/>
    </row>
    <row r="1264" spans="2:3" x14ac:dyDescent="0.2">
      <c r="B1264" s="5"/>
      <c r="C1264" s="14"/>
    </row>
    <row r="1265" spans="2:3" x14ac:dyDescent="0.2">
      <c r="B1265" s="5"/>
      <c r="C1265" s="14"/>
    </row>
    <row r="1266" spans="2:3" x14ac:dyDescent="0.2">
      <c r="B1266" s="5"/>
      <c r="C1266" s="14"/>
    </row>
    <row r="1267" spans="2:3" x14ac:dyDescent="0.2">
      <c r="B1267" s="5"/>
      <c r="C1267" s="14"/>
    </row>
    <row r="1268" spans="2:3" x14ac:dyDescent="0.2">
      <c r="B1268" s="5"/>
      <c r="C1268" s="14"/>
    </row>
  </sheetData>
  <phoneticPr fontId="10" type="noConversion"/>
  <hyperlinks>
    <hyperlink ref="A3" r:id="rId1" xr:uid="{00000000-0004-0000-0800-00000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BJ454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style="5" customWidth="1"/>
    <col min="3" max="3" width="13.42578125" customWidth="1"/>
    <col min="4" max="4" width="10.28515625" customWidth="1"/>
    <col min="5" max="5" width="10" customWidth="1"/>
    <col min="6" max="6" width="16.7109375" customWidth="1"/>
    <col min="7" max="7" width="9.7109375" customWidth="1"/>
    <col min="8" max="8" width="9.5703125" customWidth="1"/>
    <col min="9" max="10" width="10.28515625" customWidth="1"/>
    <col min="11" max="15" width="7.5703125" customWidth="1"/>
    <col min="16" max="16" width="9.85546875" customWidth="1"/>
  </cols>
  <sheetData>
    <row r="1" spans="1:24" ht="21" thickBot="1" x14ac:dyDescent="0.35">
      <c r="A1" s="1" t="s">
        <v>221</v>
      </c>
      <c r="B1" s="28"/>
      <c r="C1" s="27"/>
      <c r="W1" s="68" t="s">
        <v>13</v>
      </c>
      <c r="X1" s="63" t="s">
        <v>27</v>
      </c>
    </row>
    <row r="2" spans="1:24" x14ac:dyDescent="0.2">
      <c r="A2" t="s">
        <v>25</v>
      </c>
      <c r="B2" s="5" t="s">
        <v>65</v>
      </c>
      <c r="D2" s="18" t="s">
        <v>40</v>
      </c>
      <c r="W2" s="72">
        <v>-3000</v>
      </c>
      <c r="X2" s="73">
        <f t="shared" ref="X2:X29" si="0">+D$11+D$12*W2+D$13*W2^2</f>
        <v>8.898571828026094E-4</v>
      </c>
    </row>
    <row r="3" spans="1:24" ht="13.5" thickBot="1" x14ac:dyDescent="0.25">
      <c r="C3">
        <f>COUNT(C21:C980)</f>
        <v>131</v>
      </c>
      <c r="D3" s="18" t="s">
        <v>222</v>
      </c>
      <c r="W3" s="64">
        <v>-2000</v>
      </c>
      <c r="X3" s="65">
        <f t="shared" si="0"/>
        <v>7.1313895807687401E-5</v>
      </c>
    </row>
    <row r="4" spans="1:24" ht="14.25" thickTop="1" thickBot="1" x14ac:dyDescent="0.25">
      <c r="A4" s="7" t="s">
        <v>3</v>
      </c>
      <c r="C4" s="2">
        <v>41571.273000000001</v>
      </c>
      <c r="D4" s="3">
        <v>0.44625870000000001</v>
      </c>
      <c r="W4" s="64">
        <v>-1000</v>
      </c>
      <c r="X4" s="65">
        <f t="shared" si="0"/>
        <v>-2.8393021504015176E-4</v>
      </c>
    </row>
    <row r="5" spans="1:24" ht="14.25" thickTop="1" thickBot="1" x14ac:dyDescent="0.25">
      <c r="A5" s="133" t="s">
        <v>202</v>
      </c>
      <c r="B5" s="146"/>
      <c r="C5" s="95">
        <v>8</v>
      </c>
      <c r="D5" s="25" t="s">
        <v>203</v>
      </c>
      <c r="G5" s="6">
        <v>1986</v>
      </c>
      <c r="H5" s="6">
        <v>2003</v>
      </c>
      <c r="W5" s="64">
        <v>0</v>
      </c>
      <c r="X5" s="65">
        <f t="shared" si="0"/>
        <v>-1.7587514974090816E-4</v>
      </c>
    </row>
    <row r="6" spans="1:24" ht="13.5" thickBot="1" x14ac:dyDescent="0.25">
      <c r="A6" s="7" t="s">
        <v>4</v>
      </c>
      <c r="E6" s="140" t="s">
        <v>112</v>
      </c>
      <c r="F6" s="143">
        <v>0</v>
      </c>
      <c r="G6">
        <v>-713</v>
      </c>
      <c r="H6">
        <v>12300</v>
      </c>
      <c r="W6" s="64">
        <v>1000</v>
      </c>
      <c r="X6" s="65">
        <f t="shared" si="0"/>
        <v>3.9547909170541823E-4</v>
      </c>
    </row>
    <row r="7" spans="1:24" x14ac:dyDescent="0.2">
      <c r="A7" t="s">
        <v>5</v>
      </c>
      <c r="C7">
        <v>46949.836000000003</v>
      </c>
      <c r="E7" s="141" t="s">
        <v>219</v>
      </c>
      <c r="F7" s="144">
        <f>C7+D11+D12*F6+D13*F6^2</f>
        <v>46949.83582412485</v>
      </c>
      <c r="G7">
        <v>46949.835813531208</v>
      </c>
      <c r="H7">
        <v>46949.874888427825</v>
      </c>
      <c r="W7" s="64">
        <v>2000</v>
      </c>
      <c r="X7" s="65">
        <f t="shared" si="0"/>
        <v>1.4301325092988273E-3</v>
      </c>
    </row>
    <row r="8" spans="1:24" ht="13.5" thickBot="1" x14ac:dyDescent="0.25">
      <c r="A8" t="s">
        <v>6</v>
      </c>
      <c r="C8">
        <v>0.47128629999999999</v>
      </c>
      <c r="E8" s="142" t="s">
        <v>220</v>
      </c>
      <c r="F8" s="145">
        <f>C8+D12+2*D13*F6</f>
        <v>0.47128663970465334</v>
      </c>
      <c r="G8">
        <v>0.47128624376227352</v>
      </c>
      <c r="H8">
        <v>0.47129236175476513</v>
      </c>
      <c r="W8" s="64">
        <v>3000</v>
      </c>
      <c r="X8" s="65">
        <f t="shared" si="0"/>
        <v>2.9280851030393197E-3</v>
      </c>
    </row>
    <row r="9" spans="1:24" x14ac:dyDescent="0.2">
      <c r="A9" s="36" t="s">
        <v>84</v>
      </c>
      <c r="B9" s="147"/>
      <c r="C9" s="36">
        <v>94</v>
      </c>
      <c r="D9" s="36" t="str">
        <f>"F"&amp;C9</f>
        <v>F94</v>
      </c>
      <c r="E9" s="36" t="str">
        <f>"G"&amp;C9</f>
        <v>G94</v>
      </c>
      <c r="W9" s="64">
        <v>4000</v>
      </c>
      <c r="X9" s="65">
        <f t="shared" si="0"/>
        <v>4.8893368729268942E-3</v>
      </c>
    </row>
    <row r="10" spans="1:24" ht="13.5" thickBot="1" x14ac:dyDescent="0.25">
      <c r="C10" s="6" t="s">
        <v>22</v>
      </c>
      <c r="D10" s="6" t="s">
        <v>23</v>
      </c>
      <c r="W10" s="64">
        <v>5000</v>
      </c>
      <c r="X10" s="65">
        <f t="shared" si="0"/>
        <v>7.3138878189615512E-3</v>
      </c>
    </row>
    <row r="11" spans="1:24" x14ac:dyDescent="0.2">
      <c r="A11" t="s">
        <v>18</v>
      </c>
      <c r="C11" s="37">
        <f ca="1">INTERCEPT(INDIRECT(E9):G1005,INDIRECT(D9):$F1005)</f>
        <v>-5.931730949882931E-2</v>
      </c>
      <c r="D11" s="17">
        <f>+E11*F11</f>
        <v>-1.7587514974090816E-4</v>
      </c>
      <c r="E11" s="21">
        <v>-1.7587514974090816E-4</v>
      </c>
      <c r="F11" s="16">
        <v>1</v>
      </c>
      <c r="W11" s="64">
        <v>6000</v>
      </c>
      <c r="X11" s="65">
        <f t="shared" si="0"/>
        <v>1.0201737941143292E-2</v>
      </c>
    </row>
    <row r="12" spans="1:24" x14ac:dyDescent="0.2">
      <c r="A12" t="s">
        <v>19</v>
      </c>
      <c r="C12" s="37">
        <f ca="1">SLOPE(INDIRECT(E9):G1005,INDIRECT(D9):$F1005)</f>
        <v>7.8362051628000797E-6</v>
      </c>
      <c r="D12" s="17">
        <f>+E12*F12</f>
        <v>3.3970465337278502E-7</v>
      </c>
      <c r="E12" s="22">
        <v>3.39704653372785E-3</v>
      </c>
      <c r="F12" s="16">
        <v>1E-4</v>
      </c>
      <c r="W12" s="64">
        <v>7000</v>
      </c>
      <c r="X12" s="65">
        <f t="shared" si="0"/>
        <v>1.3552887239472114E-2</v>
      </c>
    </row>
    <row r="13" spans="1:24" ht="13.5" thickBot="1" x14ac:dyDescent="0.25">
      <c r="A13" t="s">
        <v>21</v>
      </c>
      <c r="C13" s="5" t="s">
        <v>17</v>
      </c>
      <c r="D13" s="118">
        <f>+E13*F13</f>
        <v>2.3164958807354139E-10</v>
      </c>
      <c r="E13" s="23">
        <v>2.3164958807354138E-2</v>
      </c>
      <c r="F13" s="16">
        <v>1E-8</v>
      </c>
      <c r="W13" s="64">
        <v>8000</v>
      </c>
      <c r="X13" s="65">
        <f t="shared" si="0"/>
        <v>1.736733571394802E-2</v>
      </c>
    </row>
    <row r="14" spans="1:24" x14ac:dyDescent="0.2">
      <c r="A14" t="s">
        <v>24</v>
      </c>
      <c r="E14">
        <f>SUM(T21:T999)</f>
        <v>1.8243318052986411E-4</v>
      </c>
      <c r="W14" s="64">
        <v>9000</v>
      </c>
      <c r="X14" s="65">
        <f t="shared" si="0"/>
        <v>2.1645083364571008E-2</v>
      </c>
    </row>
    <row r="15" spans="1:24" x14ac:dyDescent="0.2">
      <c r="A15" s="4" t="s">
        <v>20</v>
      </c>
      <c r="C15" s="31">
        <f ca="1">(C7+C11)+(C8+C12)*INT(MAX(F21:F3533))</f>
        <v>57130.672612994429</v>
      </c>
      <c r="D15" s="33">
        <f>+C7+INT(MAX(F21:F1588))*C8+D11+D12*INT(MAX(F21:F4023))+D13*INT(MAX(F21:F4050)^2)</f>
        <v>57130.677918476133</v>
      </c>
      <c r="E15" s="113" t="s">
        <v>167</v>
      </c>
      <c r="F15" s="95">
        <v>1</v>
      </c>
      <c r="W15" s="64">
        <v>10000</v>
      </c>
      <c r="X15" s="65">
        <f t="shared" si="0"/>
        <v>2.6386130191341079E-2</v>
      </c>
    </row>
    <row r="16" spans="1:24" x14ac:dyDescent="0.2">
      <c r="A16" s="7" t="s">
        <v>7</v>
      </c>
      <c r="C16" s="32">
        <f ca="1">+C8+C12</f>
        <v>0.47129413620516281</v>
      </c>
      <c r="D16" s="112">
        <f>+C8+D12+2*D13*MAX(F21:F120)</f>
        <v>0.4712944928573386</v>
      </c>
      <c r="E16" s="113" t="s">
        <v>168</v>
      </c>
      <c r="F16" s="114">
        <f ca="1">NOW()+15018.5+$C$9/24</f>
        <v>60358.99939513889</v>
      </c>
      <c r="W16" s="64">
        <v>11000</v>
      </c>
      <c r="X16" s="65">
        <f t="shared" si="0"/>
        <v>3.1590476194258234E-2</v>
      </c>
    </row>
    <row r="17" spans="1:62" ht="13.5" thickBot="1" x14ac:dyDescent="0.25">
      <c r="A17" s="37" t="s">
        <v>72</v>
      </c>
      <c r="C17">
        <f>COUNT(C21:C2191)</f>
        <v>131</v>
      </c>
      <c r="E17" s="113" t="s">
        <v>169</v>
      </c>
      <c r="F17" s="114">
        <f ca="1">ROUND(2*(F16-$C$7)/$C$8,0)/2+F15</f>
        <v>28453.5</v>
      </c>
      <c r="W17" s="64">
        <v>12000</v>
      </c>
      <c r="X17" s="65">
        <f t="shared" si="0"/>
        <v>3.7258121373322475E-2</v>
      </c>
    </row>
    <row r="18" spans="1:62" ht="14.25" thickTop="1" thickBot="1" x14ac:dyDescent="0.25">
      <c r="A18" s="7" t="s">
        <v>172</v>
      </c>
      <c r="C18" s="34">
        <f ca="1">+C15</f>
        <v>57130.672612994429</v>
      </c>
      <c r="D18" s="35">
        <f ca="1">C16</f>
        <v>0.47129413620516281</v>
      </c>
      <c r="E18" s="113" t="s">
        <v>170</v>
      </c>
      <c r="F18" s="33">
        <f ca="1">ROUND(2*(F16-$C$15)/$C$16,0)/2+F15</f>
        <v>6851</v>
      </c>
      <c r="W18" s="64">
        <v>13000</v>
      </c>
      <c r="X18" s="65">
        <f t="shared" si="0"/>
        <v>4.3389065728533793E-2</v>
      </c>
    </row>
    <row r="19" spans="1:62" ht="13.5" thickBot="1" x14ac:dyDescent="0.25">
      <c r="A19" s="7" t="s">
        <v>173</v>
      </c>
      <c r="C19" s="69">
        <f>+D15</f>
        <v>57130.677918476133</v>
      </c>
      <c r="D19" s="70">
        <f>+D16</f>
        <v>0.4712944928573386</v>
      </c>
      <c r="E19" s="113" t="s">
        <v>171</v>
      </c>
      <c r="F19" s="115">
        <f ca="1">+$C$15+$C$16*F18-15018.5-$C$9/24</f>
        <v>45337.092073469335</v>
      </c>
      <c r="W19" s="64">
        <v>14000</v>
      </c>
      <c r="X19" s="65">
        <f t="shared" si="0"/>
        <v>4.9983309259892195E-2</v>
      </c>
    </row>
    <row r="20" spans="1:62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62" t="s">
        <v>82</v>
      </c>
      <c r="V20" s="148" t="s">
        <v>227</v>
      </c>
      <c r="W20" s="64">
        <v>15000</v>
      </c>
      <c r="X20" s="65">
        <f t="shared" si="0"/>
        <v>5.7040851967397679E-2</v>
      </c>
    </row>
    <row r="21" spans="1:62" x14ac:dyDescent="0.2">
      <c r="A21" s="48" t="s">
        <v>15</v>
      </c>
      <c r="B21" s="47"/>
      <c r="C21" s="48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11">
        <v>-1.0841725001228042E-2</v>
      </c>
      <c r="H21" s="5">
        <f>+G21</f>
        <v>-1.0841725001228042E-2</v>
      </c>
      <c r="I21" s="13"/>
      <c r="J21" s="13"/>
      <c r="K21" s="13"/>
      <c r="L21" s="13"/>
      <c r="M21" s="13"/>
      <c r="N21" s="25"/>
      <c r="P21" s="13"/>
      <c r="R21" s="13"/>
      <c r="S21" s="13"/>
      <c r="T21" s="13"/>
      <c r="W21" s="64">
        <v>16000</v>
      </c>
      <c r="X21" s="65">
        <f t="shared" si="0"/>
        <v>6.4561693851050247E-2</v>
      </c>
    </row>
    <row r="22" spans="1:62" x14ac:dyDescent="0.2">
      <c r="A22" s="119" t="s">
        <v>31</v>
      </c>
      <c r="B22" s="47"/>
      <c r="C22" s="120">
        <v>45882.375</v>
      </c>
      <c r="D22" s="48"/>
      <c r="E22">
        <f t="shared" si="1"/>
        <v>-2264.9947600853302</v>
      </c>
      <c r="F22" s="11">
        <f t="shared" si="2"/>
        <v>-2265</v>
      </c>
      <c r="G22" s="11">
        <v>1.1011500027962029E-3</v>
      </c>
      <c r="H22" s="11"/>
      <c r="I22" s="11">
        <f>G22</f>
        <v>1.1011500027962029E-3</v>
      </c>
      <c r="J22" s="11"/>
      <c r="K22" s="11"/>
      <c r="L22" s="11"/>
      <c r="M22" s="11"/>
      <c r="N22" s="25"/>
      <c r="P22" s="38">
        <f t="shared" ref="P22:P53" si="3">+D$11+D$12*F22+D$13*F22^2</f>
        <v>2.4310831834431761E-4</v>
      </c>
      <c r="Q22" s="12">
        <f t="shared" ref="Q22:Q53" si="4">C22-15018.5</f>
        <v>30863.875</v>
      </c>
      <c r="R22" s="11">
        <f>(G22-X3)^2</f>
        <v>1.060562407257261E-6</v>
      </c>
      <c r="S22" s="13">
        <v>0.5</v>
      </c>
      <c r="T22" s="11">
        <f t="shared" ref="T22:T28" si="5">R22*S22</f>
        <v>5.3028120362863051E-7</v>
      </c>
      <c r="V22" s="16">
        <f t="shared" ref="V22:V28" si="6">+G22-P22</f>
        <v>8.5804168445188529E-4</v>
      </c>
      <c r="W22">
        <v>17000</v>
      </c>
      <c r="X22" s="65">
        <f t="shared" si="0"/>
        <v>7.2545834910849899E-2</v>
      </c>
      <c r="BB22">
        <v>-2265</v>
      </c>
      <c r="BC22">
        <v>1.1011500027962029E-3</v>
      </c>
      <c r="BD22">
        <v>0.5</v>
      </c>
      <c r="BH22">
        <v>-2265</v>
      </c>
      <c r="BI22">
        <v>1.1011500027962029E-3</v>
      </c>
      <c r="BJ22">
        <v>0.5</v>
      </c>
    </row>
    <row r="23" spans="1:62" x14ac:dyDescent="0.2">
      <c r="A23" s="121" t="s">
        <v>32</v>
      </c>
      <c r="B23" s="47"/>
      <c r="C23" s="120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si="3"/>
        <v>-1.7518089182255855E-4</v>
      </c>
      <c r="Q23" s="10">
        <f t="shared" si="4"/>
        <v>31239.251799999998</v>
      </c>
      <c r="R23" s="9">
        <f t="shared" ref="R23:R28" si="7">(G23-P23)^2</f>
        <v>1.8013508056134568E-6</v>
      </c>
      <c r="S23" s="13">
        <v>0.5</v>
      </c>
      <c r="T23" s="42">
        <f t="shared" si="5"/>
        <v>9.0067540280672841E-7</v>
      </c>
      <c r="V23" s="16">
        <f t="shared" si="6"/>
        <v>-1.3421441076179028E-3</v>
      </c>
      <c r="W23">
        <v>18000</v>
      </c>
      <c r="X23" s="65">
        <f t="shared" si="0"/>
        <v>8.0993275146796634E-2</v>
      </c>
      <c r="BB23">
        <v>-1468.5</v>
      </c>
      <c r="BC23">
        <v>-1.5173249994404614E-3</v>
      </c>
      <c r="BD23">
        <v>0.5</v>
      </c>
      <c r="BH23">
        <v>-1468.5</v>
      </c>
      <c r="BI23">
        <v>-1.5173249994404614E-3</v>
      </c>
      <c r="BJ23">
        <v>0.5</v>
      </c>
    </row>
    <row r="24" spans="1:62" x14ac:dyDescent="0.2">
      <c r="A24" s="122" t="s">
        <v>194</v>
      </c>
      <c r="B24" s="123" t="s">
        <v>17</v>
      </c>
      <c r="C24" s="124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M24" s="26"/>
      <c r="N24">
        <f>G24</f>
        <v>1.7044999985955656E-3</v>
      </c>
      <c r="P24" s="38">
        <f t="shared" si="3"/>
        <v>-3.0033891623955323E-4</v>
      </c>
      <c r="Q24" s="10">
        <f t="shared" si="4"/>
        <v>31594.368000000002</v>
      </c>
      <c r="R24" s="9">
        <f t="shared" si="7"/>
        <v>4.0193790744372563E-6</v>
      </c>
      <c r="S24" s="13">
        <v>0.5</v>
      </c>
      <c r="T24" s="42">
        <f t="shared" si="5"/>
        <v>2.0096895372186282E-6</v>
      </c>
      <c r="V24" s="16">
        <f t="shared" si="6"/>
        <v>2.0048389148351188E-3</v>
      </c>
      <c r="W24">
        <v>19000</v>
      </c>
      <c r="X24" s="65">
        <f t="shared" si="0"/>
        <v>8.9904014558890452E-2</v>
      </c>
      <c r="BB24">
        <v>-715</v>
      </c>
      <c r="BC24">
        <v>1.7044999985955656E-3</v>
      </c>
      <c r="BD24">
        <v>0.5</v>
      </c>
      <c r="BH24">
        <v>-715</v>
      </c>
      <c r="BI24">
        <v>1.7044999985955656E-3</v>
      </c>
      <c r="BJ24">
        <v>0.5</v>
      </c>
    </row>
    <row r="25" spans="1:62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M25" s="26"/>
      <c r="N25">
        <f>G25</f>
        <v>1.3190000026952475E-4</v>
      </c>
      <c r="P25" s="38">
        <f t="shared" si="3"/>
        <v>-3.0032109815634572E-4</v>
      </c>
      <c r="Q25" s="10">
        <f t="shared" si="4"/>
        <v>31595.309000000001</v>
      </c>
      <c r="R25" s="9">
        <f t="shared" si="7"/>
        <v>1.8681507792446601E-7</v>
      </c>
      <c r="S25" s="13">
        <v>0.5</v>
      </c>
      <c r="T25" s="42">
        <f t="shared" si="5"/>
        <v>9.3407538962233005E-8</v>
      </c>
      <c r="V25" s="16">
        <f t="shared" si="6"/>
        <v>4.3222109842587048E-4</v>
      </c>
      <c r="W25">
        <v>20000</v>
      </c>
      <c r="X25" s="65">
        <f t="shared" si="0"/>
        <v>9.927805314713134E-2</v>
      </c>
      <c r="BB25">
        <v>-713</v>
      </c>
      <c r="BC25">
        <v>1.3190000026952475E-4</v>
      </c>
      <c r="BD25">
        <v>0.5</v>
      </c>
      <c r="BH25">
        <v>-713</v>
      </c>
      <c r="BI25">
        <v>1.3190000026952475E-4</v>
      </c>
      <c r="BJ25">
        <v>0.5</v>
      </c>
    </row>
    <row r="26" spans="1:62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M26" s="26"/>
      <c r="N26">
        <f>G26</f>
        <v>-1.0000000038417056E-3</v>
      </c>
      <c r="P26" s="38">
        <f t="shared" si="3"/>
        <v>-1.7587514974090816E-4</v>
      </c>
      <c r="Q26" s="10">
        <f t="shared" si="4"/>
        <v>31931.334999999999</v>
      </c>
      <c r="R26" s="9">
        <f t="shared" si="7"/>
        <v>6.7918177514666064E-7</v>
      </c>
      <c r="S26" s="13">
        <v>1</v>
      </c>
      <c r="T26" s="42">
        <f t="shared" si="5"/>
        <v>6.7918177514666064E-7</v>
      </c>
      <c r="V26" s="16">
        <f t="shared" si="6"/>
        <v>-8.2412485410079744E-4</v>
      </c>
      <c r="W26">
        <v>21000</v>
      </c>
      <c r="X26" s="65">
        <f t="shared" si="0"/>
        <v>0.10911539091151932</v>
      </c>
      <c r="BB26">
        <v>0</v>
      </c>
      <c r="BC26">
        <v>-1.0000000038417056E-3</v>
      </c>
      <c r="BD26">
        <v>1</v>
      </c>
      <c r="BH26">
        <v>0</v>
      </c>
      <c r="BI26">
        <v>-1.0000000038417056E-3</v>
      </c>
      <c r="BJ26">
        <v>1</v>
      </c>
    </row>
    <row r="27" spans="1:62" x14ac:dyDescent="0.2">
      <c r="A27" s="44" t="s">
        <v>33</v>
      </c>
      <c r="B27" s="47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>G27</f>
        <v>-1.2365000293357298E-4</v>
      </c>
      <c r="J27" s="9"/>
      <c r="K27" s="9"/>
      <c r="L27" s="9"/>
      <c r="M27" s="9"/>
      <c r="N27" s="25"/>
      <c r="P27" s="38">
        <f t="shared" si="3"/>
        <v>-1.4456748916534724E-4</v>
      </c>
      <c r="Q27" s="10">
        <f t="shared" si="4"/>
        <v>31972.338799999998</v>
      </c>
      <c r="R27" s="9">
        <f t="shared" si="7"/>
        <v>4.3754123025646582E-10</v>
      </c>
      <c r="S27" s="13">
        <v>0.5</v>
      </c>
      <c r="T27" s="42">
        <f t="shared" si="5"/>
        <v>2.1877061512823291E-10</v>
      </c>
      <c r="V27" s="16">
        <f t="shared" si="6"/>
        <v>2.0917486231774262E-5</v>
      </c>
      <c r="W27">
        <v>22000</v>
      </c>
      <c r="X27" s="65">
        <f t="shared" si="0"/>
        <v>0.11941602785205439</v>
      </c>
      <c r="BB27">
        <v>87</v>
      </c>
      <c r="BC27">
        <v>-1.2365000293357298E-4</v>
      </c>
      <c r="BD27">
        <v>0.5</v>
      </c>
      <c r="BH27">
        <v>87</v>
      </c>
      <c r="BI27">
        <v>-1.2365000293357298E-4</v>
      </c>
      <c r="BJ27">
        <v>0.5</v>
      </c>
    </row>
    <row r="28" spans="1:62" x14ac:dyDescent="0.2">
      <c r="A28" s="44" t="s">
        <v>33</v>
      </c>
      <c r="B28" s="47"/>
      <c r="C28" s="56">
        <v>47004.7431</v>
      </c>
      <c r="D28" s="48"/>
      <c r="E28">
        <f t="shared" si="1"/>
        <v>116.50476578673455</v>
      </c>
      <c r="F28" s="11">
        <f t="shared" si="2"/>
        <v>116.5</v>
      </c>
      <c r="G28" s="9">
        <v>1.2349250027909875E-3</v>
      </c>
      <c r="H28" s="9"/>
      <c r="I28" s="9">
        <f>G28</f>
        <v>1.2349250027909875E-3</v>
      </c>
      <c r="J28" s="9"/>
      <c r="K28" s="9"/>
      <c r="L28" s="9"/>
      <c r="M28" s="9"/>
      <c r="N28" s="25"/>
      <c r="P28" s="38">
        <f t="shared" si="3"/>
        <v>-1.3315555150124759E-4</v>
      </c>
      <c r="Q28" s="10">
        <f t="shared" si="4"/>
        <v>31986.2431</v>
      </c>
      <c r="R28" s="9">
        <f t="shared" si="7"/>
        <v>1.8716444030325494E-6</v>
      </c>
      <c r="S28" s="13">
        <v>0.5</v>
      </c>
      <c r="T28" s="42">
        <f t="shared" si="5"/>
        <v>9.358222015162747E-7</v>
      </c>
      <c r="V28" s="16">
        <f t="shared" si="6"/>
        <v>1.3680805542922352E-3</v>
      </c>
      <c r="W28">
        <v>23000</v>
      </c>
      <c r="X28" s="65">
        <f t="shared" si="0"/>
        <v>0.13017996396873655</v>
      </c>
      <c r="BB28">
        <v>116.5</v>
      </c>
      <c r="BC28">
        <v>1.2349250027909875E-3</v>
      </c>
      <c r="BD28">
        <v>0.5</v>
      </c>
      <c r="BH28">
        <v>116.5</v>
      </c>
      <c r="BI28">
        <v>1.2349250027909875E-3</v>
      </c>
      <c r="BJ28">
        <v>0.5</v>
      </c>
    </row>
    <row r="29" spans="1:62" x14ac:dyDescent="0.2">
      <c r="A29" s="44" t="s">
        <v>34</v>
      </c>
      <c r="B29" s="47"/>
      <c r="C29" s="56">
        <v>47304.468999999997</v>
      </c>
      <c r="D29" s="48"/>
      <c r="E29">
        <f t="shared" si="1"/>
        <v>752.47890719504119</v>
      </c>
      <c r="F29" s="11">
        <f t="shared" si="2"/>
        <v>752.5</v>
      </c>
      <c r="G29" s="9"/>
      <c r="H29" s="9"/>
      <c r="I29" s="9"/>
      <c r="J29" s="9"/>
      <c r="K29" s="9"/>
      <c r="L29" s="9"/>
      <c r="M29" s="9"/>
      <c r="N29" s="25"/>
      <c r="P29" s="38">
        <f t="shared" si="3"/>
        <v>2.1092562897868087E-4</v>
      </c>
      <c r="Q29" s="10">
        <f t="shared" si="4"/>
        <v>32285.968999999997</v>
      </c>
      <c r="R29" s="9"/>
      <c r="S29" s="13"/>
      <c r="T29" s="42"/>
      <c r="U29" s="33">
        <v>-1.0856475004402455E-2</v>
      </c>
      <c r="V29" s="33"/>
      <c r="W29">
        <v>24000</v>
      </c>
      <c r="X29" s="65">
        <f t="shared" si="0"/>
        <v>0.14140719926156578</v>
      </c>
      <c r="BB29">
        <v>764</v>
      </c>
      <c r="BC29">
        <v>-6.472000022768043E-4</v>
      </c>
      <c r="BD29">
        <v>0.5</v>
      </c>
      <c r="BH29">
        <v>764</v>
      </c>
      <c r="BI29">
        <v>-6.472000022768043E-4</v>
      </c>
      <c r="BJ29">
        <v>0.5</v>
      </c>
    </row>
    <row r="30" spans="1:62" x14ac:dyDescent="0.2">
      <c r="A30" s="44" t="s">
        <v>33</v>
      </c>
      <c r="B30" s="47"/>
      <c r="C30" s="56">
        <v>47309.898999999998</v>
      </c>
      <c r="D30" s="48"/>
      <c r="E30">
        <f t="shared" si="1"/>
        <v>764.00056611022785</v>
      </c>
      <c r="F30" s="11">
        <f t="shared" si="2"/>
        <v>764</v>
      </c>
      <c r="G30" s="9">
        <v>-6.472000022768043E-4</v>
      </c>
      <c r="H30" s="9"/>
      <c r="I30" s="9">
        <f>G30</f>
        <v>-6.472000022768043E-4</v>
      </c>
      <c r="J30" s="9"/>
      <c r="K30" s="9"/>
      <c r="L30" s="9"/>
      <c r="M30" s="9"/>
      <c r="N30" s="25"/>
      <c r="P30" s="38">
        <f t="shared" si="3"/>
        <v>2.1887214339607339E-4</v>
      </c>
      <c r="Q30" s="10">
        <f t="shared" si="4"/>
        <v>32291.398999999998</v>
      </c>
      <c r="R30" s="9">
        <f>(G30-P30)^2</f>
        <v>7.5008096151042226E-7</v>
      </c>
      <c r="S30" s="13">
        <v>0.5</v>
      </c>
      <c r="T30" s="42">
        <f>R30*S30</f>
        <v>3.7504048075521113E-7</v>
      </c>
      <c r="U30" s="33"/>
      <c r="V30" s="16">
        <f>+G30-P30</f>
        <v>-8.6607214567287769E-4</v>
      </c>
      <c r="X30" s="71"/>
      <c r="BB30">
        <v>793.5</v>
      </c>
      <c r="BC30">
        <v>4.1137500375043601E-4</v>
      </c>
      <c r="BD30">
        <v>0.5</v>
      </c>
      <c r="BH30">
        <v>793.5</v>
      </c>
      <c r="BI30">
        <v>4.1137500375043601E-4</v>
      </c>
      <c r="BJ30">
        <v>0.5</v>
      </c>
    </row>
    <row r="31" spans="1:62" x14ac:dyDescent="0.2">
      <c r="A31" s="44" t="s">
        <v>83</v>
      </c>
      <c r="B31" s="47"/>
      <c r="C31" s="56">
        <v>47322.3914</v>
      </c>
      <c r="D31" s="48"/>
      <c r="E31">
        <f t="shared" si="1"/>
        <v>790.50759591356143</v>
      </c>
      <c r="F31" s="11">
        <f t="shared" si="2"/>
        <v>790.5</v>
      </c>
      <c r="G31" s="9"/>
      <c r="H31" s="9"/>
      <c r="I31" s="9"/>
      <c r="J31" s="9"/>
      <c r="K31" s="9"/>
      <c r="L31" s="9"/>
      <c r="M31" s="9"/>
      <c r="N31" s="25"/>
      <c r="P31" s="38">
        <f t="shared" si="3"/>
        <v>2.3741694775395071E-4</v>
      </c>
      <c r="Q31" s="10">
        <f t="shared" si="4"/>
        <v>32303.8914</v>
      </c>
      <c r="R31" s="9"/>
      <c r="S31" s="13"/>
      <c r="T31" s="42"/>
      <c r="U31" s="33">
        <v>2.6698250003391877E-3</v>
      </c>
      <c r="V31" s="33"/>
      <c r="X31" s="71"/>
      <c r="BB31">
        <v>793.5</v>
      </c>
      <c r="BC31">
        <v>5.1137500122422352E-4</v>
      </c>
      <c r="BD31">
        <v>0.5</v>
      </c>
      <c r="BH31">
        <v>793.5</v>
      </c>
      <c r="BI31">
        <v>5.1137500122422352E-4</v>
      </c>
      <c r="BJ31">
        <v>0.5</v>
      </c>
    </row>
    <row r="32" spans="1:62" x14ac:dyDescent="0.2">
      <c r="A32" s="44" t="s">
        <v>83</v>
      </c>
      <c r="B32" s="47"/>
      <c r="C32" s="56">
        <v>47322.392800000001</v>
      </c>
      <c r="D32" s="48"/>
      <c r="E32">
        <f t="shared" si="1"/>
        <v>790.5105665070223</v>
      </c>
      <c r="F32" s="11">
        <f t="shared" si="2"/>
        <v>790.5</v>
      </c>
      <c r="G32" s="9"/>
      <c r="H32" s="9"/>
      <c r="I32" s="9"/>
      <c r="J32" s="9"/>
      <c r="K32" s="9"/>
      <c r="L32" s="9"/>
      <c r="M32" s="9"/>
      <c r="N32" s="25"/>
      <c r="P32" s="38">
        <f t="shared" si="3"/>
        <v>2.3741694775395071E-4</v>
      </c>
      <c r="Q32" s="10">
        <f t="shared" si="4"/>
        <v>32303.892800000001</v>
      </c>
      <c r="R32" s="9"/>
      <c r="S32" s="13"/>
      <c r="T32" s="42"/>
      <c r="U32" s="33">
        <v>4.069825001352001E-3</v>
      </c>
      <c r="V32" s="33"/>
      <c r="X32" s="71"/>
      <c r="BB32">
        <v>800</v>
      </c>
      <c r="BC32">
        <v>-3.4859999868785962E-4</v>
      </c>
      <c r="BD32">
        <v>0.5</v>
      </c>
      <c r="BH32">
        <v>800</v>
      </c>
      <c r="BI32">
        <v>-3.4859999868785962E-4</v>
      </c>
      <c r="BJ32">
        <v>0.5</v>
      </c>
    </row>
    <row r="33" spans="1:62" x14ac:dyDescent="0.2">
      <c r="A33" s="44" t="s">
        <v>44</v>
      </c>
      <c r="B33" s="47"/>
      <c r="C33" s="56">
        <v>47323.803</v>
      </c>
      <c r="D33" s="48"/>
      <c r="E33">
        <f t="shared" si="1"/>
        <v>793.50280286101452</v>
      </c>
      <c r="F33" s="11">
        <f t="shared" si="2"/>
        <v>793.5</v>
      </c>
      <c r="G33" s="9">
        <v>4.1137500375043601E-4</v>
      </c>
      <c r="H33" s="9"/>
      <c r="I33" s="9">
        <f t="shared" ref="I33:I41" si="8">G33</f>
        <v>4.1137500375043601E-4</v>
      </c>
      <c r="J33" s="9"/>
      <c r="K33" s="9"/>
      <c r="L33" s="9"/>
      <c r="M33" s="9"/>
      <c r="N33" s="25"/>
      <c r="P33" s="38">
        <f t="shared" si="3"/>
        <v>2.3953686055659454E-4</v>
      </c>
      <c r="Q33" s="10">
        <f t="shared" si="4"/>
        <v>32305.303</v>
      </c>
      <c r="R33" s="9">
        <f t="shared" ref="R33:R41" si="9">(G33-P33)^2</f>
        <v>2.9528347456307167E-8</v>
      </c>
      <c r="S33" s="13">
        <v>0.5</v>
      </c>
      <c r="T33" s="42">
        <f t="shared" ref="T33:T41" si="10">R33*S33</f>
        <v>1.4764173728153583E-8</v>
      </c>
      <c r="U33" s="33"/>
      <c r="V33" s="16">
        <f t="shared" ref="V33:V41" si="11">+G33-P33</f>
        <v>1.7183814319384147E-4</v>
      </c>
      <c r="X33" s="71"/>
      <c r="BB33">
        <v>802</v>
      </c>
      <c r="BC33">
        <v>1.7910000315168872E-4</v>
      </c>
      <c r="BD33">
        <v>0.5</v>
      </c>
      <c r="BH33">
        <v>802</v>
      </c>
      <c r="BI33">
        <v>1.7910000315168872E-4</v>
      </c>
      <c r="BJ33">
        <v>0.5</v>
      </c>
    </row>
    <row r="34" spans="1:62" x14ac:dyDescent="0.2">
      <c r="A34" s="44" t="s">
        <v>33</v>
      </c>
      <c r="B34" s="47"/>
      <c r="C34" s="56">
        <v>47323.803099999997</v>
      </c>
      <c r="D34" s="48"/>
      <c r="E34">
        <f t="shared" si="1"/>
        <v>793.50301504625611</v>
      </c>
      <c r="F34" s="11">
        <f t="shared" si="2"/>
        <v>793.5</v>
      </c>
      <c r="G34" s="9">
        <v>5.1137500122422352E-4</v>
      </c>
      <c r="H34" s="9"/>
      <c r="I34" s="9">
        <f t="shared" si="8"/>
        <v>5.1137500122422352E-4</v>
      </c>
      <c r="J34" s="9"/>
      <c r="K34" s="9"/>
      <c r="L34" s="9"/>
      <c r="M34" s="9"/>
      <c r="N34" s="25"/>
      <c r="P34" s="38">
        <f t="shared" si="3"/>
        <v>2.3953686055659454E-4</v>
      </c>
      <c r="Q34" s="10">
        <f t="shared" si="4"/>
        <v>32305.303099999997</v>
      </c>
      <c r="R34" s="9">
        <f t="shared" si="9"/>
        <v>7.3895974721633624E-8</v>
      </c>
      <c r="S34" s="13">
        <v>0.5</v>
      </c>
      <c r="T34" s="42">
        <f t="shared" si="10"/>
        <v>3.6947987360816812E-8</v>
      </c>
      <c r="U34" s="33"/>
      <c r="V34" s="16">
        <f t="shared" si="11"/>
        <v>2.7183814066762896E-4</v>
      </c>
      <c r="X34" s="71"/>
      <c r="BB34">
        <v>804</v>
      </c>
      <c r="BC34">
        <v>-3.9320000360021368E-4</v>
      </c>
      <c r="BD34">
        <v>0.5</v>
      </c>
      <c r="BH34">
        <v>804</v>
      </c>
      <c r="BI34">
        <v>-3.9320000360021368E-4</v>
      </c>
      <c r="BJ34">
        <v>0.5</v>
      </c>
    </row>
    <row r="35" spans="1:62" x14ac:dyDescent="0.2">
      <c r="A35" s="44" t="s">
        <v>44</v>
      </c>
      <c r="B35" s="47"/>
      <c r="C35" s="56">
        <v>47326.865599999997</v>
      </c>
      <c r="D35" s="48"/>
      <c r="E35">
        <f t="shared" si="1"/>
        <v>800.00118823737159</v>
      </c>
      <c r="F35" s="11">
        <f t="shared" si="2"/>
        <v>800</v>
      </c>
      <c r="G35" s="9">
        <v>-3.4859999868785962E-4</v>
      </c>
      <c r="H35" s="9"/>
      <c r="I35" s="9">
        <f t="shared" si="8"/>
        <v>-3.4859999868785962E-4</v>
      </c>
      <c r="J35" s="9"/>
      <c r="K35" s="9"/>
      <c r="L35" s="9"/>
      <c r="M35" s="9"/>
      <c r="N35" s="25"/>
      <c r="P35" s="38">
        <f t="shared" si="3"/>
        <v>2.4414430932438638E-4</v>
      </c>
      <c r="Q35" s="10">
        <f t="shared" si="4"/>
        <v>32308.365599999997</v>
      </c>
      <c r="R35" s="9">
        <f t="shared" si="9"/>
        <v>3.5134581468091638E-7</v>
      </c>
      <c r="S35" s="13">
        <v>0.5</v>
      </c>
      <c r="T35" s="42">
        <f t="shared" si="10"/>
        <v>1.7567290734045819E-7</v>
      </c>
      <c r="U35" s="33"/>
      <c r="V35" s="16">
        <f t="shared" si="11"/>
        <v>-5.92744308012246E-4</v>
      </c>
      <c r="X35" s="71"/>
      <c r="BB35">
        <v>856.5</v>
      </c>
      <c r="BC35">
        <v>8.3924998762086034E-5</v>
      </c>
      <c r="BD35">
        <v>0.5</v>
      </c>
      <c r="BH35">
        <v>856.5</v>
      </c>
      <c r="BI35">
        <v>8.3924998762086034E-5</v>
      </c>
      <c r="BJ35">
        <v>0.5</v>
      </c>
    </row>
    <row r="36" spans="1:62" x14ac:dyDescent="0.2">
      <c r="A36" s="44" t="s">
        <v>33</v>
      </c>
      <c r="B36" s="47"/>
      <c r="C36" s="56">
        <v>47327.808700000001</v>
      </c>
      <c r="D36" s="48"/>
      <c r="E36">
        <f t="shared" si="1"/>
        <v>802.0023073023732</v>
      </c>
      <c r="F36" s="11">
        <f t="shared" si="2"/>
        <v>802</v>
      </c>
      <c r="G36" s="9">
        <v>1.7910000315168872E-4</v>
      </c>
      <c r="H36" s="9"/>
      <c r="I36" s="9">
        <f t="shared" si="8"/>
        <v>1.7910000315168872E-4</v>
      </c>
      <c r="J36" s="9"/>
      <c r="K36" s="9"/>
      <c r="L36" s="9"/>
      <c r="M36" s="9"/>
      <c r="N36" s="25"/>
      <c r="P36" s="38">
        <f t="shared" si="3"/>
        <v>2.4556592391131957E-4</v>
      </c>
      <c r="Q36" s="10">
        <f t="shared" si="4"/>
        <v>32309.308700000001</v>
      </c>
      <c r="R36" s="9">
        <f t="shared" si="9"/>
        <v>4.4177186224255272E-9</v>
      </c>
      <c r="S36" s="13">
        <v>0.5</v>
      </c>
      <c r="T36" s="42">
        <f t="shared" si="10"/>
        <v>2.2088593112127636E-9</v>
      </c>
      <c r="U36" s="33"/>
      <c r="V36" s="16">
        <f t="shared" si="11"/>
        <v>-6.6465920759630848E-5</v>
      </c>
      <c r="X36" s="71"/>
      <c r="BB36">
        <v>882</v>
      </c>
      <c r="BC36">
        <v>9.8710000020219013E-4</v>
      </c>
      <c r="BD36">
        <v>0.5</v>
      </c>
      <c r="BH36">
        <v>882</v>
      </c>
      <c r="BI36">
        <v>9.8710000020219013E-4</v>
      </c>
      <c r="BJ36">
        <v>0.5</v>
      </c>
    </row>
    <row r="37" spans="1:62" x14ac:dyDescent="0.2">
      <c r="A37" s="44" t="s">
        <v>44</v>
      </c>
      <c r="B37" s="47"/>
      <c r="C37" s="56">
        <v>47328.750699999997</v>
      </c>
      <c r="D37" s="48"/>
      <c r="E37">
        <f t="shared" si="1"/>
        <v>804.00109232963894</v>
      </c>
      <c r="F37" s="11">
        <f t="shared" si="2"/>
        <v>804</v>
      </c>
      <c r="G37" s="9">
        <v>-3.9320000360021368E-4</v>
      </c>
      <c r="H37" s="9"/>
      <c r="I37" s="9">
        <f t="shared" si="8"/>
        <v>-3.9320000360021368E-4</v>
      </c>
      <c r="J37" s="9"/>
      <c r="K37" s="9"/>
      <c r="L37" s="9"/>
      <c r="M37" s="9"/>
      <c r="N37" s="25"/>
      <c r="P37" s="38">
        <f t="shared" si="3"/>
        <v>2.4698939169495737E-4</v>
      </c>
      <c r="Q37" s="10">
        <f t="shared" si="4"/>
        <v>32310.250699999997</v>
      </c>
      <c r="R37" s="9">
        <f t="shared" si="9"/>
        <v>4.0984246184839678E-7</v>
      </c>
      <c r="S37" s="13">
        <v>0.5</v>
      </c>
      <c r="T37" s="42">
        <f t="shared" si="10"/>
        <v>2.0492123092419839E-7</v>
      </c>
      <c r="U37" s="33"/>
      <c r="V37" s="16">
        <f t="shared" si="11"/>
        <v>-6.4018939529517105E-4</v>
      </c>
      <c r="X37" s="71"/>
      <c r="BB37">
        <v>884</v>
      </c>
      <c r="BC37">
        <v>1.1147999975946732E-3</v>
      </c>
      <c r="BD37">
        <v>0.5</v>
      </c>
      <c r="BH37">
        <v>884</v>
      </c>
      <c r="BI37">
        <v>1.1147999975946732E-3</v>
      </c>
      <c r="BJ37">
        <v>0.5</v>
      </c>
    </row>
    <row r="38" spans="1:62" x14ac:dyDescent="0.2">
      <c r="A38" s="126" t="s">
        <v>45</v>
      </c>
      <c r="B38" s="47"/>
      <c r="C38" s="56">
        <v>47353.493699999999</v>
      </c>
      <c r="D38" s="48"/>
      <c r="E38">
        <f t="shared" si="1"/>
        <v>856.50208800891539</v>
      </c>
      <c r="F38" s="11">
        <f t="shared" si="2"/>
        <v>856.5</v>
      </c>
      <c r="G38" s="9">
        <v>8.3924998762086034E-5</v>
      </c>
      <c r="H38" s="9"/>
      <c r="I38" s="9">
        <f t="shared" si="8"/>
        <v>8.3924998762086034E-5</v>
      </c>
      <c r="J38" s="9"/>
      <c r="K38" s="9"/>
      <c r="L38" s="9"/>
      <c r="M38" s="9"/>
      <c r="N38" s="25"/>
      <c r="P38" s="38">
        <f t="shared" si="3"/>
        <v>2.8501822839932457E-4</v>
      </c>
      <c r="Q38" s="10">
        <f t="shared" si="4"/>
        <v>32334.993699999999</v>
      </c>
      <c r="R38" s="9">
        <f t="shared" si="9"/>
        <v>4.0438487005935154E-8</v>
      </c>
      <c r="S38" s="13">
        <v>0.5</v>
      </c>
      <c r="T38" s="42">
        <f t="shared" si="10"/>
        <v>2.0219243502967577E-8</v>
      </c>
      <c r="U38" s="33"/>
      <c r="V38" s="16">
        <f t="shared" si="11"/>
        <v>-2.0109322963723854E-4</v>
      </c>
      <c r="X38" s="71"/>
      <c r="BB38">
        <v>909.5</v>
      </c>
      <c r="BC38">
        <v>1.2179749974166043E-3</v>
      </c>
      <c r="BD38">
        <v>0.5</v>
      </c>
      <c r="BH38">
        <v>909.5</v>
      </c>
      <c r="BI38">
        <v>1.2179749974166043E-3</v>
      </c>
      <c r="BJ38">
        <v>0.5</v>
      </c>
    </row>
    <row r="39" spans="1:62" x14ac:dyDescent="0.2">
      <c r="A39" s="126" t="s">
        <v>45</v>
      </c>
      <c r="B39" s="47"/>
      <c r="C39" s="56">
        <v>47365.5124</v>
      </c>
      <c r="D39" s="48"/>
      <c r="E39">
        <f t="shared" si="1"/>
        <v>882.00399629693595</v>
      </c>
      <c r="F39" s="11">
        <f t="shared" si="2"/>
        <v>882</v>
      </c>
      <c r="G39" s="9">
        <v>9.8710000020219013E-4</v>
      </c>
      <c r="H39" s="9"/>
      <c r="I39" s="9">
        <f t="shared" si="8"/>
        <v>9.8710000020219013E-4</v>
      </c>
      <c r="J39" s="9"/>
      <c r="K39" s="9"/>
      <c r="L39" s="9"/>
      <c r="M39" s="9"/>
      <c r="N39" s="25"/>
      <c r="P39" s="38">
        <f t="shared" si="3"/>
        <v>3.0395012868640982E-4</v>
      </c>
      <c r="Q39" s="10">
        <f t="shared" si="4"/>
        <v>32347.0124</v>
      </c>
      <c r="R39" s="9">
        <f t="shared" si="9"/>
        <v>4.6669374695202712E-7</v>
      </c>
      <c r="S39" s="13">
        <v>0.5</v>
      </c>
      <c r="T39" s="42">
        <f t="shared" si="10"/>
        <v>2.3334687347601356E-7</v>
      </c>
      <c r="U39" s="33"/>
      <c r="V39" s="16">
        <f t="shared" si="11"/>
        <v>6.8314987151578031E-4</v>
      </c>
      <c r="X39" s="71"/>
      <c r="BB39">
        <v>1498</v>
      </c>
      <c r="BC39">
        <v>-3.8130000029923394E-4</v>
      </c>
      <c r="BD39">
        <v>0.5</v>
      </c>
      <c r="BH39">
        <v>1498</v>
      </c>
      <c r="BI39">
        <v>-3.8130000029923394E-4</v>
      </c>
      <c r="BJ39">
        <v>0.5</v>
      </c>
    </row>
    <row r="40" spans="1:62" x14ac:dyDescent="0.2">
      <c r="A40" s="126" t="s">
        <v>45</v>
      </c>
      <c r="B40" s="47"/>
      <c r="C40" s="56">
        <v>47366.455099999999</v>
      </c>
      <c r="D40" s="48"/>
      <c r="E40">
        <f t="shared" si="1"/>
        <v>884.00426662093992</v>
      </c>
      <c r="F40" s="11">
        <f t="shared" si="2"/>
        <v>884</v>
      </c>
      <c r="G40" s="9">
        <v>1.1147999975946732E-3</v>
      </c>
      <c r="H40" s="9"/>
      <c r="I40" s="9">
        <f t="shared" si="8"/>
        <v>1.1147999975946732E-3</v>
      </c>
      <c r="J40" s="9"/>
      <c r="K40" s="9"/>
      <c r="L40" s="9"/>
      <c r="M40" s="9"/>
      <c r="N40" s="25"/>
      <c r="P40" s="38">
        <f t="shared" si="3"/>
        <v>3.0544772433823114E-4</v>
      </c>
      <c r="Q40" s="10">
        <f t="shared" si="4"/>
        <v>32347.955099999999</v>
      </c>
      <c r="R40" s="9">
        <f t="shared" si="9"/>
        <v>6.5505110222537043E-7</v>
      </c>
      <c r="S40" s="13">
        <v>0.5</v>
      </c>
      <c r="T40" s="42">
        <f t="shared" si="10"/>
        <v>3.2752555111268522E-7</v>
      </c>
      <c r="U40" s="33"/>
      <c r="V40" s="16">
        <f t="shared" si="11"/>
        <v>8.0935227325644205E-4</v>
      </c>
      <c r="X40" s="71"/>
      <c r="BB40">
        <v>1506.5</v>
      </c>
      <c r="BC40">
        <v>-1.2135750002926216E-3</v>
      </c>
      <c r="BD40">
        <v>0.5</v>
      </c>
      <c r="BH40">
        <v>1506.5</v>
      </c>
      <c r="BI40">
        <v>-1.2135750002926216E-3</v>
      </c>
      <c r="BJ40">
        <v>0.5</v>
      </c>
    </row>
    <row r="41" spans="1:62" x14ac:dyDescent="0.2">
      <c r="A41" s="126" t="s">
        <v>45</v>
      </c>
      <c r="B41" s="47"/>
      <c r="C41" s="56">
        <v>47378.472999999998</v>
      </c>
      <c r="D41" s="48"/>
      <c r="E41">
        <f t="shared" si="1"/>
        <v>909.50447742698054</v>
      </c>
      <c r="F41" s="11">
        <f t="shared" si="2"/>
        <v>909.5</v>
      </c>
      <c r="G41" s="9">
        <v>1.2179749974166043E-3</v>
      </c>
      <c r="H41" s="9"/>
      <c r="I41" s="9">
        <f t="shared" si="8"/>
        <v>1.2179749974166043E-3</v>
      </c>
      <c r="J41" s="9"/>
      <c r="K41" s="9"/>
      <c r="L41" s="9"/>
      <c r="M41" s="9"/>
      <c r="N41" s="25"/>
      <c r="P41" s="38">
        <f t="shared" si="3"/>
        <v>3.2470451317258953E-4</v>
      </c>
      <c r="Q41" s="10">
        <f t="shared" si="4"/>
        <v>32359.972999999998</v>
      </c>
      <c r="R41" s="9">
        <f t="shared" si="9"/>
        <v>7.9793215802153655E-7</v>
      </c>
      <c r="S41" s="13">
        <v>0.5</v>
      </c>
      <c r="T41" s="42">
        <f t="shared" si="10"/>
        <v>3.9896607901076827E-7</v>
      </c>
      <c r="U41" s="33"/>
      <c r="V41" s="16">
        <f t="shared" si="11"/>
        <v>8.9327048424401472E-4</v>
      </c>
      <c r="X41" s="71"/>
      <c r="BB41">
        <v>1583</v>
      </c>
      <c r="BC41">
        <v>3.559500037226826E-4</v>
      </c>
      <c r="BD41">
        <v>0.5</v>
      </c>
      <c r="BH41">
        <v>1583</v>
      </c>
      <c r="BI41">
        <v>3.559500037226826E-4</v>
      </c>
      <c r="BJ41">
        <v>0.5</v>
      </c>
    </row>
    <row r="42" spans="1:62" x14ac:dyDescent="0.2">
      <c r="A42" s="40" t="s">
        <v>46</v>
      </c>
      <c r="B42" s="47"/>
      <c r="C42" s="56">
        <v>47391.449000000001</v>
      </c>
      <c r="D42" s="48"/>
      <c r="E42">
        <f t="shared" si="1"/>
        <v>937.03763508508007</v>
      </c>
      <c r="F42" s="11">
        <f t="shared" si="2"/>
        <v>937</v>
      </c>
      <c r="G42" s="9"/>
      <c r="H42" s="9"/>
      <c r="I42" s="9"/>
      <c r="J42" s="9"/>
      <c r="K42" s="9"/>
      <c r="L42" s="9"/>
      <c r="M42" s="9"/>
      <c r="N42" s="25"/>
      <c r="P42" s="38">
        <f t="shared" si="3"/>
        <v>3.4580926766073048E-4</v>
      </c>
      <c r="Q42" s="10">
        <f t="shared" si="4"/>
        <v>32372.949000000001</v>
      </c>
      <c r="R42" s="9"/>
      <c r="S42" s="13"/>
      <c r="T42" s="42"/>
      <c r="U42" s="33">
        <v>1.6848849998496007E-2</v>
      </c>
      <c r="V42" s="33"/>
      <c r="X42" s="71"/>
      <c r="BB42">
        <v>5624</v>
      </c>
      <c r="BC42">
        <v>7.6638000027742237E-3</v>
      </c>
      <c r="BD42">
        <v>1</v>
      </c>
      <c r="BH42">
        <v>5624</v>
      </c>
      <c r="BI42">
        <v>7.6638000027742237E-3</v>
      </c>
      <c r="BJ42">
        <v>1</v>
      </c>
    </row>
    <row r="43" spans="1:62" x14ac:dyDescent="0.2">
      <c r="A43" s="40" t="s">
        <v>46</v>
      </c>
      <c r="B43" s="47"/>
      <c r="C43" s="56">
        <v>47415.544999999998</v>
      </c>
      <c r="D43" s="48"/>
      <c r="E43">
        <f t="shared" si="1"/>
        <v>988.16579221588938</v>
      </c>
      <c r="F43" s="11">
        <f t="shared" si="2"/>
        <v>988</v>
      </c>
      <c r="G43" s="9"/>
      <c r="H43" s="9"/>
      <c r="I43" s="9"/>
      <c r="J43" s="9"/>
      <c r="K43" s="9"/>
      <c r="L43" s="9"/>
      <c r="M43" s="9"/>
      <c r="N43" s="25"/>
      <c r="P43" s="38">
        <f t="shared" si="3"/>
        <v>3.8587640329186242E-4</v>
      </c>
      <c r="Q43" s="10">
        <f t="shared" si="4"/>
        <v>32397.044999999998</v>
      </c>
      <c r="R43" s="9"/>
      <c r="S43" s="13"/>
      <c r="T43" s="42"/>
      <c r="U43" s="33">
        <v>7.7255199998035096E-2</v>
      </c>
      <c r="V43" s="33"/>
      <c r="X43" s="71"/>
      <c r="BB43">
        <v>5624</v>
      </c>
      <c r="BC43">
        <v>1.1663800003589131E-2</v>
      </c>
      <c r="BD43">
        <v>1</v>
      </c>
      <c r="BH43">
        <v>5624</v>
      </c>
      <c r="BI43">
        <v>1.1663800003589131E-2</v>
      </c>
      <c r="BJ43">
        <v>1</v>
      </c>
    </row>
    <row r="44" spans="1:62" x14ac:dyDescent="0.2">
      <c r="A44" s="40" t="s">
        <v>47</v>
      </c>
      <c r="B44" s="47"/>
      <c r="C44" s="56">
        <v>47439.315000000002</v>
      </c>
      <c r="D44" s="48"/>
      <c r="E44">
        <f t="shared" si="1"/>
        <v>1038.6022254413069</v>
      </c>
      <c r="F44" s="11">
        <f t="shared" si="2"/>
        <v>1038.5</v>
      </c>
      <c r="G44" s="9"/>
      <c r="H44" s="9"/>
      <c r="I44" s="9"/>
      <c r="J44" s="9"/>
      <c r="K44" s="9"/>
      <c r="L44" s="9"/>
      <c r="M44" s="9"/>
      <c r="N44" s="25"/>
      <c r="P44" s="38">
        <f t="shared" si="3"/>
        <v>4.2673810174385517E-4</v>
      </c>
      <c r="Q44" s="10">
        <f t="shared" si="4"/>
        <v>32420.815000000002</v>
      </c>
      <c r="R44" s="9"/>
      <c r="S44" s="13"/>
      <c r="T44" s="42"/>
      <c r="U44" s="33">
        <v>4.7304625004471745E-2</v>
      </c>
      <c r="V44" s="33"/>
      <c r="X44" s="71"/>
      <c r="BB44">
        <v>7214</v>
      </c>
      <c r="BC44">
        <v>1.4065299998037517E-2</v>
      </c>
      <c r="BD44">
        <v>0.5</v>
      </c>
      <c r="BH44">
        <v>7214</v>
      </c>
      <c r="BI44">
        <v>1.4065299998037517E-2</v>
      </c>
      <c r="BJ44">
        <v>0.5</v>
      </c>
    </row>
    <row r="45" spans="1:62" x14ac:dyDescent="0.2">
      <c r="A45" s="44" t="s">
        <v>33</v>
      </c>
      <c r="B45" s="47"/>
      <c r="C45" s="56">
        <v>47655.823299999996</v>
      </c>
      <c r="D45" s="48"/>
      <c r="E45">
        <f t="shared" si="1"/>
        <v>1498.0008966948401</v>
      </c>
      <c r="F45" s="11">
        <f t="shared" si="2"/>
        <v>1498</v>
      </c>
      <c r="G45" s="9">
        <v>-3.8130000029923394E-4</v>
      </c>
      <c r="H45" s="9"/>
      <c r="I45" s="9">
        <f>G45</f>
        <v>-3.8130000029923394E-4</v>
      </c>
      <c r="J45" s="9"/>
      <c r="K45" s="9"/>
      <c r="L45" s="9"/>
      <c r="M45" s="9"/>
      <c r="N45" s="25"/>
      <c r="P45" s="38">
        <f t="shared" si="3"/>
        <v>8.5282502324690297E-4</v>
      </c>
      <c r="Q45" s="10">
        <f t="shared" si="4"/>
        <v>32637.323299999996</v>
      </c>
      <c r="R45" s="9">
        <f>(G45-P45)^2</f>
        <v>1.5230645737427528E-6</v>
      </c>
      <c r="S45" s="13">
        <v>0.5</v>
      </c>
      <c r="T45" s="42">
        <f>R45*S45</f>
        <v>7.6153228687137641E-7</v>
      </c>
      <c r="U45" s="33"/>
      <c r="V45" s="16">
        <f>+G45-P45</f>
        <v>-1.2341250235461368E-3</v>
      </c>
      <c r="X45" s="71"/>
      <c r="BB45">
        <v>8484.5</v>
      </c>
      <c r="BC45">
        <v>1.9731724998564459E-2</v>
      </c>
      <c r="BD45">
        <v>1</v>
      </c>
      <c r="BH45">
        <v>8484.5</v>
      </c>
      <c r="BI45">
        <v>1.9731724998564459E-2</v>
      </c>
      <c r="BJ45">
        <v>1</v>
      </c>
    </row>
    <row r="46" spans="1:62" x14ac:dyDescent="0.2">
      <c r="A46" s="44" t="s">
        <v>33</v>
      </c>
      <c r="B46" s="47"/>
      <c r="C46" s="56">
        <v>47659.828399999999</v>
      </c>
      <c r="D46" s="48"/>
      <c r="E46">
        <f t="shared" si="1"/>
        <v>1506.4991280247177</v>
      </c>
      <c r="F46" s="11">
        <f t="shared" si="2"/>
        <v>1506.5</v>
      </c>
      <c r="G46" s="9">
        <v>-1.2135750002926216E-3</v>
      </c>
      <c r="H46" s="9"/>
      <c r="I46" s="9">
        <f>G46</f>
        <v>-1.2135750002926216E-3</v>
      </c>
      <c r="J46" s="9"/>
      <c r="K46" s="9"/>
      <c r="L46" s="9"/>
      <c r="M46" s="9"/>
      <c r="N46" s="25"/>
      <c r="P46" s="38">
        <f t="shared" si="3"/>
        <v>8.6162843789319081E-4</v>
      </c>
      <c r="Q46" s="10">
        <f t="shared" si="4"/>
        <v>32641.328399999999</v>
      </c>
      <c r="R46" s="9">
        <f>(G46-P46)^2</f>
        <v>4.3064693098582177E-6</v>
      </c>
      <c r="S46" s="13">
        <v>0.5</v>
      </c>
      <c r="T46" s="42">
        <f>R46*S46</f>
        <v>2.1532346549291089E-6</v>
      </c>
      <c r="U46" s="33"/>
      <c r="V46" s="16">
        <f>+G46-P46</f>
        <v>-2.0752034381858126E-3</v>
      </c>
      <c r="X46" s="71"/>
      <c r="BB46">
        <v>8638</v>
      </c>
      <c r="BC46">
        <v>1.8947700002172496E-2</v>
      </c>
      <c r="BD46">
        <v>0.5</v>
      </c>
      <c r="BH46">
        <v>8638</v>
      </c>
      <c r="BI46">
        <v>1.8947700002172496E-2</v>
      </c>
      <c r="BJ46">
        <v>0.5</v>
      </c>
    </row>
    <row r="47" spans="1:62" x14ac:dyDescent="0.2">
      <c r="A47" s="44" t="s">
        <v>33</v>
      </c>
      <c r="B47" s="47"/>
      <c r="C47" s="56">
        <v>47695.88336</v>
      </c>
      <c r="D47" s="48"/>
      <c r="E47">
        <f t="shared" si="1"/>
        <v>1583.0024339769623</v>
      </c>
      <c r="F47" s="11">
        <f t="shared" si="2"/>
        <v>1583</v>
      </c>
      <c r="G47" s="9">
        <v>3.559500037226826E-4</v>
      </c>
      <c r="H47" s="9"/>
      <c r="I47" s="9">
        <f>G47</f>
        <v>3.559500037226826E-4</v>
      </c>
      <c r="J47" s="9"/>
      <c r="K47" s="9"/>
      <c r="L47" s="9"/>
      <c r="M47" s="9"/>
      <c r="N47" s="25"/>
      <c r="P47" s="38">
        <f t="shared" si="3"/>
        <v>9.4236547115622907E-4</v>
      </c>
      <c r="Q47" s="10">
        <f t="shared" si="4"/>
        <v>32677.38336</v>
      </c>
      <c r="R47" s="9">
        <f>(G47-P47)^2</f>
        <v>3.4388310044530481E-7</v>
      </c>
      <c r="S47" s="13">
        <v>0.5</v>
      </c>
      <c r="T47" s="42">
        <f>R47*S47</f>
        <v>1.719415502226524E-7</v>
      </c>
      <c r="U47" s="33"/>
      <c r="V47" s="16">
        <f>+G47-P47</f>
        <v>-5.8641546743354647E-4</v>
      </c>
      <c r="X47" s="71"/>
      <c r="BB47">
        <v>9175</v>
      </c>
      <c r="BC47">
        <v>2.3045149995596148E-2</v>
      </c>
      <c r="BD47">
        <v>1</v>
      </c>
      <c r="BH47">
        <v>9175</v>
      </c>
      <c r="BI47">
        <v>2.3045149995596148E-2</v>
      </c>
      <c r="BJ47">
        <v>1</v>
      </c>
    </row>
    <row r="48" spans="1:62" x14ac:dyDescent="0.2">
      <c r="A48" s="40" t="s">
        <v>48</v>
      </c>
      <c r="B48" s="47"/>
      <c r="C48" s="46">
        <v>47702.44</v>
      </c>
      <c r="D48" s="48"/>
      <c r="E48" s="30">
        <f t="shared" si="1"/>
        <v>1596.9146567595947</v>
      </c>
      <c r="F48" s="43">
        <f t="shared" si="2"/>
        <v>1597</v>
      </c>
      <c r="G48" s="40"/>
      <c r="H48" s="40"/>
      <c r="I48" s="26"/>
      <c r="J48" s="26"/>
      <c r="K48" s="26"/>
      <c r="L48" s="26"/>
      <c r="M48" s="26"/>
      <c r="P48" s="38">
        <f t="shared" si="3"/>
        <v>9.5743437596448216E-4</v>
      </c>
      <c r="Q48" s="10">
        <f t="shared" si="4"/>
        <v>32683.940000000002</v>
      </c>
      <c r="R48" s="9"/>
      <c r="S48" s="13"/>
      <c r="T48" s="42"/>
      <c r="U48" s="33">
        <v>-4.022110000369139E-2</v>
      </c>
      <c r="V48" s="33"/>
      <c r="BB48">
        <v>9194</v>
      </c>
      <c r="BC48">
        <v>2.2308300001895986E-2</v>
      </c>
      <c r="BD48">
        <v>1</v>
      </c>
      <c r="BH48">
        <v>9194</v>
      </c>
      <c r="BI48">
        <v>2.2308300001895986E-2</v>
      </c>
      <c r="BJ48">
        <v>1</v>
      </c>
    </row>
    <row r="49" spans="1:62" x14ac:dyDescent="0.2">
      <c r="A49" s="40" t="s">
        <v>48</v>
      </c>
      <c r="B49" s="47" t="s">
        <v>60</v>
      </c>
      <c r="C49" s="46">
        <v>47714.430999999997</v>
      </c>
      <c r="D49" s="48"/>
      <c r="E49" s="30">
        <f t="shared" si="1"/>
        <v>1622.3577897341677</v>
      </c>
      <c r="F49" s="43">
        <f t="shared" si="2"/>
        <v>1622.5</v>
      </c>
      <c r="G49" s="40"/>
      <c r="H49" s="40"/>
      <c r="I49" s="26"/>
      <c r="J49" s="26"/>
      <c r="K49" s="26"/>
      <c r="L49" s="26"/>
      <c r="M49" s="26"/>
      <c r="P49" s="38">
        <f t="shared" si="3"/>
        <v>9.8511463876995863E-4</v>
      </c>
      <c r="Q49" s="10">
        <f t="shared" si="4"/>
        <v>32695.930999999997</v>
      </c>
      <c r="R49" s="9"/>
      <c r="S49" s="13"/>
      <c r="T49" s="42"/>
      <c r="U49" s="33">
        <v>-6.7021750008279923E-2</v>
      </c>
      <c r="V49" s="33"/>
      <c r="BB49">
        <v>9200</v>
      </c>
      <c r="BC49">
        <v>2.2391400001652073E-2</v>
      </c>
      <c r="BD49">
        <v>1</v>
      </c>
      <c r="BH49">
        <v>9200</v>
      </c>
      <c r="BI49">
        <v>2.2391400001652073E-2</v>
      </c>
      <c r="BJ49">
        <v>1</v>
      </c>
    </row>
    <row r="50" spans="1:62" x14ac:dyDescent="0.2">
      <c r="A50" s="40" t="s">
        <v>48</v>
      </c>
      <c r="B50" s="47"/>
      <c r="C50" s="46">
        <v>47743.466999999997</v>
      </c>
      <c r="D50" s="48"/>
      <c r="E50" s="30">
        <f t="shared" si="1"/>
        <v>1683.9678980695894</v>
      </c>
      <c r="F50" s="43">
        <f t="shared" si="2"/>
        <v>1684</v>
      </c>
      <c r="G50" s="40"/>
      <c r="H50" s="40"/>
      <c r="I50" s="26"/>
      <c r="J50" s="26"/>
      <c r="K50" s="26"/>
      <c r="L50" s="26"/>
      <c r="M50" s="26"/>
      <c r="P50" s="38">
        <f t="shared" si="3"/>
        <v>1.0531123607747427E-3</v>
      </c>
      <c r="Q50" s="10">
        <f t="shared" si="4"/>
        <v>32724.966999999997</v>
      </c>
      <c r="R50" s="9"/>
      <c r="S50" s="13"/>
      <c r="T50" s="9"/>
      <c r="U50" s="33">
        <v>-1.5129200008232147E-2</v>
      </c>
      <c r="V50" s="33"/>
      <c r="BB50">
        <v>9242.5</v>
      </c>
      <c r="BC50">
        <v>2.2730025004420895E-2</v>
      </c>
      <c r="BD50">
        <v>1</v>
      </c>
      <c r="BH50">
        <v>9242.5</v>
      </c>
      <c r="BI50">
        <v>2.2730025004420895E-2</v>
      </c>
      <c r="BJ50">
        <v>1</v>
      </c>
    </row>
    <row r="51" spans="1:62" x14ac:dyDescent="0.2">
      <c r="A51" s="40" t="s">
        <v>48</v>
      </c>
      <c r="B51" s="47" t="s">
        <v>60</v>
      </c>
      <c r="C51" s="46">
        <v>47748.434999999998</v>
      </c>
      <c r="D51" s="48"/>
      <c r="E51" s="30">
        <f t="shared" si="1"/>
        <v>1694.5092611433745</v>
      </c>
      <c r="F51" s="43">
        <f t="shared" si="2"/>
        <v>1694.5</v>
      </c>
      <c r="G51" s="40"/>
      <c r="H51" s="40"/>
      <c r="I51" s="26"/>
      <c r="J51" s="26"/>
      <c r="K51" s="26"/>
      <c r="L51" s="26"/>
      <c r="M51" s="26"/>
      <c r="P51" s="38">
        <f t="shared" si="3"/>
        <v>1.0648968550348746E-3</v>
      </c>
      <c r="Q51" s="10">
        <f t="shared" si="4"/>
        <v>32729.934999999998</v>
      </c>
      <c r="R51" s="9"/>
      <c r="S51" s="13"/>
      <c r="T51" s="9"/>
      <c r="U51" s="33">
        <v>4.364649998024106E-3</v>
      </c>
      <c r="V51" s="33"/>
      <c r="BB51">
        <v>9249</v>
      </c>
      <c r="BC51">
        <v>2.2070049999456387E-2</v>
      </c>
      <c r="BD51">
        <v>1</v>
      </c>
      <c r="BH51">
        <v>9249</v>
      </c>
      <c r="BI51">
        <v>2.2070049999456387E-2</v>
      </c>
      <c r="BJ51">
        <v>1</v>
      </c>
    </row>
    <row r="52" spans="1:62" x14ac:dyDescent="0.2">
      <c r="A52" s="40" t="s">
        <v>48</v>
      </c>
      <c r="B52" s="47" t="s">
        <v>60</v>
      </c>
      <c r="C52" s="46">
        <v>47757.398999999998</v>
      </c>
      <c r="D52" s="48"/>
      <c r="E52" s="30">
        <f t="shared" si="1"/>
        <v>1713.5295466895486</v>
      </c>
      <c r="F52" s="43">
        <f t="shared" si="2"/>
        <v>1713.5</v>
      </c>
      <c r="G52" s="40"/>
      <c r="H52" s="40"/>
      <c r="I52" s="26"/>
      <c r="J52" s="26"/>
      <c r="K52" s="26"/>
      <c r="L52" s="26"/>
      <c r="M52" s="26"/>
      <c r="P52" s="38">
        <f t="shared" si="3"/>
        <v>1.0863510175758953E-3</v>
      </c>
      <c r="Q52" s="10">
        <f t="shared" si="4"/>
        <v>32738.898999999998</v>
      </c>
      <c r="R52" s="9"/>
      <c r="S52" s="13"/>
      <c r="T52" s="9"/>
      <c r="U52" s="33">
        <v>1.3924949991633184E-2</v>
      </c>
      <c r="V52" s="33"/>
      <c r="BB52">
        <v>10001.5</v>
      </c>
      <c r="BC52">
        <v>1.9770549995882902E-2</v>
      </c>
      <c r="BD52">
        <v>0.5</v>
      </c>
      <c r="BH52">
        <v>10001.5</v>
      </c>
      <c r="BI52">
        <v>1.9770549995882902E-2</v>
      </c>
      <c r="BJ52">
        <v>0.5</v>
      </c>
    </row>
    <row r="53" spans="1:62" x14ac:dyDescent="0.2">
      <c r="A53" s="40" t="s">
        <v>48</v>
      </c>
      <c r="B53" s="47"/>
      <c r="C53" s="46">
        <v>47768.35</v>
      </c>
      <c r="D53" s="48"/>
      <c r="E53" s="30">
        <f t="shared" ref="E53:E84" si="12">(C53-C$7)/C$8</f>
        <v>1736.7659530947442</v>
      </c>
      <c r="F53" s="43">
        <f t="shared" ref="F53:F84" si="13">ROUND(2*E53,0)/2</f>
        <v>1737</v>
      </c>
      <c r="G53" s="40"/>
      <c r="H53" s="40"/>
      <c r="I53" s="26"/>
      <c r="J53" s="26"/>
      <c r="K53" s="26"/>
      <c r="L53" s="26"/>
      <c r="P53" s="38">
        <f t="shared" si="3"/>
        <v>1.1131177891658783E-3</v>
      </c>
      <c r="Q53" s="10">
        <f t="shared" si="4"/>
        <v>32749.85</v>
      </c>
      <c r="R53" s="9"/>
      <c r="S53" s="13"/>
      <c r="T53" s="9"/>
      <c r="U53" s="33">
        <v>-0.11030310000205645</v>
      </c>
      <c r="V53" s="33"/>
      <c r="BB53">
        <v>10030</v>
      </c>
      <c r="BC53">
        <v>2.5735961840837263E-2</v>
      </c>
      <c r="BD53">
        <v>1</v>
      </c>
      <c r="BH53">
        <v>10030</v>
      </c>
      <c r="BI53">
        <v>2.5735961840837263E-2</v>
      </c>
      <c r="BJ53">
        <v>1</v>
      </c>
    </row>
    <row r="54" spans="1:62" x14ac:dyDescent="0.2">
      <c r="A54" s="40" t="s">
        <v>48</v>
      </c>
      <c r="B54" s="47" t="s">
        <v>60</v>
      </c>
      <c r="C54" s="46">
        <v>47775.360000000001</v>
      </c>
      <c r="D54" s="48"/>
      <c r="E54" s="30">
        <f t="shared" si="12"/>
        <v>1751.6401389134326</v>
      </c>
      <c r="F54" s="43">
        <f t="shared" si="13"/>
        <v>1751.5</v>
      </c>
      <c r="G54" s="40"/>
      <c r="H54" s="40"/>
      <c r="I54" s="26"/>
      <c r="J54" s="26"/>
      <c r="K54" s="26"/>
      <c r="M54" s="26"/>
      <c r="P54" s="38">
        <f t="shared" ref="P54:P85" si="14">+D$11+D$12*F54+D$13*F54^2</f>
        <v>1.1297610956657045E-3</v>
      </c>
      <c r="Q54" s="10">
        <f t="shared" ref="Q54:Q85" si="15">C54-15018.5</f>
        <v>32756.86</v>
      </c>
      <c r="R54" s="9"/>
      <c r="S54" s="13"/>
      <c r="T54" s="9"/>
      <c r="U54" s="33">
        <v>6.6045549996488262E-2</v>
      </c>
      <c r="V54" s="33"/>
      <c r="BB54">
        <v>10681.5</v>
      </c>
      <c r="BC54">
        <v>3.2860175000678282E-2</v>
      </c>
      <c r="BD54">
        <v>1</v>
      </c>
      <c r="BH54">
        <v>10089</v>
      </c>
      <c r="BI54">
        <v>2.8219299994816538E-2</v>
      </c>
      <c r="BJ54">
        <v>1</v>
      </c>
    </row>
    <row r="55" spans="1:62" x14ac:dyDescent="0.2">
      <c r="A55" s="40" t="s">
        <v>48</v>
      </c>
      <c r="B55" s="47" t="s">
        <v>60</v>
      </c>
      <c r="C55" s="46">
        <v>47782.311000000002</v>
      </c>
      <c r="D55" s="48"/>
      <c r="E55" s="30">
        <f t="shared" si="12"/>
        <v>1766.3891354363548</v>
      </c>
      <c r="F55" s="43">
        <f t="shared" si="13"/>
        <v>1766.5</v>
      </c>
      <c r="G55" s="40"/>
      <c r="H55" s="40"/>
      <c r="I55" s="26"/>
      <c r="J55" s="26"/>
      <c r="K55" s="26"/>
      <c r="L55" s="26"/>
      <c r="P55" s="38">
        <f t="shared" si="14"/>
        <v>1.1470808142289371E-3</v>
      </c>
      <c r="Q55" s="10">
        <f t="shared" si="15"/>
        <v>32763.811000000002</v>
      </c>
      <c r="R55" s="9"/>
      <c r="S55" s="13"/>
      <c r="T55" s="9"/>
      <c r="U55" s="33">
        <v>-5.2248949999921024E-2</v>
      </c>
      <c r="V55" s="33"/>
      <c r="BB55">
        <v>10784.5</v>
      </c>
      <c r="BC55">
        <v>3.0897649994585663E-2</v>
      </c>
      <c r="BD55">
        <v>1</v>
      </c>
      <c r="BH55">
        <v>10681.5</v>
      </c>
      <c r="BI55">
        <v>3.2860175000678282E-2</v>
      </c>
      <c r="BJ55">
        <v>1</v>
      </c>
    </row>
    <row r="56" spans="1:62" x14ac:dyDescent="0.2">
      <c r="A56" s="40" t="s">
        <v>49</v>
      </c>
      <c r="B56" s="47"/>
      <c r="C56" s="46">
        <v>48014.49</v>
      </c>
      <c r="D56" s="48"/>
      <c r="E56" s="30">
        <f t="shared" si="12"/>
        <v>2259.0387202004281</v>
      </c>
      <c r="F56" s="43">
        <f t="shared" si="13"/>
        <v>2259</v>
      </c>
      <c r="G56" s="40"/>
      <c r="H56" s="40"/>
      <c r="I56" s="26"/>
      <c r="J56" s="26"/>
      <c r="K56" s="26"/>
      <c r="L56" s="26"/>
      <c r="P56" s="38">
        <f t="shared" si="14"/>
        <v>1.7736442737841288E-3</v>
      </c>
      <c r="Q56" s="10">
        <f t="shared" si="15"/>
        <v>32995.99</v>
      </c>
      <c r="R56" s="9"/>
      <c r="S56" s="13"/>
      <c r="T56" s="9"/>
      <c r="U56" s="33">
        <v>1.8248299995320849E-2</v>
      </c>
      <c r="V56" s="33"/>
      <c r="BB56">
        <v>10929</v>
      </c>
      <c r="BC56">
        <v>3.3827300001576077E-2</v>
      </c>
      <c r="BD56">
        <v>0.5</v>
      </c>
      <c r="BH56">
        <v>10784.5</v>
      </c>
      <c r="BI56">
        <v>3.0897649994585663E-2</v>
      </c>
      <c r="BJ56">
        <v>1</v>
      </c>
    </row>
    <row r="57" spans="1:62" x14ac:dyDescent="0.2">
      <c r="A57" s="40" t="s">
        <v>49</v>
      </c>
      <c r="B57" s="47"/>
      <c r="C57" s="46">
        <v>48015.413</v>
      </c>
      <c r="D57" s="48"/>
      <c r="E57" s="30">
        <f t="shared" si="12"/>
        <v>2260.9971900307678</v>
      </c>
      <c r="F57" s="43">
        <f t="shared" si="13"/>
        <v>2261</v>
      </c>
      <c r="G57" s="40"/>
      <c r="H57" s="40"/>
      <c r="I57" s="26"/>
      <c r="J57" s="26"/>
      <c r="K57" s="26"/>
      <c r="L57" s="26"/>
      <c r="P57" s="38">
        <f t="shared" si="14"/>
        <v>1.7764177953670593E-3</v>
      </c>
      <c r="Q57" s="10">
        <f t="shared" si="15"/>
        <v>32996.913</v>
      </c>
      <c r="R57" s="9"/>
      <c r="S57" s="13"/>
      <c r="T57" s="9"/>
      <c r="U57" s="33">
        <v>-1.3242999993963167E-3</v>
      </c>
      <c r="V57" s="33"/>
      <c r="BB57">
        <v>11493.5</v>
      </c>
      <c r="BC57">
        <v>3.4110949993191753E-2</v>
      </c>
      <c r="BD57">
        <v>1</v>
      </c>
      <c r="BH57">
        <v>10929</v>
      </c>
      <c r="BI57">
        <v>3.3827300001576077E-2</v>
      </c>
      <c r="BJ57">
        <v>0.5</v>
      </c>
    </row>
    <row r="58" spans="1:62" x14ac:dyDescent="0.2">
      <c r="A58" s="40" t="s">
        <v>49</v>
      </c>
      <c r="B58" s="47"/>
      <c r="C58" s="46">
        <v>48039.463000000003</v>
      </c>
      <c r="D58" s="48"/>
      <c r="E58" s="30">
        <f t="shared" si="12"/>
        <v>2312.0277419479421</v>
      </c>
      <c r="F58" s="43">
        <f t="shared" si="13"/>
        <v>2312</v>
      </c>
      <c r="G58" s="40"/>
      <c r="H58" s="40"/>
      <c r="I58" s="26"/>
      <c r="J58" s="26"/>
      <c r="K58" s="26"/>
      <c r="L58" s="26"/>
      <c r="M58" s="26"/>
      <c r="P58" s="38">
        <f t="shared" si="14"/>
        <v>1.8477687445683467E-3</v>
      </c>
      <c r="Q58" s="10">
        <f t="shared" si="15"/>
        <v>33020.963000000003</v>
      </c>
      <c r="R58" s="9"/>
      <c r="S58" s="13"/>
      <c r="T58" s="9"/>
      <c r="U58" s="33">
        <v>1.3074399998004083E-2</v>
      </c>
      <c r="V58" s="33"/>
      <c r="BB58">
        <v>12205</v>
      </c>
      <c r="BC58">
        <v>3.7376154534285888E-2</v>
      </c>
      <c r="BD58">
        <v>1</v>
      </c>
      <c r="BH58">
        <v>11493.5</v>
      </c>
      <c r="BI58">
        <v>3.4110949993191753E-2</v>
      </c>
      <c r="BJ58">
        <v>1</v>
      </c>
    </row>
    <row r="59" spans="1:62" x14ac:dyDescent="0.2">
      <c r="A59" s="40" t="s">
        <v>49</v>
      </c>
      <c r="B59" s="47" t="s">
        <v>60</v>
      </c>
      <c r="C59" s="46">
        <v>48044.400999999998</v>
      </c>
      <c r="D59" s="48"/>
      <c r="E59" s="30">
        <f t="shared" si="12"/>
        <v>2322.5054494475971</v>
      </c>
      <c r="F59" s="43">
        <f t="shared" si="13"/>
        <v>2322.5</v>
      </c>
      <c r="G59" s="40"/>
      <c r="H59" s="40"/>
      <c r="I59" s="26"/>
      <c r="J59" s="26"/>
      <c r="K59" s="26"/>
      <c r="L59" s="26"/>
      <c r="M59" s="26"/>
      <c r="P59" s="38">
        <f t="shared" si="14"/>
        <v>1.8626082335959928E-3</v>
      </c>
      <c r="Q59" s="10">
        <f t="shared" si="15"/>
        <v>33025.900999999998</v>
      </c>
      <c r="R59" s="9"/>
      <c r="S59" s="13"/>
      <c r="T59" s="9"/>
      <c r="U59" s="33">
        <v>2.5682499981485307E-3</v>
      </c>
      <c r="V59" s="33"/>
      <c r="BB59">
        <v>12289</v>
      </c>
      <c r="BC59">
        <v>3.7659299996448681E-2</v>
      </c>
      <c r="BD59">
        <v>0.5</v>
      </c>
      <c r="BH59">
        <v>12205</v>
      </c>
      <c r="BI59">
        <v>3.7376154534285888E-2</v>
      </c>
      <c r="BJ59">
        <v>1</v>
      </c>
    </row>
    <row r="60" spans="1:62" x14ac:dyDescent="0.2">
      <c r="A60" s="40" t="s">
        <v>50</v>
      </c>
      <c r="B60" s="47" t="s">
        <v>60</v>
      </c>
      <c r="C60" s="46">
        <v>48085.415000000001</v>
      </c>
      <c r="D60" s="48"/>
      <c r="E60" s="30">
        <f t="shared" si="12"/>
        <v>2409.5311066754921</v>
      </c>
      <c r="F60" s="43">
        <f t="shared" si="13"/>
        <v>2409.5</v>
      </c>
      <c r="G60" s="40"/>
      <c r="H60" s="40"/>
      <c r="I60" s="26"/>
      <c r="J60" s="26"/>
      <c r="K60" s="26"/>
      <c r="L60" s="26"/>
      <c r="P60" s="38">
        <f t="shared" si="14"/>
        <v>1.9875289674558929E-3</v>
      </c>
      <c r="Q60" s="10">
        <f t="shared" si="15"/>
        <v>33066.915000000001</v>
      </c>
      <c r="R60" s="9"/>
      <c r="S60" s="11"/>
      <c r="T60" s="9"/>
      <c r="U60" s="33">
        <v>1.4660149994597305E-2</v>
      </c>
      <c r="V60" s="33"/>
      <c r="BB60">
        <v>12330</v>
      </c>
      <c r="BC60">
        <v>3.8620999999693595E-2</v>
      </c>
      <c r="BD60">
        <v>1</v>
      </c>
      <c r="BH60">
        <v>12289</v>
      </c>
      <c r="BI60">
        <v>3.7659299996448681E-2</v>
      </c>
      <c r="BJ60">
        <v>0.5</v>
      </c>
    </row>
    <row r="61" spans="1:62" x14ac:dyDescent="0.2">
      <c r="A61" s="40" t="s">
        <v>50</v>
      </c>
      <c r="B61" s="47"/>
      <c r="C61" s="46">
        <v>48089.428999999996</v>
      </c>
      <c r="D61" s="48"/>
      <c r="E61" s="30">
        <f t="shared" si="12"/>
        <v>2418.0482224923439</v>
      </c>
      <c r="F61" s="43">
        <f t="shared" si="13"/>
        <v>2418</v>
      </c>
      <c r="G61" s="40"/>
      <c r="H61" s="40"/>
      <c r="I61" s="26"/>
      <c r="J61" s="26"/>
      <c r="K61" s="26"/>
      <c r="L61" s="26"/>
      <c r="P61" s="38">
        <f t="shared" si="14"/>
        <v>1.9999219082941742E-3</v>
      </c>
      <c r="Q61" s="10">
        <f t="shared" si="15"/>
        <v>33070.928999999996</v>
      </c>
      <c r="R61" s="9"/>
      <c r="S61" s="11"/>
      <c r="T61" s="9"/>
      <c r="U61" s="33">
        <v>2.2726599992893171E-2</v>
      </c>
      <c r="V61" s="33"/>
      <c r="BB61">
        <v>12330</v>
      </c>
      <c r="BC61">
        <v>3.8720999997167382E-2</v>
      </c>
      <c r="BD61">
        <v>1</v>
      </c>
      <c r="BH61">
        <v>12313</v>
      </c>
      <c r="BI61">
        <v>4.018809999251971E-2</v>
      </c>
      <c r="BJ61">
        <v>1</v>
      </c>
    </row>
    <row r="62" spans="1:62" x14ac:dyDescent="0.2">
      <c r="A62" s="40" t="s">
        <v>50</v>
      </c>
      <c r="B62" s="47"/>
      <c r="C62" s="46">
        <v>48113.425999999999</v>
      </c>
      <c r="D62" s="48"/>
      <c r="E62" s="30">
        <f t="shared" si="12"/>
        <v>2468.9663162285783</v>
      </c>
      <c r="F62" s="43">
        <f t="shared" si="13"/>
        <v>2469</v>
      </c>
      <c r="G62" s="40"/>
      <c r="H62" s="40"/>
      <c r="I62" s="26"/>
      <c r="J62" s="26"/>
      <c r="K62" s="26"/>
      <c r="L62" s="26"/>
      <c r="P62" s="38">
        <f t="shared" si="14"/>
        <v>2.0749824939988717E-3</v>
      </c>
      <c r="Q62" s="10">
        <f t="shared" si="15"/>
        <v>33094.925999999999</v>
      </c>
      <c r="R62" s="9"/>
      <c r="S62" s="11"/>
      <c r="T62" s="9"/>
      <c r="U62" s="33">
        <v>-1.5874700002314057E-2</v>
      </c>
      <c r="V62" s="33"/>
      <c r="BB62">
        <v>13086.5</v>
      </c>
      <c r="BC62">
        <v>4.1135049992590211E-2</v>
      </c>
      <c r="BD62">
        <v>0.5</v>
      </c>
      <c r="BH62">
        <v>12330</v>
      </c>
      <c r="BI62">
        <v>3.8620999999693595E-2</v>
      </c>
      <c r="BJ62">
        <v>1</v>
      </c>
    </row>
    <row r="63" spans="1:62" x14ac:dyDescent="0.2">
      <c r="A63" s="40" t="s">
        <v>50</v>
      </c>
      <c r="B63" s="47"/>
      <c r="C63" s="46">
        <v>48114.400000000001</v>
      </c>
      <c r="D63" s="48"/>
      <c r="E63" s="30">
        <f t="shared" si="12"/>
        <v>2471.033000534916</v>
      </c>
      <c r="F63" s="43">
        <f t="shared" si="13"/>
        <v>2471</v>
      </c>
      <c r="G63" s="40"/>
      <c r="H63" s="40"/>
      <c r="I63" s="26"/>
      <c r="J63" s="26"/>
      <c r="K63" s="26"/>
      <c r="L63" s="26"/>
      <c r="M63" s="26"/>
      <c r="P63" s="38">
        <f t="shared" si="14"/>
        <v>2.0779506012357837E-3</v>
      </c>
      <c r="Q63" s="10">
        <f t="shared" si="15"/>
        <v>33095.9</v>
      </c>
      <c r="R63" s="9"/>
      <c r="S63" s="11"/>
      <c r="T63" s="9"/>
      <c r="U63" s="33">
        <v>1.555269999516895E-2</v>
      </c>
      <c r="V63" s="33"/>
      <c r="BB63">
        <v>13146</v>
      </c>
      <c r="BC63">
        <v>4.5000199999776669E-2</v>
      </c>
      <c r="BD63">
        <v>1</v>
      </c>
      <c r="BH63">
        <v>12330</v>
      </c>
      <c r="BI63">
        <v>3.8720999997167382E-2</v>
      </c>
      <c r="BJ63">
        <v>1</v>
      </c>
    </row>
    <row r="64" spans="1:62" x14ac:dyDescent="0.2">
      <c r="A64" s="40" t="s">
        <v>50</v>
      </c>
      <c r="B64" s="47"/>
      <c r="C64" s="46">
        <v>48163.402000000002</v>
      </c>
      <c r="D64" s="48"/>
      <c r="E64" s="40">
        <f t="shared" si="12"/>
        <v>2575.0080152977052</v>
      </c>
      <c r="F64" s="44">
        <f t="shared" si="13"/>
        <v>2575</v>
      </c>
      <c r="G64" s="40"/>
      <c r="H64" s="40"/>
      <c r="I64" s="26"/>
      <c r="J64" s="26"/>
      <c r="K64" s="26"/>
      <c r="L64" s="26"/>
      <c r="M64" s="26"/>
      <c r="P64" s="38">
        <f t="shared" si="14"/>
        <v>2.2348458826141385E-3</v>
      </c>
      <c r="Q64" s="10">
        <f t="shared" si="15"/>
        <v>33144.902000000002</v>
      </c>
      <c r="R64" s="9"/>
      <c r="S64" s="11"/>
      <c r="T64" s="9"/>
      <c r="U64" s="33">
        <v>3.7775000018882565E-3</v>
      </c>
      <c r="V64" s="33"/>
      <c r="BB64">
        <v>13159</v>
      </c>
      <c r="BC64">
        <v>4.3778300001577009E-2</v>
      </c>
      <c r="BD64">
        <v>0.5</v>
      </c>
      <c r="BH64">
        <v>13086.5</v>
      </c>
      <c r="BI64">
        <v>4.1135049992590211E-2</v>
      </c>
      <c r="BJ64">
        <v>0.5</v>
      </c>
    </row>
    <row r="65" spans="1:62" x14ac:dyDescent="0.2">
      <c r="A65" s="40" t="s">
        <v>51</v>
      </c>
      <c r="B65" s="47"/>
      <c r="C65" s="46">
        <v>48433.409</v>
      </c>
      <c r="D65" s="48"/>
      <c r="E65" s="40">
        <f t="shared" si="12"/>
        <v>3147.9230353184394</v>
      </c>
      <c r="F65" s="44">
        <f t="shared" si="13"/>
        <v>3148</v>
      </c>
      <c r="G65" s="40"/>
      <c r="H65" s="40"/>
      <c r="I65" s="26"/>
      <c r="J65" s="26"/>
      <c r="K65" s="26"/>
      <c r="L65" s="26"/>
      <c r="M65" s="26"/>
      <c r="P65" s="38">
        <f t="shared" si="14"/>
        <v>3.1891402785249592E-3</v>
      </c>
      <c r="Q65" s="10">
        <f t="shared" si="15"/>
        <v>33414.909</v>
      </c>
      <c r="R65" s="9"/>
      <c r="S65" s="11"/>
      <c r="T65" s="9"/>
      <c r="U65" s="33">
        <v>-3.6272400000598282E-2</v>
      </c>
      <c r="V65" s="33"/>
      <c r="BB65">
        <v>13771</v>
      </c>
      <c r="BC65">
        <v>4.8062699999718461E-2</v>
      </c>
      <c r="BD65">
        <v>1</v>
      </c>
      <c r="BH65">
        <v>13146</v>
      </c>
      <c r="BI65">
        <v>4.5000199999776669E-2</v>
      </c>
      <c r="BJ65">
        <v>1</v>
      </c>
    </row>
    <row r="66" spans="1:62" x14ac:dyDescent="0.2">
      <c r="A66" s="40" t="s">
        <v>51</v>
      </c>
      <c r="B66" s="47"/>
      <c r="C66" s="46">
        <v>48441.45</v>
      </c>
      <c r="D66" s="48"/>
      <c r="E66" s="40">
        <f t="shared" si="12"/>
        <v>3164.984851034274</v>
      </c>
      <c r="F66" s="44">
        <f t="shared" si="13"/>
        <v>3165</v>
      </c>
      <c r="G66" s="40"/>
      <c r="H66" s="40"/>
      <c r="I66" s="26"/>
      <c r="J66" s="26"/>
      <c r="K66" s="26"/>
      <c r="L66" s="26"/>
      <c r="P66" s="38">
        <f t="shared" si="14"/>
        <v>3.219776123073937E-3</v>
      </c>
      <c r="Q66" s="10">
        <f t="shared" si="15"/>
        <v>33422.949999999997</v>
      </c>
      <c r="R66" s="9"/>
      <c r="S66" s="11"/>
      <c r="T66" s="9"/>
      <c r="U66" s="33">
        <v>-7.13950000499608E-3</v>
      </c>
      <c r="V66" s="33"/>
      <c r="BB66">
        <v>13997</v>
      </c>
      <c r="BC66">
        <v>5.1138900002115406E-2</v>
      </c>
      <c r="BD66">
        <v>1</v>
      </c>
      <c r="BH66">
        <v>13159</v>
      </c>
      <c r="BI66">
        <v>4.3778300001577009E-2</v>
      </c>
      <c r="BJ66">
        <v>0.5</v>
      </c>
    </row>
    <row r="67" spans="1:62" x14ac:dyDescent="0.2">
      <c r="A67" s="40" t="s">
        <v>51</v>
      </c>
      <c r="B67" s="47"/>
      <c r="C67" s="46">
        <v>48449.425999999999</v>
      </c>
      <c r="D67" s="48"/>
      <c r="E67" s="40">
        <f t="shared" si="12"/>
        <v>3181.9087463395317</v>
      </c>
      <c r="F67" s="44">
        <f t="shared" si="13"/>
        <v>3182</v>
      </c>
      <c r="G67" s="40"/>
      <c r="H67" s="40"/>
      <c r="I67" s="26"/>
      <c r="J67" s="26"/>
      <c r="K67" s="26"/>
      <c r="L67" s="26"/>
      <c r="P67" s="38">
        <f t="shared" si="14"/>
        <v>3.2505458610848216E-3</v>
      </c>
      <c r="Q67" s="10">
        <f t="shared" si="15"/>
        <v>33430.925999999999</v>
      </c>
      <c r="R67" s="9"/>
      <c r="S67" s="11"/>
      <c r="T67" s="9"/>
      <c r="U67" s="33">
        <v>-4.3006600004446227E-2</v>
      </c>
      <c r="V67" s="33"/>
      <c r="BB67">
        <v>14501</v>
      </c>
      <c r="BC67">
        <v>5.2903699994203635E-2</v>
      </c>
      <c r="BD67">
        <v>1</v>
      </c>
      <c r="BH67">
        <v>13771</v>
      </c>
      <c r="BI67">
        <v>4.8062699999718461E-2</v>
      </c>
      <c r="BJ67">
        <v>1</v>
      </c>
    </row>
    <row r="68" spans="1:62" x14ac:dyDescent="0.2">
      <c r="A68" s="40" t="s">
        <v>51</v>
      </c>
      <c r="B68" s="47"/>
      <c r="C68" s="46">
        <v>48466.432999999997</v>
      </c>
      <c r="D68" s="48"/>
      <c r="E68" s="40">
        <f t="shared" si="12"/>
        <v>3217.9950913064827</v>
      </c>
      <c r="F68" s="44">
        <f t="shared" si="13"/>
        <v>3218</v>
      </c>
      <c r="G68" s="40"/>
      <c r="H68" s="40"/>
      <c r="I68" s="26"/>
      <c r="J68" s="26"/>
      <c r="K68" s="26"/>
      <c r="L68" s="26"/>
      <c r="P68" s="38">
        <f t="shared" si="14"/>
        <v>3.3161472936983857E-3</v>
      </c>
      <c r="Q68" s="10">
        <f t="shared" si="15"/>
        <v>33447.932999999997</v>
      </c>
      <c r="R68" s="9"/>
      <c r="S68" s="11"/>
      <c r="T68" s="9"/>
      <c r="U68" s="33">
        <v>-2.313400007551536E-3</v>
      </c>
      <c r="V68" s="33"/>
      <c r="BB68">
        <v>14572</v>
      </c>
      <c r="BC68">
        <v>5.3336399992986117E-2</v>
      </c>
      <c r="BD68">
        <v>1</v>
      </c>
      <c r="BH68">
        <v>13997</v>
      </c>
      <c r="BI68">
        <v>5.1138900002115406E-2</v>
      </c>
      <c r="BJ68">
        <v>1</v>
      </c>
    </row>
    <row r="69" spans="1:62" x14ac:dyDescent="0.2">
      <c r="A69" s="40" t="s">
        <v>52</v>
      </c>
      <c r="B69" s="47" t="s">
        <v>60</v>
      </c>
      <c r="C69" s="46">
        <v>48503.44</v>
      </c>
      <c r="D69" s="48"/>
      <c r="E69" s="30">
        <f t="shared" si="12"/>
        <v>3296.518485684815</v>
      </c>
      <c r="F69" s="44">
        <f t="shared" si="13"/>
        <v>3296.5</v>
      </c>
      <c r="G69" s="40"/>
      <c r="H69" s="40"/>
      <c r="I69" s="26"/>
      <c r="J69" s="26"/>
      <c r="K69" s="26"/>
      <c r="L69" s="26"/>
      <c r="P69" s="38">
        <f t="shared" si="14"/>
        <v>3.4612769864462985E-3</v>
      </c>
      <c r="Q69" s="10">
        <f t="shared" si="15"/>
        <v>33484.94</v>
      </c>
      <c r="R69" s="9"/>
      <c r="S69" s="11"/>
      <c r="T69" s="9"/>
      <c r="U69" s="33">
        <v>8.7120499956654385E-3</v>
      </c>
      <c r="V69" s="33"/>
      <c r="BB69">
        <v>14640</v>
      </c>
      <c r="BC69">
        <v>5.2367999996931758E-2</v>
      </c>
      <c r="BD69">
        <v>0.5</v>
      </c>
      <c r="BH69">
        <v>14501</v>
      </c>
      <c r="BI69">
        <v>5.2903699994203635E-2</v>
      </c>
      <c r="BJ69">
        <v>1</v>
      </c>
    </row>
    <row r="70" spans="1:62" x14ac:dyDescent="0.2">
      <c r="A70" s="40" t="s">
        <v>53</v>
      </c>
      <c r="B70" s="47"/>
      <c r="C70" s="46">
        <v>48761.447999999997</v>
      </c>
      <c r="D70" s="48"/>
      <c r="E70" s="30">
        <f t="shared" si="12"/>
        <v>3843.9733979111929</v>
      </c>
      <c r="F70" s="44">
        <f t="shared" si="13"/>
        <v>3844</v>
      </c>
      <c r="G70" s="40"/>
      <c r="H70" s="40"/>
      <c r="I70" s="26"/>
      <c r="J70" s="26"/>
      <c r="K70" s="26"/>
      <c r="L70" s="26"/>
      <c r="M70" s="26"/>
      <c r="P70" s="38">
        <f t="shared" si="14"/>
        <v>4.5528816854603178E-3</v>
      </c>
      <c r="Q70" s="10">
        <f t="shared" si="15"/>
        <v>33742.947999999997</v>
      </c>
      <c r="R70" s="9"/>
      <c r="S70" s="11"/>
      <c r="T70" s="9"/>
      <c r="U70" s="33">
        <v>-1.2537200003862381E-2</v>
      </c>
      <c r="V70" s="33"/>
      <c r="BB70">
        <v>14659</v>
      </c>
      <c r="BC70">
        <v>5.4728299997805152E-2</v>
      </c>
      <c r="BD70">
        <v>1</v>
      </c>
      <c r="BH70">
        <v>14572</v>
      </c>
      <c r="BI70">
        <v>5.3336399992986117E-2</v>
      </c>
      <c r="BJ70">
        <v>1</v>
      </c>
    </row>
    <row r="71" spans="1:62" x14ac:dyDescent="0.2">
      <c r="A71" s="40" t="s">
        <v>53</v>
      </c>
      <c r="B71" s="47"/>
      <c r="C71" s="46">
        <v>48820.400999999998</v>
      </c>
      <c r="D71" s="48"/>
      <c r="E71" s="40">
        <f t="shared" si="12"/>
        <v>3969.0629666086093</v>
      </c>
      <c r="F71" s="44">
        <f t="shared" si="13"/>
        <v>3969</v>
      </c>
      <c r="G71" s="40"/>
      <c r="H71" s="40"/>
      <c r="I71" s="26"/>
      <c r="J71" s="26"/>
      <c r="L71" s="26"/>
      <c r="M71" s="26"/>
      <c r="P71" s="38">
        <f t="shared" si="14"/>
        <v>4.821579546084238E-3</v>
      </c>
      <c r="Q71" s="10">
        <f t="shared" si="15"/>
        <v>33801.900999999998</v>
      </c>
      <c r="R71" s="9"/>
      <c r="S71" s="11"/>
      <c r="T71" s="9"/>
      <c r="U71" s="29">
        <v>2.9675299992959481E-2</v>
      </c>
      <c r="V71" s="33"/>
      <c r="BB71">
        <v>14746</v>
      </c>
      <c r="BC71">
        <v>5.1520199995138682E-2</v>
      </c>
      <c r="BD71">
        <v>1</v>
      </c>
      <c r="BH71">
        <v>14640</v>
      </c>
      <c r="BI71">
        <v>5.2367999996931758E-2</v>
      </c>
      <c r="BJ71">
        <v>0.5</v>
      </c>
    </row>
    <row r="72" spans="1:62" x14ac:dyDescent="0.2">
      <c r="A72" s="40" t="s">
        <v>54</v>
      </c>
      <c r="B72" s="47"/>
      <c r="C72" s="46">
        <v>48845.353000000003</v>
      </c>
      <c r="D72" s="48"/>
      <c r="E72" s="40">
        <f t="shared" si="12"/>
        <v>4022.0074294542401</v>
      </c>
      <c r="F72" s="44">
        <f t="shared" si="13"/>
        <v>4022</v>
      </c>
      <c r="G72" s="40"/>
      <c r="H72" s="40"/>
      <c r="I72" s="26"/>
      <c r="J72" s="26"/>
      <c r="K72" s="26"/>
      <c r="L72" s="26"/>
      <c r="M72" s="26"/>
      <c r="P72" s="38">
        <f t="shared" si="14"/>
        <v>4.9376928212026662E-3</v>
      </c>
      <c r="Q72" s="10">
        <f t="shared" si="15"/>
        <v>33826.853000000003</v>
      </c>
      <c r="R72" s="9"/>
      <c r="S72" s="11"/>
      <c r="T72" s="9"/>
      <c r="U72" s="33">
        <v>3.5014000022783875E-3</v>
      </c>
      <c r="V72" s="33"/>
      <c r="BB72">
        <v>15455.5</v>
      </c>
      <c r="BC72">
        <v>5.9890349992201664E-2</v>
      </c>
      <c r="BD72">
        <v>1</v>
      </c>
      <c r="BH72">
        <v>14659</v>
      </c>
      <c r="BI72">
        <v>5.4728299997805152E-2</v>
      </c>
      <c r="BJ72">
        <v>1</v>
      </c>
    </row>
    <row r="73" spans="1:62" x14ac:dyDescent="0.2">
      <c r="A73" s="44" t="s">
        <v>43</v>
      </c>
      <c r="B73" s="47"/>
      <c r="C73" s="56">
        <v>49600.358</v>
      </c>
      <c r="D73" s="48"/>
      <c r="E73" s="26">
        <f t="shared" si="12"/>
        <v>5624.0166539956654</v>
      </c>
      <c r="F73" s="9">
        <f t="shared" si="13"/>
        <v>5624</v>
      </c>
      <c r="G73" s="9">
        <v>7.6638000027742237E-3</v>
      </c>
      <c r="H73" s="9"/>
      <c r="I73" s="9"/>
      <c r="J73" s="9">
        <f>G73</f>
        <v>7.6638000027742237E-3</v>
      </c>
      <c r="K73" s="9"/>
      <c r="L73" s="9"/>
      <c r="M73" s="9"/>
      <c r="N73" s="25"/>
      <c r="P73" s="38">
        <f t="shared" si="14"/>
        <v>9.061555742250791E-3</v>
      </c>
      <c r="Q73" s="10">
        <f t="shared" si="15"/>
        <v>34581.858</v>
      </c>
      <c r="R73" s="9">
        <f>(G73-P73)^2</f>
        <v>1.9537211072396854E-6</v>
      </c>
      <c r="S73" s="11">
        <v>1</v>
      </c>
      <c r="T73" s="9">
        <f>R73*S73</f>
        <v>1.9537211072396854E-6</v>
      </c>
      <c r="U73" s="33"/>
      <c r="V73" s="16">
        <f>+G73-P73</f>
        <v>-1.3977557394765673E-3</v>
      </c>
      <c r="BB73">
        <v>15469.5</v>
      </c>
      <c r="BC73">
        <v>6.0982150003837887E-2</v>
      </c>
      <c r="BD73">
        <v>0.5</v>
      </c>
      <c r="BH73">
        <v>14746</v>
      </c>
      <c r="BI73">
        <v>5.1520199995138682E-2</v>
      </c>
      <c r="BJ73">
        <v>1</v>
      </c>
    </row>
    <row r="74" spans="1:62" x14ac:dyDescent="0.2">
      <c r="A74" s="127" t="s">
        <v>43</v>
      </c>
      <c r="B74" s="47"/>
      <c r="C74" s="56">
        <v>49600.362000000001</v>
      </c>
      <c r="D74" s="48"/>
      <c r="E74">
        <f t="shared" si="12"/>
        <v>5624.0251414055492</v>
      </c>
      <c r="F74" s="9">
        <f t="shared" si="13"/>
        <v>5624</v>
      </c>
      <c r="G74" s="9">
        <v>1.1663800003589131E-2</v>
      </c>
      <c r="H74" s="9"/>
      <c r="I74" s="9"/>
      <c r="J74" s="9">
        <f>G74</f>
        <v>1.1663800003589131E-2</v>
      </c>
      <c r="K74" s="9"/>
      <c r="L74" s="9"/>
      <c r="M74" s="25"/>
      <c r="N74" s="25"/>
      <c r="P74" s="38">
        <f t="shared" si="14"/>
        <v>9.061555742250791E-3</v>
      </c>
      <c r="Q74" s="10">
        <f t="shared" si="15"/>
        <v>34581.862000000001</v>
      </c>
      <c r="R74" s="9">
        <f>(G74-P74)^2</f>
        <v>6.7716751956683224E-6</v>
      </c>
      <c r="S74" s="11">
        <v>1</v>
      </c>
      <c r="T74" s="9">
        <f>R74*S74</f>
        <v>6.7716751956683224E-6</v>
      </c>
      <c r="U74" s="33"/>
      <c r="V74" s="16">
        <f>+G74-P74</f>
        <v>2.6022442613383399E-3</v>
      </c>
      <c r="BB74">
        <v>16103</v>
      </c>
      <c r="BC74">
        <v>6.6711099992971867E-2</v>
      </c>
      <c r="BD74">
        <v>0.5</v>
      </c>
      <c r="BH74">
        <v>15455.5</v>
      </c>
      <c r="BI74">
        <v>5.9890349992201664E-2</v>
      </c>
      <c r="BJ74">
        <v>1</v>
      </c>
    </row>
    <row r="75" spans="1:62" x14ac:dyDescent="0.2">
      <c r="A75" s="44" t="s">
        <v>35</v>
      </c>
      <c r="B75" s="47"/>
      <c r="C75" s="56">
        <v>50231.888599999998</v>
      </c>
      <c r="D75" s="48"/>
      <c r="E75" s="26">
        <f t="shared" si="12"/>
        <v>6964.0314178451517</v>
      </c>
      <c r="F75" s="9">
        <f t="shared" si="13"/>
        <v>6964</v>
      </c>
      <c r="G75" s="9"/>
      <c r="H75" s="9"/>
      <c r="I75" s="9"/>
      <c r="J75" s="9"/>
      <c r="K75" s="9"/>
      <c r="L75" s="9"/>
      <c r="M75" s="25"/>
      <c r="N75" s="25"/>
      <c r="P75" s="38">
        <f t="shared" si="14"/>
        <v>1.3424206697427773E-2</v>
      </c>
      <c r="Q75" s="10">
        <f t="shared" si="15"/>
        <v>35213.388599999998</v>
      </c>
      <c r="R75" s="9"/>
      <c r="S75" s="9"/>
      <c r="T75" s="9"/>
      <c r="U75" s="33">
        <v>1.4822799996181857E-2</v>
      </c>
      <c r="V75" s="33"/>
      <c r="BB75">
        <v>16483.5</v>
      </c>
      <c r="BC75">
        <v>6.8673950001539197E-2</v>
      </c>
      <c r="BD75">
        <v>1</v>
      </c>
      <c r="BH75">
        <v>15469.5</v>
      </c>
      <c r="BI75">
        <v>6.0982150003837887E-2</v>
      </c>
      <c r="BJ75">
        <v>0.5</v>
      </c>
    </row>
    <row r="76" spans="1:62" x14ac:dyDescent="0.2">
      <c r="A76" s="44" t="s">
        <v>35</v>
      </c>
      <c r="B76" s="47"/>
      <c r="C76" s="56">
        <v>50248.854800000001</v>
      </c>
      <c r="D76" s="48"/>
      <c r="E76" s="26">
        <f t="shared" si="12"/>
        <v>7000.0311912313136</v>
      </c>
      <c r="F76" s="9">
        <f t="shared" si="13"/>
        <v>7000</v>
      </c>
      <c r="G76" s="9"/>
      <c r="H76" s="9"/>
      <c r="I76" s="9"/>
      <c r="J76" s="9"/>
      <c r="K76" s="9"/>
      <c r="L76" s="9"/>
      <c r="M76" s="9"/>
      <c r="N76" s="25"/>
      <c r="P76" s="38">
        <f t="shared" si="14"/>
        <v>1.3552887239472114E-2</v>
      </c>
      <c r="Q76" s="10">
        <f t="shared" si="15"/>
        <v>35230.354800000001</v>
      </c>
      <c r="R76" s="9"/>
      <c r="S76" s="9"/>
      <c r="T76" s="9"/>
      <c r="U76" s="33">
        <v>1.4721400002599694E-2</v>
      </c>
      <c r="V76" s="33"/>
      <c r="BB76">
        <v>16864.5</v>
      </c>
      <c r="BC76">
        <v>6.9993650002288632E-2</v>
      </c>
      <c r="BD76">
        <v>1</v>
      </c>
      <c r="BH76">
        <v>16103</v>
      </c>
      <c r="BI76">
        <v>6.6711099992971867E-2</v>
      </c>
      <c r="BJ76">
        <v>0.5</v>
      </c>
    </row>
    <row r="77" spans="1:62" x14ac:dyDescent="0.2">
      <c r="A77" s="127" t="s">
        <v>35</v>
      </c>
      <c r="B77" s="47"/>
      <c r="C77" s="120">
        <v>50336.756000000001</v>
      </c>
      <c r="D77" s="48"/>
      <c r="E77" s="26">
        <f t="shared" si="12"/>
        <v>7186.5445696172337</v>
      </c>
      <c r="F77" s="9">
        <f t="shared" si="13"/>
        <v>7186.5</v>
      </c>
      <c r="G77" s="9"/>
      <c r="H77" s="9"/>
      <c r="I77" s="9"/>
      <c r="J77" s="9"/>
      <c r="K77" s="9"/>
      <c r="L77" s="9"/>
      <c r="M77" s="9"/>
      <c r="N77" s="25"/>
      <c r="P77" s="38">
        <f t="shared" si="14"/>
        <v>1.4229136525670927E-2</v>
      </c>
      <c r="Q77" s="10">
        <f t="shared" si="15"/>
        <v>35318.256000000001</v>
      </c>
      <c r="R77" s="9"/>
      <c r="S77" s="9"/>
      <c r="T77" s="9"/>
      <c r="U77" s="33">
        <v>2.1054425000329502E-2</v>
      </c>
      <c r="V77" s="33"/>
      <c r="BB77">
        <v>16887</v>
      </c>
      <c r="BC77">
        <v>7.0951899993815459E-2</v>
      </c>
      <c r="BD77">
        <v>1</v>
      </c>
      <c r="BH77">
        <v>16483.5</v>
      </c>
      <c r="BI77">
        <v>6.8673950001539197E-2</v>
      </c>
      <c r="BJ77">
        <v>1</v>
      </c>
    </row>
    <row r="78" spans="1:62" x14ac:dyDescent="0.2">
      <c r="A78" s="128" t="s">
        <v>58</v>
      </c>
      <c r="B78" s="47"/>
      <c r="C78" s="120">
        <v>50349.70938</v>
      </c>
      <c r="D78" s="48">
        <v>1.5E-3</v>
      </c>
      <c r="E78" s="26">
        <f t="shared" si="12"/>
        <v>7214.029730972441</v>
      </c>
      <c r="F78" s="9">
        <f t="shared" si="13"/>
        <v>7214</v>
      </c>
      <c r="G78" s="9">
        <v>1.4065299998037517E-2</v>
      </c>
      <c r="H78" s="9"/>
      <c r="I78" s="9"/>
      <c r="J78" s="9"/>
      <c r="K78" s="26"/>
      <c r="L78" s="9">
        <f>G78</f>
        <v>1.4065299998037517E-2</v>
      </c>
      <c r="M78" s="26"/>
      <c r="N78" s="25"/>
      <c r="P78" s="38">
        <f t="shared" si="14"/>
        <v>1.4330214825697638E-2</v>
      </c>
      <c r="Q78" s="10">
        <f t="shared" si="15"/>
        <v>35331.20938</v>
      </c>
      <c r="R78" s="9">
        <f>(G78-P78)^2</f>
        <v>7.0179865914191487E-8</v>
      </c>
      <c r="S78" s="9">
        <v>0.5</v>
      </c>
      <c r="T78" s="9">
        <f>R78*S78</f>
        <v>3.5089932957095743E-8</v>
      </c>
      <c r="U78" s="33"/>
      <c r="V78" s="16">
        <f>+G78-P78</f>
        <v>-2.6491482766012077E-4</v>
      </c>
      <c r="BB78">
        <v>16902.5</v>
      </c>
      <c r="BC78">
        <v>7.3814249997667503E-2</v>
      </c>
      <c r="BD78">
        <v>1</v>
      </c>
      <c r="BH78">
        <v>16864.5</v>
      </c>
      <c r="BI78">
        <v>6.9993650002288632E-2</v>
      </c>
      <c r="BJ78">
        <v>1</v>
      </c>
    </row>
    <row r="79" spans="1:62" x14ac:dyDescent="0.2">
      <c r="A79" s="30" t="s">
        <v>55</v>
      </c>
      <c r="B79" s="47" t="s">
        <v>60</v>
      </c>
      <c r="C79" s="48">
        <v>50649.675000000003</v>
      </c>
      <c r="D79" s="48"/>
      <c r="E79" s="40">
        <f t="shared" si="12"/>
        <v>7850.5125228550032</v>
      </c>
      <c r="F79" s="44">
        <f t="shared" si="13"/>
        <v>7850.5</v>
      </c>
      <c r="G79" s="40"/>
      <c r="H79" s="40"/>
      <c r="I79" s="26"/>
      <c r="J79" s="26"/>
      <c r="K79" s="26"/>
      <c r="L79" s="26"/>
      <c r="M79" s="26"/>
      <c r="P79" s="38">
        <f t="shared" si="14"/>
        <v>1.6767621479802718E-2</v>
      </c>
      <c r="Q79" s="10">
        <f t="shared" si="15"/>
        <v>35631.175000000003</v>
      </c>
      <c r="R79" s="9"/>
      <c r="S79" s="9"/>
      <c r="T79" s="9"/>
      <c r="U79" s="33">
        <v>5.9018500032834709E-3</v>
      </c>
      <c r="V79" s="33"/>
      <c r="BB79">
        <v>16946.5</v>
      </c>
      <c r="BC79">
        <v>7.0517050000489689E-2</v>
      </c>
      <c r="BD79">
        <v>1</v>
      </c>
      <c r="BH79">
        <v>16887</v>
      </c>
      <c r="BI79">
        <v>7.0951899993815459E-2</v>
      </c>
      <c r="BJ79">
        <v>1</v>
      </c>
    </row>
    <row r="80" spans="1:62" x14ac:dyDescent="0.2">
      <c r="A80" s="127" t="s">
        <v>36</v>
      </c>
      <c r="B80" s="47"/>
      <c r="C80" s="120">
        <v>50948.484100000001</v>
      </c>
      <c r="D80" s="48"/>
      <c r="E80" s="26">
        <f t="shared" si="12"/>
        <v>8484.541349918296</v>
      </c>
      <c r="F80" s="9">
        <f t="shared" si="13"/>
        <v>8484.5</v>
      </c>
      <c r="G80" s="9">
        <v>1.9731724998564459E-2</v>
      </c>
      <c r="H80" s="9"/>
      <c r="I80" s="9"/>
      <c r="J80" s="9">
        <f>G80</f>
        <v>1.9731724998564459E-2</v>
      </c>
      <c r="K80" s="9"/>
      <c r="L80" s="26"/>
      <c r="M80" s="9"/>
      <c r="N80" s="25"/>
      <c r="P80" s="38">
        <f t="shared" si="14"/>
        <v>1.9382047707470006E-2</v>
      </c>
      <c r="Q80" s="10">
        <f t="shared" si="15"/>
        <v>35929.984100000001</v>
      </c>
      <c r="R80" s="9">
        <f t="shared" ref="R80:R98" si="16">(G80-P80)^2</f>
        <v>1.2227420790715533E-7</v>
      </c>
      <c r="S80" s="9">
        <v>1</v>
      </c>
      <c r="T80" s="9">
        <f t="shared" ref="T80:T98" si="17">R80*S80</f>
        <v>1.2227420790715533E-7</v>
      </c>
      <c r="U80" s="33"/>
      <c r="V80" s="16">
        <f t="shared" ref="V80:V98" si="18">+G80-P80</f>
        <v>3.4967729109445372E-4</v>
      </c>
      <c r="BB80">
        <v>16950.5</v>
      </c>
      <c r="BC80">
        <v>7.0871849995455705E-2</v>
      </c>
      <c r="BD80">
        <v>1</v>
      </c>
      <c r="BH80">
        <v>16902.5</v>
      </c>
      <c r="BI80">
        <v>7.3814249997667503E-2</v>
      </c>
      <c r="BJ80">
        <v>1</v>
      </c>
    </row>
    <row r="81" spans="1:62" x14ac:dyDescent="0.2">
      <c r="A81" s="45" t="s">
        <v>58</v>
      </c>
      <c r="B81" s="47"/>
      <c r="C81" s="56">
        <v>51020.82574</v>
      </c>
      <c r="D81" s="48">
        <v>1E-3</v>
      </c>
      <c r="E81" s="26">
        <f t="shared" si="12"/>
        <v>8638.0396374772554</v>
      </c>
      <c r="F81" s="9">
        <f t="shared" si="13"/>
        <v>8638</v>
      </c>
      <c r="G81" s="9">
        <v>1.8947700002172496E-2</v>
      </c>
      <c r="H81" s="9"/>
      <c r="I81" s="9"/>
      <c r="J81" s="9"/>
      <c r="K81" s="26"/>
      <c r="L81" s="9">
        <f>G81</f>
        <v>1.8947700002172496E-2</v>
      </c>
      <c r="N81" s="25"/>
      <c r="P81" s="38">
        <f t="shared" si="14"/>
        <v>2.0043037852782372E-2</v>
      </c>
      <c r="Q81" s="10">
        <f t="shared" si="15"/>
        <v>36002.32574</v>
      </c>
      <c r="R81" s="9">
        <f t="shared" si="16"/>
        <v>1.199765006978663E-6</v>
      </c>
      <c r="S81" s="9">
        <v>0.5</v>
      </c>
      <c r="T81" s="9">
        <f t="shared" si="17"/>
        <v>5.9988250348933149E-7</v>
      </c>
      <c r="U81" s="33"/>
      <c r="V81" s="16">
        <f t="shared" si="18"/>
        <v>-1.095337850609876E-3</v>
      </c>
      <c r="BB81">
        <v>16959</v>
      </c>
      <c r="BC81">
        <v>7.1538299998792354E-2</v>
      </c>
      <c r="BD81">
        <v>1</v>
      </c>
      <c r="BH81">
        <v>16946.5</v>
      </c>
      <c r="BI81">
        <v>7.0517050000489689E-2</v>
      </c>
      <c r="BJ81">
        <v>1</v>
      </c>
    </row>
    <row r="82" spans="1:62" x14ac:dyDescent="0.2">
      <c r="A82" s="127" t="s">
        <v>37</v>
      </c>
      <c r="B82" s="47"/>
      <c r="C82" s="120">
        <v>51273.910499999998</v>
      </c>
      <c r="D82" s="48"/>
      <c r="E82" s="26">
        <f t="shared" si="12"/>
        <v>9175.0481607464408</v>
      </c>
      <c r="F82" s="9">
        <f t="shared" si="13"/>
        <v>9175</v>
      </c>
      <c r="G82" s="9">
        <v>2.3045149995596148E-2</v>
      </c>
      <c r="H82" s="9"/>
      <c r="I82" s="9"/>
      <c r="J82" s="9"/>
      <c r="K82" s="9"/>
      <c r="L82" s="9">
        <f>G82</f>
        <v>2.3045149995596148E-2</v>
      </c>
      <c r="M82" s="26"/>
      <c r="N82" s="25"/>
      <c r="P82" s="38">
        <f t="shared" si="14"/>
        <v>2.2441322149977651E-2</v>
      </c>
      <c r="Q82" s="10">
        <f t="shared" si="15"/>
        <v>36255.410499999998</v>
      </c>
      <c r="R82" s="9">
        <f t="shared" si="16"/>
        <v>3.6460806714427497E-7</v>
      </c>
      <c r="S82" s="9">
        <v>1</v>
      </c>
      <c r="T82" s="9">
        <f t="shared" si="17"/>
        <v>3.6460806714427497E-7</v>
      </c>
      <c r="U82" s="33"/>
      <c r="V82" s="16">
        <f t="shared" si="18"/>
        <v>6.0382784561849659E-4</v>
      </c>
      <c r="BB82">
        <v>16995</v>
      </c>
      <c r="BC82">
        <v>7.1431500000471715E-2</v>
      </c>
      <c r="BD82">
        <v>1</v>
      </c>
      <c r="BH82">
        <v>16950.5</v>
      </c>
      <c r="BI82">
        <v>7.0871849995455705E-2</v>
      </c>
      <c r="BJ82">
        <v>1</v>
      </c>
    </row>
    <row r="83" spans="1:62" x14ac:dyDescent="0.2">
      <c r="A83" s="127" t="s">
        <v>37</v>
      </c>
      <c r="B83" s="47"/>
      <c r="C83" s="120">
        <v>51282.864200000004</v>
      </c>
      <c r="D83" s="48"/>
      <c r="E83" s="26">
        <f t="shared" si="12"/>
        <v>9194.0465912121799</v>
      </c>
      <c r="F83" s="9">
        <f t="shared" si="13"/>
        <v>9194</v>
      </c>
      <c r="G83" s="9">
        <v>2.2308300001895986E-2</v>
      </c>
      <c r="H83" s="9"/>
      <c r="I83" s="9"/>
      <c r="J83" s="9"/>
      <c r="K83" s="25"/>
      <c r="L83" s="9">
        <f>G83</f>
        <v>2.2308300001895986E-2</v>
      </c>
      <c r="M83" s="26"/>
      <c r="N83" s="9"/>
      <c r="P83" s="38">
        <f t="shared" si="14"/>
        <v>2.2528624792774874E-2</v>
      </c>
      <c r="Q83" s="10">
        <f t="shared" si="15"/>
        <v>36264.364200000004</v>
      </c>
      <c r="R83" s="9">
        <f t="shared" si="16"/>
        <v>4.854301347582555E-8</v>
      </c>
      <c r="S83" s="9">
        <v>1</v>
      </c>
      <c r="T83" s="9">
        <f t="shared" si="17"/>
        <v>4.854301347582555E-8</v>
      </c>
      <c r="U83" s="33"/>
      <c r="V83" s="16">
        <f t="shared" si="18"/>
        <v>-2.2032479087888759E-4</v>
      </c>
      <c r="BB83">
        <v>17042.5</v>
      </c>
      <c r="BC83">
        <v>7.3532249996787868E-2</v>
      </c>
      <c r="BD83">
        <v>1</v>
      </c>
      <c r="BH83">
        <v>16959</v>
      </c>
      <c r="BI83">
        <v>7.1538299998792354E-2</v>
      </c>
      <c r="BJ83">
        <v>1</v>
      </c>
    </row>
    <row r="84" spans="1:62" x14ac:dyDescent="0.2">
      <c r="A84" s="30" t="s">
        <v>42</v>
      </c>
      <c r="B84" s="47" t="s">
        <v>64</v>
      </c>
      <c r="C84" s="48">
        <v>51285.692000000003</v>
      </c>
      <c r="D84" s="48">
        <v>4.0000000000000002E-4</v>
      </c>
      <c r="E84" s="40">
        <f t="shared" si="12"/>
        <v>9200.0467656284509</v>
      </c>
      <c r="F84" s="44">
        <f t="shared" si="13"/>
        <v>9200</v>
      </c>
      <c r="G84" s="44">
        <v>2.2391400001652073E-2</v>
      </c>
      <c r="H84" s="40"/>
      <c r="I84" s="26"/>
      <c r="J84" s="26"/>
      <c r="L84" s="26"/>
      <c r="M84" s="26"/>
      <c r="N84" s="26">
        <f>G84</f>
        <v>2.2391400001652073E-2</v>
      </c>
      <c r="P84" s="38">
        <f t="shared" si="14"/>
        <v>2.2556228795833255E-2</v>
      </c>
      <c r="Q84" s="10">
        <f t="shared" si="15"/>
        <v>36267.192000000003</v>
      </c>
      <c r="R84" s="9">
        <f t="shared" si="16"/>
        <v>2.716853139122227E-8</v>
      </c>
      <c r="S84" s="9">
        <v>1</v>
      </c>
      <c r="T84" s="9">
        <f t="shared" si="17"/>
        <v>2.716853139122227E-8</v>
      </c>
      <c r="U84" s="33"/>
      <c r="V84" s="16">
        <f t="shared" si="18"/>
        <v>-1.6482879418118143E-4</v>
      </c>
      <c r="BB84">
        <v>17044.5</v>
      </c>
      <c r="BC84">
        <v>7.3459649996948428E-2</v>
      </c>
      <c r="BD84">
        <v>1</v>
      </c>
      <c r="BH84">
        <v>16995</v>
      </c>
      <c r="BI84">
        <v>7.1431500000471715E-2</v>
      </c>
      <c r="BJ84">
        <v>1</v>
      </c>
    </row>
    <row r="85" spans="1:62" x14ac:dyDescent="0.2">
      <c r="A85" s="40" t="s">
        <v>42</v>
      </c>
      <c r="B85" s="47" t="s">
        <v>60</v>
      </c>
      <c r="C85" s="46">
        <v>51305.722000000002</v>
      </c>
      <c r="D85" s="48">
        <v>8.0000000000000004E-4</v>
      </c>
      <c r="E85" s="40">
        <f t="shared" ref="E85:E116" si="19">(C85-C$7)/C$8</f>
        <v>9242.5474706139321</v>
      </c>
      <c r="F85" s="44">
        <f t="shared" ref="F85:F116" si="20">ROUND(2*E85,0)/2</f>
        <v>9242.5</v>
      </c>
      <c r="G85" s="44">
        <v>2.2730025004420895E-2</v>
      </c>
      <c r="H85" s="40"/>
      <c r="I85" s="26"/>
      <c r="J85" s="26"/>
      <c r="K85" s="26"/>
      <c r="L85" s="26"/>
      <c r="M85" s="26"/>
      <c r="N85">
        <f>G85</f>
        <v>2.2730025004420895E-2</v>
      </c>
      <c r="P85" s="38">
        <f t="shared" si="14"/>
        <v>2.2752234638543568E-2</v>
      </c>
      <c r="Q85" s="10">
        <f t="shared" si="15"/>
        <v>36287.222000000002</v>
      </c>
      <c r="R85" s="9">
        <f t="shared" si="16"/>
        <v>4.9326784786301149E-10</v>
      </c>
      <c r="S85" s="9">
        <v>1</v>
      </c>
      <c r="T85" s="9">
        <f t="shared" si="17"/>
        <v>4.9326784786301149E-10</v>
      </c>
      <c r="U85" s="29"/>
      <c r="V85" s="16">
        <f t="shared" si="18"/>
        <v>-2.2209634122673239E-5</v>
      </c>
      <c r="BB85">
        <v>17078.5</v>
      </c>
      <c r="BC85">
        <v>7.7425449999282137E-2</v>
      </c>
      <c r="BD85">
        <v>1</v>
      </c>
      <c r="BH85">
        <v>17042.5</v>
      </c>
      <c r="BI85">
        <v>7.3532249996787868E-2</v>
      </c>
      <c r="BJ85">
        <v>1</v>
      </c>
    </row>
    <row r="86" spans="1:62" x14ac:dyDescent="0.2">
      <c r="A86" s="44" t="s">
        <v>37</v>
      </c>
      <c r="B86" s="47"/>
      <c r="C86" s="56">
        <v>51308.784699999997</v>
      </c>
      <c r="D86" s="48"/>
      <c r="E86" s="40">
        <f t="shared" si="19"/>
        <v>9249.0460681755303</v>
      </c>
      <c r="F86" s="44">
        <f t="shared" si="20"/>
        <v>9249</v>
      </c>
      <c r="G86" s="44">
        <v>2.2070049999456387E-2</v>
      </c>
      <c r="H86" s="44"/>
      <c r="I86" s="9"/>
      <c r="J86" s="9"/>
      <c r="K86" s="9"/>
      <c r="L86" s="9">
        <f>G86</f>
        <v>2.2070049999456387E-2</v>
      </c>
      <c r="M86" s="26"/>
      <c r="N86" s="25"/>
      <c r="P86" s="38">
        <f t="shared" ref="P86:P117" si="21">+D$11+D$12*F86+D$13*F86^2</f>
        <v>2.2782285783116592E-2</v>
      </c>
      <c r="Q86" s="10">
        <f t="shared" ref="Q86:Q117" si="22">C86-15018.5</f>
        <v>36290.284699999997</v>
      </c>
      <c r="R86" s="9">
        <f t="shared" si="16"/>
        <v>5.0727981152606593E-7</v>
      </c>
      <c r="S86" s="9">
        <v>1</v>
      </c>
      <c r="T86" s="9">
        <f t="shared" si="17"/>
        <v>5.0727981152606593E-7</v>
      </c>
      <c r="U86" s="29"/>
      <c r="V86" s="16">
        <f t="shared" si="18"/>
        <v>-7.1223578366020474E-4</v>
      </c>
      <c r="BB86">
        <v>17188</v>
      </c>
      <c r="BC86">
        <v>7.3755600002186839E-2</v>
      </c>
      <c r="BD86">
        <v>1</v>
      </c>
      <c r="BH86">
        <v>17044.5</v>
      </c>
      <c r="BI86">
        <v>7.3459649996948428E-2</v>
      </c>
      <c r="BJ86">
        <v>1</v>
      </c>
    </row>
    <row r="87" spans="1:62" x14ac:dyDescent="0.2">
      <c r="A87" s="46" t="s">
        <v>80</v>
      </c>
      <c r="B87" s="47" t="s">
        <v>60</v>
      </c>
      <c r="C87" s="46">
        <v>51663.4257</v>
      </c>
      <c r="D87" s="48" t="s">
        <v>81</v>
      </c>
      <c r="E87" s="40">
        <f t="shared" si="19"/>
        <v>10001.541950190356</v>
      </c>
      <c r="F87" s="44">
        <f t="shared" si="20"/>
        <v>10001.5</v>
      </c>
      <c r="G87" s="40">
        <f>C87-(C$7+F87*C$8)</f>
        <v>1.9770549995882902E-2</v>
      </c>
      <c r="H87" s="40"/>
      <c r="I87" s="26"/>
      <c r="J87" s="26"/>
      <c r="K87" s="26"/>
      <c r="L87" s="26"/>
      <c r="M87" s="26"/>
      <c r="N87">
        <f>G87</f>
        <v>1.9770549995882902E-2</v>
      </c>
      <c r="P87" s="38">
        <f t="shared" si="21"/>
        <v>2.6393589757174919E-2</v>
      </c>
      <c r="Q87" s="10">
        <f t="shared" si="22"/>
        <v>36644.9257</v>
      </c>
      <c r="R87" s="9">
        <f t="shared" si="16"/>
        <v>4.3864655679655006E-5</v>
      </c>
      <c r="S87" s="9">
        <v>0.5</v>
      </c>
      <c r="T87" s="9">
        <f t="shared" si="17"/>
        <v>2.1932327839827503E-5</v>
      </c>
      <c r="U87" s="29"/>
      <c r="V87" s="16">
        <f t="shared" si="18"/>
        <v>-6.6230397612920162E-3</v>
      </c>
      <c r="BB87">
        <v>17188</v>
      </c>
      <c r="BC87">
        <v>7.3855599999660626E-2</v>
      </c>
      <c r="BD87">
        <v>1</v>
      </c>
      <c r="BH87">
        <v>17078.5</v>
      </c>
      <c r="BI87">
        <v>7.7425449999282137E-2</v>
      </c>
      <c r="BJ87">
        <v>1</v>
      </c>
    </row>
    <row r="88" spans="1:62" x14ac:dyDescent="0.2">
      <c r="A88" s="44" t="s">
        <v>38</v>
      </c>
      <c r="B88" s="47"/>
      <c r="C88" s="56">
        <v>51676.862849061843</v>
      </c>
      <c r="D88" s="48"/>
      <c r="E88" s="40">
        <f t="shared" si="19"/>
        <v>10030.053598124623</v>
      </c>
      <c r="F88" s="44">
        <f t="shared" si="20"/>
        <v>10030</v>
      </c>
      <c r="G88" s="44">
        <v>2.5735961840837263E-2</v>
      </c>
      <c r="H88" s="44"/>
      <c r="I88" s="9"/>
      <c r="J88" s="9"/>
      <c r="K88" s="9"/>
      <c r="L88" s="9">
        <f>G88</f>
        <v>2.5735961840837263E-2</v>
      </c>
      <c r="M88" s="26"/>
      <c r="N88" s="25"/>
      <c r="P88" s="38">
        <f t="shared" si="21"/>
        <v>2.6535519568415655E-2</v>
      </c>
      <c r="Q88" s="10">
        <f t="shared" si="22"/>
        <v>36658.362849061843</v>
      </c>
      <c r="R88" s="9">
        <f t="shared" si="16"/>
        <v>6.3929255973032332E-7</v>
      </c>
      <c r="S88" s="9">
        <v>1</v>
      </c>
      <c r="T88" s="9">
        <f t="shared" si="17"/>
        <v>6.3929255973032332E-7</v>
      </c>
      <c r="U88" s="29"/>
      <c r="V88" s="16">
        <f t="shared" si="18"/>
        <v>-7.9955772757839272E-4</v>
      </c>
      <c r="BB88">
        <v>17188</v>
      </c>
      <c r="BC88">
        <v>7.4255600004107691E-2</v>
      </c>
      <c r="BD88">
        <v>1</v>
      </c>
      <c r="BH88">
        <v>17188</v>
      </c>
      <c r="BI88">
        <v>7.3755600002186839E-2</v>
      </c>
      <c r="BJ88">
        <v>1</v>
      </c>
    </row>
    <row r="89" spans="1:62" x14ac:dyDescent="0.2">
      <c r="A89" s="131" t="s">
        <v>201</v>
      </c>
      <c r="B89" s="60" t="s">
        <v>64</v>
      </c>
      <c r="C89" s="132">
        <v>51704.671699999999</v>
      </c>
      <c r="D89" s="59">
        <v>4.0000000000000002E-4</v>
      </c>
      <c r="E89" s="40">
        <f t="shared" si="19"/>
        <v>10089.059877191414</v>
      </c>
      <c r="F89" s="44">
        <f t="shared" si="20"/>
        <v>10089</v>
      </c>
      <c r="G89" s="40">
        <f>C89-(C$7+F89*C$8)</f>
        <v>2.8219299994816538E-2</v>
      </c>
      <c r="H89" s="40"/>
      <c r="I89" s="26"/>
      <c r="J89" s="26"/>
      <c r="K89" s="26"/>
      <c r="L89" s="26"/>
      <c r="M89" s="26"/>
      <c r="N89">
        <f>G89</f>
        <v>2.8219299994816538E-2</v>
      </c>
      <c r="P89" s="38">
        <f t="shared" si="21"/>
        <v>2.683053506864929E-2</v>
      </c>
      <c r="Q89" s="10">
        <f t="shared" si="22"/>
        <v>36686.171699999999</v>
      </c>
      <c r="R89" s="9">
        <f t="shared" si="16"/>
        <v>1.928668020152321E-6</v>
      </c>
      <c r="S89" s="9">
        <v>1</v>
      </c>
      <c r="T89" s="9">
        <f t="shared" si="17"/>
        <v>1.928668020152321E-6</v>
      </c>
      <c r="U89" s="26"/>
      <c r="V89" s="16">
        <f t="shared" si="18"/>
        <v>1.3887649261672477E-3</v>
      </c>
      <c r="X89" s="71"/>
      <c r="BH89">
        <v>17188</v>
      </c>
      <c r="BI89">
        <v>7.3855599999660626E-2</v>
      </c>
      <c r="BJ89">
        <v>1</v>
      </c>
    </row>
    <row r="90" spans="1:62" x14ac:dyDescent="0.2">
      <c r="A90" s="45" t="s">
        <v>41</v>
      </c>
      <c r="B90" s="47"/>
      <c r="C90" s="56">
        <v>51983.912900000003</v>
      </c>
      <c r="D90" s="48">
        <v>2.0000000000000001E-4</v>
      </c>
      <c r="E90" s="40">
        <f t="shared" si="19"/>
        <v>10681.568507295884</v>
      </c>
      <c r="F90" s="44">
        <f t="shared" si="20"/>
        <v>10681.5</v>
      </c>
      <c r="G90" s="44">
        <v>3.2860175000678282E-2</v>
      </c>
      <c r="H90" s="44"/>
      <c r="I90" s="9"/>
      <c r="J90" s="9"/>
      <c r="K90" s="9"/>
      <c r="L90" s="9">
        <f>G90</f>
        <v>3.2860175000678282E-2</v>
      </c>
      <c r="M90" s="26"/>
      <c r="N90" s="25"/>
      <c r="P90" s="38">
        <f t="shared" si="21"/>
        <v>2.9882610653953451E-2</v>
      </c>
      <c r="Q90" s="10">
        <f t="shared" si="22"/>
        <v>36965.412900000003</v>
      </c>
      <c r="R90" s="9">
        <f t="shared" si="16"/>
        <v>8.8658894388868716E-6</v>
      </c>
      <c r="S90" s="9">
        <v>1</v>
      </c>
      <c r="T90" s="9">
        <f t="shared" si="17"/>
        <v>8.8658894388868716E-6</v>
      </c>
      <c r="U90" s="29"/>
      <c r="V90" s="16">
        <f t="shared" si="18"/>
        <v>2.9775643467248314E-3</v>
      </c>
      <c r="BB90">
        <v>17243</v>
      </c>
      <c r="BC90">
        <v>7.5029099993116688E-2</v>
      </c>
      <c r="BD90">
        <v>1</v>
      </c>
      <c r="BH90">
        <v>17188</v>
      </c>
      <c r="BI90">
        <v>7.4255600004107691E-2</v>
      </c>
      <c r="BJ90">
        <v>1</v>
      </c>
    </row>
    <row r="91" spans="1:62" x14ac:dyDescent="0.2">
      <c r="A91" s="46" t="s">
        <v>61</v>
      </c>
      <c r="B91" s="47" t="s">
        <v>60</v>
      </c>
      <c r="C91" s="46">
        <v>52032.453999999998</v>
      </c>
      <c r="D91" s="48">
        <v>6.9999999999999999E-4</v>
      </c>
      <c r="E91" s="40">
        <f t="shared" si="19"/>
        <v>10784.565560254976</v>
      </c>
      <c r="F91" s="44">
        <f t="shared" si="20"/>
        <v>10784.5</v>
      </c>
      <c r="G91" s="40">
        <f t="shared" ref="G91:G98" si="23">C91-(C$7+F91*C$8)</f>
        <v>3.0897649994585663E-2</v>
      </c>
      <c r="H91" s="40"/>
      <c r="I91" s="26"/>
      <c r="J91" s="26"/>
      <c r="K91" s="26">
        <f>G91</f>
        <v>3.0897649994585663E-2</v>
      </c>
      <c r="L91" s="26"/>
      <c r="M91" s="26"/>
      <c r="P91" s="38">
        <f t="shared" si="21"/>
        <v>3.0429777009182271E-2</v>
      </c>
      <c r="Q91" s="10">
        <f t="shared" si="22"/>
        <v>37013.953999999998</v>
      </c>
      <c r="R91" s="9">
        <f t="shared" si="16"/>
        <v>2.1890513047028263E-7</v>
      </c>
      <c r="S91" s="9">
        <v>1</v>
      </c>
      <c r="T91" s="9">
        <f t="shared" si="17"/>
        <v>2.1890513047028263E-7</v>
      </c>
      <c r="U91" s="29"/>
      <c r="V91" s="16">
        <f t="shared" si="18"/>
        <v>4.6787298540339195E-4</v>
      </c>
      <c r="BB91">
        <v>17258</v>
      </c>
      <c r="BC91">
        <v>7.4734599998919293E-2</v>
      </c>
      <c r="BD91">
        <v>1</v>
      </c>
      <c r="BH91">
        <v>17243</v>
      </c>
      <c r="BI91">
        <v>7.5029099993116688E-2</v>
      </c>
      <c r="BJ91">
        <v>1</v>
      </c>
    </row>
    <row r="92" spans="1:62" x14ac:dyDescent="0.2">
      <c r="A92" s="40" t="s">
        <v>59</v>
      </c>
      <c r="B92" s="47"/>
      <c r="C92" s="46">
        <v>52100.557800000002</v>
      </c>
      <c r="D92" s="48">
        <v>1E-3</v>
      </c>
      <c r="E92" s="40">
        <f t="shared" si="19"/>
        <v>10929.071776540077</v>
      </c>
      <c r="F92" s="44">
        <f t="shared" si="20"/>
        <v>10929</v>
      </c>
      <c r="G92" s="40">
        <f t="shared" si="23"/>
        <v>3.3827300001576077E-2</v>
      </c>
      <c r="H92" s="40"/>
      <c r="I92" s="26"/>
      <c r="J92" s="26"/>
      <c r="K92" s="26"/>
      <c r="L92" s="26"/>
      <c r="M92" s="26"/>
      <c r="N92">
        <f>G92</f>
        <v>3.3827300001576077E-2</v>
      </c>
      <c r="P92" s="38">
        <f t="shared" si="21"/>
        <v>3.1205688252871375E-2</v>
      </c>
      <c r="Q92" s="10">
        <f t="shared" si="22"/>
        <v>37082.057800000002</v>
      </c>
      <c r="R92" s="9">
        <f t="shared" si="16"/>
        <v>6.8728481609465245E-6</v>
      </c>
      <c r="S92" s="9">
        <v>0.5</v>
      </c>
      <c r="T92" s="9">
        <f t="shared" si="17"/>
        <v>3.4364240804732622E-6</v>
      </c>
      <c r="U92" s="29"/>
      <c r="V92" s="16">
        <f t="shared" si="18"/>
        <v>2.6216117487047018E-3</v>
      </c>
      <c r="BB92">
        <v>17287.5</v>
      </c>
      <c r="BC92">
        <v>7.4888749993988313E-2</v>
      </c>
      <c r="BD92">
        <v>1</v>
      </c>
      <c r="BH92">
        <v>17258</v>
      </c>
      <c r="BI92">
        <v>7.4734599998919293E-2</v>
      </c>
      <c r="BJ92">
        <v>1</v>
      </c>
    </row>
    <row r="93" spans="1:62" x14ac:dyDescent="0.2">
      <c r="A93" s="40" t="s">
        <v>59</v>
      </c>
      <c r="B93" s="52" t="s">
        <v>60</v>
      </c>
      <c r="C93" s="46">
        <v>52366.599199999997</v>
      </c>
      <c r="D93" s="48">
        <v>2.9999999999999997E-4</v>
      </c>
      <c r="E93" s="40">
        <f t="shared" si="19"/>
        <v>11493.572378403518</v>
      </c>
      <c r="F93" s="44">
        <f t="shared" si="20"/>
        <v>11493.5</v>
      </c>
      <c r="G93" s="40">
        <f t="shared" si="23"/>
        <v>3.4110949993191753E-2</v>
      </c>
      <c r="H93" s="40"/>
      <c r="I93" s="26"/>
      <c r="J93" s="26"/>
      <c r="K93" s="26"/>
      <c r="L93" s="26"/>
      <c r="M93" s="26"/>
      <c r="N93">
        <f>G93</f>
        <v>3.4110949993191753E-2</v>
      </c>
      <c r="P93" s="38">
        <f t="shared" si="21"/>
        <v>3.4329556480303149E-2</v>
      </c>
      <c r="Q93" s="10">
        <f t="shared" si="22"/>
        <v>37348.099199999997</v>
      </c>
      <c r="R93" s="9">
        <f t="shared" si="16"/>
        <v>4.7788796207184954E-8</v>
      </c>
      <c r="S93" s="9">
        <v>1</v>
      </c>
      <c r="T93" s="9">
        <f t="shared" si="17"/>
        <v>4.7788796207184954E-8</v>
      </c>
      <c r="U93" s="29"/>
      <c r="V93" s="16">
        <f t="shared" si="18"/>
        <v>-2.1860648711139602E-4</v>
      </c>
      <c r="BB93">
        <v>17829</v>
      </c>
      <c r="BC93">
        <v>7.6237300003413111E-2</v>
      </c>
      <c r="BD93">
        <v>0.5</v>
      </c>
      <c r="BH93">
        <v>17287.5</v>
      </c>
      <c r="BI93">
        <v>7.4888749993988313E-2</v>
      </c>
      <c r="BJ93">
        <v>1</v>
      </c>
    </row>
    <row r="94" spans="1:62" x14ac:dyDescent="0.2">
      <c r="A94" s="50" t="s">
        <v>57</v>
      </c>
      <c r="B94" s="47"/>
      <c r="C94" s="46">
        <v>52701.922667654537</v>
      </c>
      <c r="D94" s="48">
        <v>1E-4</v>
      </c>
      <c r="E94" s="40">
        <f t="shared" si="19"/>
        <v>12205.079306685839</v>
      </c>
      <c r="F94" s="44">
        <f t="shared" si="20"/>
        <v>12205</v>
      </c>
      <c r="G94" s="40">
        <f t="shared" si="23"/>
        <v>3.7376154534285888E-2</v>
      </c>
      <c r="H94" s="40"/>
      <c r="I94" s="26"/>
      <c r="J94" s="26"/>
      <c r="K94" s="26"/>
      <c r="L94" s="26">
        <f>G94</f>
        <v>3.7376154534285888E-2</v>
      </c>
      <c r="M94" s="26"/>
      <c r="P94" s="38">
        <f t="shared" si="21"/>
        <v>3.8477211874524513E-2</v>
      </c>
      <c r="Q94" s="10">
        <f t="shared" si="22"/>
        <v>37683.422667654537</v>
      </c>
      <c r="R94" s="9">
        <f t="shared" si="16"/>
        <v>1.2123272664933542E-6</v>
      </c>
      <c r="S94" s="9">
        <v>1</v>
      </c>
      <c r="T94" s="9">
        <f t="shared" si="17"/>
        <v>1.2123272664933542E-6</v>
      </c>
      <c r="U94" s="29"/>
      <c r="V94" s="16">
        <f t="shared" si="18"/>
        <v>-1.1010573402386245E-3</v>
      </c>
      <c r="BB94">
        <v>17829</v>
      </c>
      <c r="BC94">
        <v>7.7537299999676179E-2</v>
      </c>
      <c r="BD94">
        <v>0.5</v>
      </c>
      <c r="BH94">
        <v>17829</v>
      </c>
      <c r="BI94">
        <v>7.6237300003413111E-2</v>
      </c>
      <c r="BJ94">
        <v>0.5</v>
      </c>
    </row>
    <row r="95" spans="1:62" x14ac:dyDescent="0.2">
      <c r="A95" s="40" t="s">
        <v>59</v>
      </c>
      <c r="B95" s="52"/>
      <c r="C95" s="46">
        <v>52741.510999999999</v>
      </c>
      <c r="D95" s="48">
        <v>1E-3</v>
      </c>
      <c r="E95" s="40">
        <f t="shared" si="19"/>
        <v>12289.079907478736</v>
      </c>
      <c r="F95" s="44">
        <f t="shared" si="20"/>
        <v>12289</v>
      </c>
      <c r="G95" s="40">
        <f t="shared" si="23"/>
        <v>3.7659299996448681E-2</v>
      </c>
      <c r="H95" s="40"/>
      <c r="I95" s="26"/>
      <c r="J95" s="26"/>
      <c r="K95" s="26"/>
      <c r="L95" s="26"/>
      <c r="M95" s="26"/>
      <c r="N95">
        <f>G95</f>
        <v>3.7659299996448681E-2</v>
      </c>
      <c r="P95" s="38">
        <f t="shared" si="21"/>
        <v>3.898236516627078E-2</v>
      </c>
      <c r="Q95" s="10">
        <f t="shared" si="22"/>
        <v>37723.010999999999</v>
      </c>
      <c r="R95" s="9">
        <f t="shared" si="16"/>
        <v>1.7505014435963799E-6</v>
      </c>
      <c r="S95" s="9">
        <v>0.5</v>
      </c>
      <c r="T95" s="9">
        <f t="shared" si="17"/>
        <v>8.7525072179818993E-7</v>
      </c>
      <c r="U95" s="29"/>
      <c r="V95" s="16">
        <f t="shared" si="18"/>
        <v>-1.3230651698220991E-3</v>
      </c>
      <c r="BB95">
        <v>17829</v>
      </c>
      <c r="BC95">
        <v>7.8137299999070819E-2</v>
      </c>
      <c r="BD95">
        <v>1</v>
      </c>
      <c r="BH95">
        <v>17829</v>
      </c>
      <c r="BI95">
        <v>7.7537299999676179E-2</v>
      </c>
      <c r="BJ95">
        <v>0.5</v>
      </c>
    </row>
    <row r="96" spans="1:62" x14ac:dyDescent="0.2">
      <c r="A96" s="131" t="s">
        <v>201</v>
      </c>
      <c r="B96" s="60" t="s">
        <v>64</v>
      </c>
      <c r="C96" s="132">
        <v>52752.824399999998</v>
      </c>
      <c r="D96" s="59">
        <v>4.0000000000000002E-4</v>
      </c>
      <c r="E96" s="40">
        <f t="shared" si="19"/>
        <v>12313.085273219262</v>
      </c>
      <c r="F96" s="44">
        <f t="shared" si="20"/>
        <v>12313</v>
      </c>
      <c r="G96" s="40">
        <f t="shared" si="23"/>
        <v>4.018809999251971E-2</v>
      </c>
      <c r="H96" s="40"/>
      <c r="I96" s="26"/>
      <c r="J96" s="26"/>
      <c r="K96" s="26"/>
      <c r="L96" s="26"/>
      <c r="M96" s="26"/>
      <c r="N96">
        <f>G96</f>
        <v>4.018809999251971E-2</v>
      </c>
      <c r="P96" s="38">
        <f t="shared" si="21"/>
        <v>3.9127295113930573E-2</v>
      </c>
      <c r="Q96" s="10">
        <f t="shared" si="22"/>
        <v>37734.324399999998</v>
      </c>
      <c r="R96" s="9">
        <f t="shared" si="16"/>
        <v>1.1253069904385147E-6</v>
      </c>
      <c r="S96" s="9">
        <v>1</v>
      </c>
      <c r="T96" s="9">
        <f t="shared" si="17"/>
        <v>1.1253069904385147E-6</v>
      </c>
      <c r="U96" s="26"/>
      <c r="V96" s="16">
        <f t="shared" si="18"/>
        <v>1.0608048785891375E-3</v>
      </c>
      <c r="X96" s="71"/>
      <c r="BH96">
        <v>17829</v>
      </c>
      <c r="BI96">
        <v>7.8137299999070819E-2</v>
      </c>
      <c r="BJ96">
        <v>1</v>
      </c>
    </row>
    <row r="97" spans="1:62" x14ac:dyDescent="0.2">
      <c r="A97" s="50" t="s">
        <v>57</v>
      </c>
      <c r="B97" s="47"/>
      <c r="C97" s="46">
        <v>52760.834699999999</v>
      </c>
      <c r="D97" s="57">
        <v>1E-4</v>
      </c>
      <c r="E97" s="40">
        <f t="shared" si="19"/>
        <v>12330.081948064259</v>
      </c>
      <c r="F97" s="44">
        <f t="shared" si="20"/>
        <v>12330</v>
      </c>
      <c r="G97" s="40">
        <f t="shared" si="23"/>
        <v>3.8620999999693595E-2</v>
      </c>
      <c r="H97" s="40"/>
      <c r="I97" s="26"/>
      <c r="J97" s="26"/>
      <c r="K97" s="26"/>
      <c r="L97" s="26">
        <f>G97</f>
        <v>3.8620999999693595E-2</v>
      </c>
      <c r="M97" s="26"/>
      <c r="P97" s="38">
        <f t="shared" si="21"/>
        <v>3.9230115286619148E-2</v>
      </c>
      <c r="Q97" s="10">
        <f t="shared" si="22"/>
        <v>37742.334699999999</v>
      </c>
      <c r="R97" s="9">
        <f t="shared" si="16"/>
        <v>3.7102143276639891E-7</v>
      </c>
      <c r="S97" s="9">
        <v>1</v>
      </c>
      <c r="T97" s="9">
        <f t="shared" si="17"/>
        <v>3.7102143276639891E-7</v>
      </c>
      <c r="U97" s="29"/>
      <c r="V97" s="16">
        <f t="shared" si="18"/>
        <v>-6.0911528692555311E-4</v>
      </c>
      <c r="BB97">
        <v>17880</v>
      </c>
      <c r="BC97">
        <v>8.1055999995442107E-2</v>
      </c>
      <c r="BD97">
        <v>0.5</v>
      </c>
      <c r="BH97">
        <v>17880</v>
      </c>
      <c r="BI97">
        <v>8.1055999995442107E-2</v>
      </c>
      <c r="BJ97">
        <v>0.5</v>
      </c>
    </row>
    <row r="98" spans="1:62" x14ac:dyDescent="0.2">
      <c r="A98" s="50" t="s">
        <v>57</v>
      </c>
      <c r="B98" s="47"/>
      <c r="C98" s="46">
        <v>52760.834799999997</v>
      </c>
      <c r="D98" s="57">
        <v>1E-4</v>
      </c>
      <c r="E98" s="40">
        <f t="shared" si="19"/>
        <v>12330.0821602495</v>
      </c>
      <c r="F98" s="44">
        <f t="shared" si="20"/>
        <v>12330</v>
      </c>
      <c r="G98" s="40">
        <f t="shared" si="23"/>
        <v>3.8720999997167382E-2</v>
      </c>
      <c r="H98" s="40"/>
      <c r="I98" s="26"/>
      <c r="J98" s="26"/>
      <c r="K98" s="26"/>
      <c r="L98" s="26">
        <f>G98</f>
        <v>3.8720999997167382E-2</v>
      </c>
      <c r="M98" s="26"/>
      <c r="P98" s="38">
        <f t="shared" si="21"/>
        <v>3.9230115286619148E-2</v>
      </c>
      <c r="Q98" s="10">
        <f t="shared" si="22"/>
        <v>37742.334799999997</v>
      </c>
      <c r="R98" s="9">
        <f t="shared" si="16"/>
        <v>2.5919837795355505E-7</v>
      </c>
      <c r="S98" s="9">
        <v>1</v>
      </c>
      <c r="T98" s="9">
        <f t="shared" si="17"/>
        <v>2.5919837795355505E-7</v>
      </c>
      <c r="U98" s="29"/>
      <c r="V98" s="16">
        <f t="shared" si="18"/>
        <v>-5.091152894517656E-4</v>
      </c>
      <c r="BB98">
        <v>17916</v>
      </c>
      <c r="BC98">
        <v>8.0549199992674403E-2</v>
      </c>
      <c r="BD98">
        <v>1</v>
      </c>
      <c r="BH98">
        <v>17916</v>
      </c>
      <c r="BI98">
        <v>8.0549199992674403E-2</v>
      </c>
      <c r="BJ98">
        <v>1</v>
      </c>
    </row>
    <row r="99" spans="1:62" x14ac:dyDescent="0.2">
      <c r="A99" s="46" t="s">
        <v>75</v>
      </c>
      <c r="B99" s="47" t="s">
        <v>60</v>
      </c>
      <c r="C99" s="46">
        <v>53116.434999999998</v>
      </c>
      <c r="D99" s="48">
        <v>9.9000000000000008E-3</v>
      </c>
      <c r="E99" s="40">
        <f t="shared" si="19"/>
        <v>13084.613323154088</v>
      </c>
      <c r="F99" s="44">
        <f t="shared" si="20"/>
        <v>13084.5</v>
      </c>
      <c r="G99" s="40"/>
      <c r="H99" s="40"/>
      <c r="I99" s="26"/>
      <c r="J99" s="26"/>
      <c r="K99" s="26"/>
      <c r="L99" s="26"/>
      <c r="M99" s="26"/>
      <c r="P99" s="38">
        <f t="shared" si="21"/>
        <v>4.3928358952712604E-2</v>
      </c>
      <c r="Q99" s="10">
        <f t="shared" si="22"/>
        <v>38097.934999999998</v>
      </c>
      <c r="R99" s="9"/>
      <c r="S99" s="9"/>
      <c r="T99" s="9"/>
      <c r="U99" s="29">
        <v>5.3407649997097906E-2</v>
      </c>
      <c r="V99" s="33"/>
      <c r="BB99">
        <v>18024</v>
      </c>
      <c r="BC99">
        <v>8.1428799996501766E-2</v>
      </c>
      <c r="BD99">
        <v>1</v>
      </c>
      <c r="BH99">
        <v>18024</v>
      </c>
      <c r="BI99">
        <v>8.1428799996501766E-2</v>
      </c>
      <c r="BJ99">
        <v>1</v>
      </c>
    </row>
    <row r="100" spans="1:62" x14ac:dyDescent="0.2">
      <c r="A100" s="51" t="s">
        <v>68</v>
      </c>
      <c r="B100" s="47" t="s">
        <v>60</v>
      </c>
      <c r="C100" s="46">
        <v>53117.365299999998</v>
      </c>
      <c r="D100" s="48">
        <v>1.6000000000000001E-3</v>
      </c>
      <c r="E100" s="40">
        <f t="shared" si="19"/>
        <v>13086.587282507458</v>
      </c>
      <c r="F100" s="44">
        <f t="shared" si="20"/>
        <v>13086.5</v>
      </c>
      <c r="G100" s="40">
        <f t="shared" ref="G100:G131" si="24">C100-(C$7+F100*C$8)</f>
        <v>4.1135049992590211E-2</v>
      </c>
      <c r="H100" s="40"/>
      <c r="I100" s="26"/>
      <c r="J100" s="26"/>
      <c r="K100" s="26">
        <f>G100</f>
        <v>4.1135049992590211E-2</v>
      </c>
      <c r="L100" s="26"/>
      <c r="M100" s="26"/>
      <c r="P100" s="38">
        <f t="shared" si="21"/>
        <v>4.3941163364758298E-2</v>
      </c>
      <c r="Q100" s="10">
        <f t="shared" si="22"/>
        <v>38098.865299999998</v>
      </c>
      <c r="R100" s="9">
        <f t="shared" ref="R100:R131" si="25">(G100-P100)^2</f>
        <v>7.8742722574605519E-6</v>
      </c>
      <c r="S100" s="9">
        <v>0.5</v>
      </c>
      <c r="T100" s="9">
        <f t="shared" ref="T100:T131" si="26">R100*S100</f>
        <v>3.937136128730276E-6</v>
      </c>
      <c r="U100" s="26"/>
      <c r="V100" s="16">
        <f t="shared" ref="V100:V131" si="27">+G100-P100</f>
        <v>-2.806113372168087E-3</v>
      </c>
      <c r="BB100">
        <v>18557.5</v>
      </c>
      <c r="BC100">
        <v>8.5387749997607898E-2</v>
      </c>
      <c r="BD100">
        <v>1</v>
      </c>
      <c r="BH100">
        <v>18557.5</v>
      </c>
      <c r="BI100">
        <v>8.5387749997607898E-2</v>
      </c>
      <c r="BJ100">
        <v>1</v>
      </c>
    </row>
    <row r="101" spans="1:62" x14ac:dyDescent="0.2">
      <c r="A101" s="51" t="s">
        <v>68</v>
      </c>
      <c r="B101" s="52"/>
      <c r="C101" s="46">
        <v>53145.4107</v>
      </c>
      <c r="D101" s="48">
        <v>5.0000000000000001E-4</v>
      </c>
      <c r="E101" s="40">
        <f t="shared" si="19"/>
        <v>13146.095483785541</v>
      </c>
      <c r="F101" s="44">
        <f t="shared" si="20"/>
        <v>13146</v>
      </c>
      <c r="G101" s="40">
        <f t="shared" si="24"/>
        <v>4.5000199999776669E-2</v>
      </c>
      <c r="H101" s="40"/>
      <c r="I101" s="26"/>
      <c r="J101" s="26"/>
      <c r="K101" s="26">
        <f>G101</f>
        <v>4.5000199999776669E-2</v>
      </c>
      <c r="L101" s="26"/>
      <c r="M101" s="26"/>
      <c r="P101" s="38">
        <f t="shared" si="21"/>
        <v>4.4322942286872759E-2</v>
      </c>
      <c r="Q101" s="10">
        <f t="shared" si="22"/>
        <v>38126.9107</v>
      </c>
      <c r="R101" s="9">
        <f t="shared" si="25"/>
        <v>4.5867800968783507E-7</v>
      </c>
      <c r="S101" s="9">
        <v>1</v>
      </c>
      <c r="T101" s="9">
        <f t="shared" si="26"/>
        <v>4.5867800968783507E-7</v>
      </c>
      <c r="U101" s="26"/>
      <c r="V101" s="16">
        <f t="shared" si="27"/>
        <v>6.7725771290391007E-4</v>
      </c>
      <c r="BB101">
        <v>18588.5</v>
      </c>
      <c r="BC101">
        <v>8.6412449993076734E-2</v>
      </c>
      <c r="BD101">
        <v>0.5</v>
      </c>
      <c r="BH101">
        <v>18588.5</v>
      </c>
      <c r="BI101">
        <v>8.6412449993076734E-2</v>
      </c>
      <c r="BJ101">
        <v>0.5</v>
      </c>
    </row>
    <row r="102" spans="1:62" x14ac:dyDescent="0.2">
      <c r="A102" s="51" t="s">
        <v>68</v>
      </c>
      <c r="B102" s="52"/>
      <c r="C102" s="46">
        <v>53151.536200000002</v>
      </c>
      <c r="D102" s="48">
        <v>2E-3</v>
      </c>
      <c r="E102" s="40">
        <f t="shared" si="19"/>
        <v>13159.092891094011</v>
      </c>
      <c r="F102" s="44">
        <f t="shared" si="20"/>
        <v>13159</v>
      </c>
      <c r="G102" s="40">
        <f t="shared" si="24"/>
        <v>4.3778300001577009E-2</v>
      </c>
      <c r="H102" s="40"/>
      <c r="I102" s="26"/>
      <c r="J102" s="26"/>
      <c r="K102" s="26">
        <f>G102</f>
        <v>4.3778300001577009E-2</v>
      </c>
      <c r="L102" s="26"/>
      <c r="M102" s="26"/>
      <c r="P102" s="38">
        <f t="shared" si="21"/>
        <v>4.4406574498752169E-2</v>
      </c>
      <c r="Q102" s="10">
        <f t="shared" si="22"/>
        <v>38133.036200000002</v>
      </c>
      <c r="R102" s="9">
        <f t="shared" si="25"/>
        <v>3.9472884380070048E-7</v>
      </c>
      <c r="S102" s="9">
        <v>0.5</v>
      </c>
      <c r="T102" s="9">
        <f t="shared" si="26"/>
        <v>1.9736442190035024E-7</v>
      </c>
      <c r="U102" s="26"/>
      <c r="V102" s="16">
        <f t="shared" si="27"/>
        <v>-6.2827449717516026E-4</v>
      </c>
      <c r="BB102">
        <v>18646.5</v>
      </c>
      <c r="BC102">
        <v>8.7807049996627029E-2</v>
      </c>
      <c r="BD102">
        <v>1</v>
      </c>
      <c r="BH102">
        <v>18646.5</v>
      </c>
      <c r="BI102">
        <v>8.7807049996627029E-2</v>
      </c>
      <c r="BJ102">
        <v>1</v>
      </c>
    </row>
    <row r="103" spans="1:62" x14ac:dyDescent="0.2">
      <c r="A103" s="50" t="s">
        <v>66</v>
      </c>
      <c r="B103" s="47"/>
      <c r="C103" s="46">
        <v>53439.967700000001</v>
      </c>
      <c r="D103" s="57">
        <v>1E-4</v>
      </c>
      <c r="E103" s="40">
        <f t="shared" si="19"/>
        <v>13771.101981958733</v>
      </c>
      <c r="F103" s="44">
        <f t="shared" si="20"/>
        <v>13771</v>
      </c>
      <c r="G103" s="40">
        <f t="shared" si="24"/>
        <v>4.8062699999718461E-2</v>
      </c>
      <c r="H103" s="40"/>
      <c r="I103" s="26"/>
      <c r="J103" s="26"/>
      <c r="K103" s="26"/>
      <c r="L103" s="26">
        <f>G103</f>
        <v>4.8062699999718461E-2</v>
      </c>
      <c r="M103" s="26"/>
      <c r="P103" s="38">
        <f t="shared" si="21"/>
        <v>4.843232767159044E-2</v>
      </c>
      <c r="Q103" s="10">
        <f t="shared" si="22"/>
        <v>38421.467700000001</v>
      </c>
      <c r="R103" s="9">
        <f t="shared" si="25"/>
        <v>1.3662461581349939E-7</v>
      </c>
      <c r="S103" s="9">
        <v>1</v>
      </c>
      <c r="T103" s="9">
        <f t="shared" si="26"/>
        <v>1.3662461581349939E-7</v>
      </c>
      <c r="U103" s="26"/>
      <c r="V103" s="16">
        <f t="shared" si="27"/>
        <v>-3.6962767187197904E-4</v>
      </c>
    </row>
    <row r="104" spans="1:62" x14ac:dyDescent="0.2">
      <c r="A104" s="46" t="s">
        <v>80</v>
      </c>
      <c r="B104" s="47" t="s">
        <v>64</v>
      </c>
      <c r="C104" s="46">
        <v>53546.481480000002</v>
      </c>
      <c r="D104" s="48">
        <v>2.9999999999999997E-4</v>
      </c>
      <c r="E104" s="40">
        <f t="shared" si="19"/>
        <v>13997.108509201305</v>
      </c>
      <c r="F104" s="44">
        <f t="shared" si="20"/>
        <v>13997</v>
      </c>
      <c r="G104" s="40">
        <f t="shared" si="24"/>
        <v>5.1138900002115406E-2</v>
      </c>
      <c r="H104" s="40"/>
      <c r="I104" s="26"/>
      <c r="J104" s="26"/>
      <c r="K104" s="26"/>
      <c r="L104" s="26"/>
      <c r="M104" s="26"/>
      <c r="N104">
        <f>G104</f>
        <v>5.1138900002115406E-2</v>
      </c>
      <c r="P104" s="38">
        <f t="shared" si="21"/>
        <v>4.9962833665380187E-2</v>
      </c>
      <c r="Q104" s="10">
        <f t="shared" si="22"/>
        <v>38527.981480000002</v>
      </c>
      <c r="R104" s="9">
        <f t="shared" si="25"/>
        <v>1.3831320284017986E-6</v>
      </c>
      <c r="S104" s="13">
        <v>1</v>
      </c>
      <c r="T104" s="9">
        <f t="shared" si="26"/>
        <v>1.3831320284017986E-6</v>
      </c>
      <c r="U104" s="26"/>
      <c r="V104" s="16">
        <f t="shared" si="27"/>
        <v>1.1760663367352195E-3</v>
      </c>
    </row>
    <row r="105" spans="1:62" x14ac:dyDescent="0.2">
      <c r="A105" s="50" t="s">
        <v>74</v>
      </c>
      <c r="B105" s="47"/>
      <c r="C105" s="46">
        <v>53784.01154</v>
      </c>
      <c r="D105" s="57">
        <v>6.0000000000000002E-5</v>
      </c>
      <c r="E105" s="40">
        <f t="shared" si="19"/>
        <v>14501.112253846541</v>
      </c>
      <c r="F105" s="44">
        <f t="shared" si="20"/>
        <v>14501</v>
      </c>
      <c r="G105" s="40">
        <f t="shared" si="24"/>
        <v>5.2903699994203635E-2</v>
      </c>
      <c r="H105" s="40"/>
      <c r="I105" s="26"/>
      <c r="J105" s="26"/>
      <c r="K105" s="26"/>
      <c r="L105" s="26">
        <f>G105</f>
        <v>5.2903699994203635E-2</v>
      </c>
      <c r="M105" s="26"/>
      <c r="P105" s="38">
        <f t="shared" si="21"/>
        <v>5.346122599098365E-2</v>
      </c>
      <c r="Q105" s="10">
        <f t="shared" si="22"/>
        <v>38765.51154</v>
      </c>
      <c r="R105" s="9">
        <f t="shared" si="25"/>
        <v>3.1083523708555025E-7</v>
      </c>
      <c r="S105" s="13">
        <v>1</v>
      </c>
      <c r="T105" s="9">
        <f t="shared" si="26"/>
        <v>3.1083523708555025E-7</v>
      </c>
      <c r="U105" s="26"/>
      <c r="V105" s="16">
        <f t="shared" si="27"/>
        <v>-5.5752599678001585E-4</v>
      </c>
    </row>
    <row r="106" spans="1:62" x14ac:dyDescent="0.2">
      <c r="A106" s="44" t="s">
        <v>71</v>
      </c>
      <c r="B106" s="52"/>
      <c r="C106" s="46">
        <v>53817.473299999998</v>
      </c>
      <c r="D106" s="48">
        <v>2.9999999999999997E-4</v>
      </c>
      <c r="E106" s="40">
        <f t="shared" si="19"/>
        <v>14572.1131719721</v>
      </c>
      <c r="F106" s="44">
        <f t="shared" si="20"/>
        <v>14572</v>
      </c>
      <c r="G106" s="40">
        <f t="shared" si="24"/>
        <v>5.3336399992986117E-2</v>
      </c>
      <c r="H106" s="40"/>
      <c r="I106" s="26"/>
      <c r="J106" s="26"/>
      <c r="K106" s="26">
        <f>G106</f>
        <v>5.3336399992986117E-2</v>
      </c>
      <c r="L106" s="26"/>
      <c r="M106" s="26"/>
      <c r="P106" s="38">
        <f t="shared" si="21"/>
        <v>5.3963512163031517E-2</v>
      </c>
      <c r="Q106" s="10">
        <f t="shared" si="22"/>
        <v>38798.973299999998</v>
      </c>
      <c r="R106" s="9">
        <f t="shared" si="25"/>
        <v>3.9326967381905127E-7</v>
      </c>
      <c r="S106" s="9">
        <v>1</v>
      </c>
      <c r="T106" s="9">
        <f t="shared" si="26"/>
        <v>3.9326967381905127E-7</v>
      </c>
      <c r="U106" s="26"/>
      <c r="V106" s="16">
        <f t="shared" si="27"/>
        <v>-6.2711217004540049E-4</v>
      </c>
    </row>
    <row r="107" spans="1:62" x14ac:dyDescent="0.2">
      <c r="A107" s="44" t="s">
        <v>71</v>
      </c>
      <c r="B107" s="52"/>
      <c r="C107" s="46">
        <v>53849.519800000002</v>
      </c>
      <c r="D107" s="48">
        <v>2.0999999999999999E-3</v>
      </c>
      <c r="E107" s="40">
        <f t="shared" si="19"/>
        <v>14640.111117170176</v>
      </c>
      <c r="F107" s="44">
        <f t="shared" si="20"/>
        <v>14640</v>
      </c>
      <c r="G107" s="40">
        <f t="shared" si="24"/>
        <v>5.2367999996931758E-2</v>
      </c>
      <c r="H107" s="40"/>
      <c r="I107" s="26"/>
      <c r="J107" s="26"/>
      <c r="K107" s="26">
        <f>G107</f>
        <v>5.2367999996931758E-2</v>
      </c>
      <c r="L107" s="26"/>
      <c r="M107" s="26"/>
      <c r="O107">
        <f t="shared" ref="O107:O151" ca="1" si="28">+C$11+C$12*F107</f>
        <v>5.5404734084563853E-2</v>
      </c>
      <c r="P107" s="38">
        <f t="shared" si="21"/>
        <v>5.444676452760356E-2</v>
      </c>
      <c r="Q107" s="10">
        <f t="shared" si="22"/>
        <v>38831.019800000002</v>
      </c>
      <c r="R107" s="9">
        <f t="shared" si="25"/>
        <v>4.321261973979157E-6</v>
      </c>
      <c r="S107" s="13">
        <v>0.5</v>
      </c>
      <c r="T107" s="9">
        <f t="shared" si="26"/>
        <v>2.1606309869895785E-6</v>
      </c>
      <c r="U107" s="26"/>
      <c r="V107" s="16">
        <f t="shared" si="27"/>
        <v>-2.0787645306718019E-3</v>
      </c>
    </row>
    <row r="108" spans="1:62" x14ac:dyDescent="0.2">
      <c r="A108" s="46" t="s">
        <v>75</v>
      </c>
      <c r="B108" s="52"/>
      <c r="C108" s="46">
        <v>53858.476600000002</v>
      </c>
      <c r="D108" s="48">
        <v>2.9999999999999997E-4</v>
      </c>
      <c r="E108" s="40">
        <f t="shared" si="19"/>
        <v>14659.116125378563</v>
      </c>
      <c r="F108" s="44">
        <f t="shared" si="20"/>
        <v>14659</v>
      </c>
      <c r="G108" s="40">
        <f t="shared" si="24"/>
        <v>5.4728299997805152E-2</v>
      </c>
      <c r="H108" s="40"/>
      <c r="I108" s="26"/>
      <c r="J108" s="26"/>
      <c r="K108" s="26">
        <f>G108</f>
        <v>5.4728299997805152E-2</v>
      </c>
      <c r="L108" s="26"/>
      <c r="M108" s="26"/>
      <c r="O108">
        <f t="shared" ca="1" si="28"/>
        <v>5.5553621982657064E-2</v>
      </c>
      <c r="P108" s="38">
        <f t="shared" si="21"/>
        <v>5.4582173840356012E-2</v>
      </c>
      <c r="Q108" s="10">
        <f t="shared" si="22"/>
        <v>38839.976600000002</v>
      </c>
      <c r="R108" s="9">
        <f t="shared" si="25"/>
        <v>2.135285389085098E-8</v>
      </c>
      <c r="S108" s="13">
        <v>1</v>
      </c>
      <c r="T108" s="9">
        <f t="shared" si="26"/>
        <v>2.135285389085098E-8</v>
      </c>
      <c r="U108" s="26"/>
      <c r="V108" s="16">
        <f t="shared" si="27"/>
        <v>1.4612615744914043E-4</v>
      </c>
    </row>
    <row r="109" spans="1:62" x14ac:dyDescent="0.2">
      <c r="A109" s="44" t="s">
        <v>73</v>
      </c>
      <c r="B109" s="47" t="s">
        <v>64</v>
      </c>
      <c r="C109" s="46">
        <v>53899.475299999998</v>
      </c>
      <c r="D109" s="48">
        <v>5.9999999999999995E-4</v>
      </c>
      <c r="E109" s="40">
        <f t="shared" si="19"/>
        <v>14746.109318263645</v>
      </c>
      <c r="F109" s="44">
        <f t="shared" si="20"/>
        <v>14746</v>
      </c>
      <c r="G109" s="40">
        <f t="shared" si="24"/>
        <v>5.1520199995138682E-2</v>
      </c>
      <c r="H109" s="40"/>
      <c r="I109" s="26"/>
      <c r="J109" s="26"/>
      <c r="K109" s="26">
        <f>G109</f>
        <v>5.1520199995138682E-2</v>
      </c>
      <c r="L109" s="26"/>
      <c r="M109" s="26"/>
      <c r="O109">
        <f t="shared" ca="1" si="28"/>
        <v>5.623537183182066E-2</v>
      </c>
      <c r="P109" s="38">
        <f t="shared" si="21"/>
        <v>5.5204342229144762E-2</v>
      </c>
      <c r="Q109" s="10">
        <f t="shared" si="22"/>
        <v>38880.975299999998</v>
      </c>
      <c r="R109" s="9">
        <f t="shared" si="25"/>
        <v>1.3572904000387309E-5</v>
      </c>
      <c r="S109" s="13">
        <v>1</v>
      </c>
      <c r="T109" s="9">
        <f t="shared" si="26"/>
        <v>1.3572904000387309E-5</v>
      </c>
      <c r="U109" s="26"/>
      <c r="V109" s="16">
        <f t="shared" si="27"/>
        <v>-3.6841422340060798E-3</v>
      </c>
    </row>
    <row r="110" spans="1:62" x14ac:dyDescent="0.2">
      <c r="A110" s="122" t="s">
        <v>195</v>
      </c>
      <c r="B110" s="123" t="s">
        <v>60</v>
      </c>
      <c r="C110" s="122">
        <v>54233.861299999997</v>
      </c>
      <c r="D110" s="125">
        <v>1E-4</v>
      </c>
      <c r="E110" s="40">
        <f t="shared" si="19"/>
        <v>15455.627078487098</v>
      </c>
      <c r="F110" s="44">
        <f t="shared" si="20"/>
        <v>15455.5</v>
      </c>
      <c r="G110" s="40">
        <f t="shared" si="24"/>
        <v>5.9890349992201664E-2</v>
      </c>
      <c r="H110" s="40"/>
      <c r="I110" s="26"/>
      <c r="J110" s="26"/>
      <c r="K110" s="26"/>
      <c r="L110" s="26"/>
      <c r="M110" s="26"/>
      <c r="N110">
        <f>G110</f>
        <v>5.9890349992201664E-2</v>
      </c>
      <c r="O110">
        <f t="shared" ca="1" si="28"/>
        <v>6.1795159394827326E-2</v>
      </c>
      <c r="P110" s="38">
        <f t="shared" si="21"/>
        <v>6.0409141772479823E-2</v>
      </c>
      <c r="Q110" s="10">
        <f t="shared" si="22"/>
        <v>39215.361299999997</v>
      </c>
      <c r="R110" s="9">
        <f t="shared" si="25"/>
        <v>2.6914491128418174E-7</v>
      </c>
      <c r="S110" s="13">
        <v>1</v>
      </c>
      <c r="T110" s="25">
        <f t="shared" si="26"/>
        <v>2.6914491128418174E-7</v>
      </c>
      <c r="U110" s="26"/>
      <c r="V110" s="16">
        <f t="shared" si="27"/>
        <v>-5.1879178027815914E-4</v>
      </c>
    </row>
    <row r="111" spans="1:62" x14ac:dyDescent="0.2">
      <c r="A111" s="48" t="s">
        <v>75</v>
      </c>
      <c r="B111" s="47" t="s">
        <v>60</v>
      </c>
      <c r="C111" s="48">
        <v>54240.460400000004</v>
      </c>
      <c r="D111" s="48">
        <v>1.1000000000000001E-3</v>
      </c>
      <c r="E111" s="40">
        <f t="shared" si="19"/>
        <v>15469.629395125639</v>
      </c>
      <c r="F111" s="44">
        <f t="shared" si="20"/>
        <v>15469.5</v>
      </c>
      <c r="G111" s="40">
        <f t="shared" si="24"/>
        <v>6.0982150003837887E-2</v>
      </c>
      <c r="H111" s="40"/>
      <c r="I111" s="26"/>
      <c r="J111" s="26"/>
      <c r="K111" s="26">
        <f>G111</f>
        <v>6.0982150003837887E-2</v>
      </c>
      <c r="L111" s="26"/>
      <c r="M111" s="26"/>
      <c r="O111">
        <f t="shared" ca="1" si="28"/>
        <v>6.190486626710652E-2</v>
      </c>
      <c r="P111" s="38">
        <f t="shared" si="21"/>
        <v>6.0514190326783485E-2</v>
      </c>
      <c r="Q111" s="10">
        <f t="shared" si="22"/>
        <v>39221.960400000004</v>
      </c>
      <c r="R111" s="9">
        <f t="shared" si="25"/>
        <v>2.1898625934886072E-7</v>
      </c>
      <c r="S111" s="13">
        <v>0.5</v>
      </c>
      <c r="T111" s="25">
        <f t="shared" si="26"/>
        <v>1.0949312967443036E-7</v>
      </c>
      <c r="V111" s="16">
        <f t="shared" si="27"/>
        <v>4.6795967705440256E-4</v>
      </c>
    </row>
    <row r="112" spans="1:62" x14ac:dyDescent="0.2">
      <c r="A112" s="128" t="s">
        <v>76</v>
      </c>
      <c r="B112" s="47"/>
      <c r="C112" s="120">
        <v>54539.025999999998</v>
      </c>
      <c r="D112" s="48">
        <v>1E-3</v>
      </c>
      <c r="E112" s="40">
        <f t="shared" si="19"/>
        <v>16103.14155111234</v>
      </c>
      <c r="F112" s="44">
        <f t="shared" si="20"/>
        <v>16103</v>
      </c>
      <c r="G112" s="40">
        <f t="shared" si="24"/>
        <v>6.6711099992971867E-2</v>
      </c>
      <c r="H112" s="40"/>
      <c r="I112" s="26"/>
      <c r="J112" s="26"/>
      <c r="K112" s="26"/>
      <c r="L112" s="26">
        <f>G112</f>
        <v>6.6711099992971867E-2</v>
      </c>
      <c r="M112" s="26"/>
      <c r="O112">
        <f t="shared" ca="1" si="28"/>
        <v>6.6869102237740383E-2</v>
      </c>
      <c r="P112" s="38">
        <f t="shared" si="21"/>
        <v>6.5362658043117902E-2</v>
      </c>
      <c r="Q112" s="10">
        <f t="shared" si="22"/>
        <v>39520.525999999998</v>
      </c>
      <c r="R112" s="9">
        <f t="shared" si="25"/>
        <v>1.8182956921259634E-6</v>
      </c>
      <c r="S112" s="13">
        <v>0.5</v>
      </c>
      <c r="T112" s="25">
        <f t="shared" si="26"/>
        <v>9.091478460629817E-7</v>
      </c>
      <c r="V112" s="16">
        <f t="shared" si="27"/>
        <v>1.3484419498539651E-3</v>
      </c>
    </row>
    <row r="113" spans="1:22" x14ac:dyDescent="0.2">
      <c r="A113" s="125" t="s">
        <v>197</v>
      </c>
      <c r="B113" s="123" t="s">
        <v>60</v>
      </c>
      <c r="C113" s="125">
        <v>54718.352400000003</v>
      </c>
      <c r="D113" s="125">
        <v>2.0000000000000001E-4</v>
      </c>
      <c r="E113" s="40">
        <f t="shared" si="19"/>
        <v>16483.645715990471</v>
      </c>
      <c r="F113" s="44">
        <f t="shared" si="20"/>
        <v>16483.5</v>
      </c>
      <c r="G113" s="40">
        <f t="shared" si="24"/>
        <v>6.8673950001539197E-2</v>
      </c>
      <c r="H113" s="40"/>
      <c r="I113" s="26"/>
      <c r="J113" s="26"/>
      <c r="K113" s="26"/>
      <c r="L113" s="26"/>
      <c r="M113" s="26"/>
      <c r="N113">
        <f>G113</f>
        <v>6.8673950001539197E-2</v>
      </c>
      <c r="O113">
        <f t="shared" ca="1" si="28"/>
        <v>6.9850778302185793E-2</v>
      </c>
      <c r="P113" s="38">
        <f t="shared" si="21"/>
        <v>6.8364176723045345E-2</v>
      </c>
      <c r="Q113" s="10">
        <f t="shared" si="22"/>
        <v>39699.852400000003</v>
      </c>
      <c r="R113" s="9">
        <f t="shared" si="25"/>
        <v>9.5959484068829766E-8</v>
      </c>
      <c r="S113" s="13">
        <v>1</v>
      </c>
      <c r="T113" s="25">
        <f t="shared" si="26"/>
        <v>9.5959484068829766E-8</v>
      </c>
      <c r="V113" s="16">
        <f t="shared" si="27"/>
        <v>3.0977327849385228E-4</v>
      </c>
    </row>
    <row r="114" spans="1:22" x14ac:dyDescent="0.2">
      <c r="A114" s="134" t="s">
        <v>223</v>
      </c>
      <c r="B114" s="60" t="s">
        <v>64</v>
      </c>
      <c r="C114" s="59">
        <v>51704.671699999999</v>
      </c>
      <c r="D114" s="59">
        <v>4.0000000000000002E-4</v>
      </c>
      <c r="E114" s="40">
        <f t="shared" si="19"/>
        <v>10089.059877191414</v>
      </c>
      <c r="F114" s="44">
        <f t="shared" si="20"/>
        <v>10089</v>
      </c>
      <c r="G114" s="40">
        <f t="shared" si="24"/>
        <v>2.8219299994816538E-2</v>
      </c>
      <c r="H114" s="40"/>
      <c r="I114" s="26"/>
      <c r="J114" s="26"/>
      <c r="K114" s="26"/>
      <c r="L114" s="26"/>
      <c r="M114" s="26"/>
      <c r="N114">
        <f>G114</f>
        <v>2.8219299994816538E-2</v>
      </c>
      <c r="O114">
        <f t="shared" ca="1" si="28"/>
        <v>1.9742164388660693E-2</v>
      </c>
      <c r="P114" s="38">
        <f t="shared" si="21"/>
        <v>2.683053506864929E-2</v>
      </c>
      <c r="Q114" s="10">
        <f t="shared" si="22"/>
        <v>36686.171699999999</v>
      </c>
      <c r="R114" s="9">
        <f t="shared" si="25"/>
        <v>1.928668020152321E-6</v>
      </c>
      <c r="S114" s="13">
        <v>1</v>
      </c>
      <c r="T114" s="25">
        <f t="shared" si="26"/>
        <v>1.928668020152321E-6</v>
      </c>
      <c r="V114" s="16">
        <f t="shared" si="27"/>
        <v>1.3887649261672477E-3</v>
      </c>
    </row>
    <row r="115" spans="1:22" x14ac:dyDescent="0.2">
      <c r="A115" s="134" t="s">
        <v>223</v>
      </c>
      <c r="B115" s="60" t="s">
        <v>64</v>
      </c>
      <c r="C115" s="59">
        <v>52752.824399999998</v>
      </c>
      <c r="D115" s="59">
        <v>4.0000000000000002E-4</v>
      </c>
      <c r="E115" s="40">
        <f t="shared" si="19"/>
        <v>12313.085273219262</v>
      </c>
      <c r="F115" s="44">
        <f t="shared" si="20"/>
        <v>12313</v>
      </c>
      <c r="G115" s="40">
        <f t="shared" si="24"/>
        <v>4.018809999251971E-2</v>
      </c>
      <c r="H115" s="40"/>
      <c r="I115" s="26"/>
      <c r="J115" s="26"/>
      <c r="L115" s="26"/>
      <c r="M115" s="26"/>
      <c r="N115">
        <f>G115</f>
        <v>4.018809999251971E-2</v>
      </c>
      <c r="O115">
        <f t="shared" ca="1" si="28"/>
        <v>3.7169884670728071E-2</v>
      </c>
      <c r="P115" s="38">
        <f t="shared" si="21"/>
        <v>3.9127295113930573E-2</v>
      </c>
      <c r="Q115" s="10">
        <f t="shared" si="22"/>
        <v>37734.324399999998</v>
      </c>
      <c r="R115" s="9">
        <f t="shared" si="25"/>
        <v>1.1253069904385147E-6</v>
      </c>
      <c r="S115" s="13">
        <v>1</v>
      </c>
      <c r="T115" s="25">
        <f t="shared" si="26"/>
        <v>1.1253069904385147E-6</v>
      </c>
      <c r="U115">
        <f>E115-INT(E115)</f>
        <v>8.527321926158038E-2</v>
      </c>
      <c r="V115" s="16">
        <f t="shared" si="27"/>
        <v>1.0608048785891375E-3</v>
      </c>
    </row>
    <row r="116" spans="1:22" x14ac:dyDescent="0.2">
      <c r="A116" s="125" t="s">
        <v>164</v>
      </c>
      <c r="B116" s="123" t="s">
        <v>60</v>
      </c>
      <c r="C116" s="125">
        <v>54897.913800000002</v>
      </c>
      <c r="D116" s="125">
        <v>1E-4</v>
      </c>
      <c r="E116" s="40">
        <f t="shared" si="19"/>
        <v>16864.648516199177</v>
      </c>
      <c r="F116" s="44">
        <f t="shared" si="20"/>
        <v>16864.5</v>
      </c>
      <c r="G116" s="40">
        <f t="shared" si="24"/>
        <v>6.9993650002288632E-2</v>
      </c>
      <c r="H116" s="40"/>
      <c r="I116" s="26"/>
      <c r="J116" s="26"/>
      <c r="K116" s="26">
        <f>G116</f>
        <v>6.9993650002288632E-2</v>
      </c>
      <c r="L116" s="26"/>
      <c r="M116" s="26"/>
      <c r="O116">
        <f t="shared" ca="1" si="28"/>
        <v>7.2836372469212637E-2</v>
      </c>
      <c r="P116" s="38">
        <f t="shared" si="21"/>
        <v>7.1436848422412505E-2</v>
      </c>
      <c r="Q116" s="10">
        <f t="shared" si="22"/>
        <v>39879.413800000002</v>
      </c>
      <c r="R116" s="9">
        <f t="shared" si="25"/>
        <v>2.0828216798480428E-6</v>
      </c>
      <c r="S116" s="13">
        <v>1</v>
      </c>
      <c r="T116" s="25">
        <f t="shared" si="26"/>
        <v>2.0828216798480428E-6</v>
      </c>
      <c r="V116" s="16">
        <f t="shared" si="27"/>
        <v>-1.4431984201238729E-3</v>
      </c>
    </row>
    <row r="117" spans="1:22" x14ac:dyDescent="0.2">
      <c r="A117" s="125" t="s">
        <v>197</v>
      </c>
      <c r="B117" s="123" t="s">
        <v>64</v>
      </c>
      <c r="C117" s="125">
        <v>54908.518700000001</v>
      </c>
      <c r="D117" s="125">
        <v>8.0000000000000004E-4</v>
      </c>
      <c r="E117" s="40">
        <f t="shared" ref="E117:E151" si="29">(C117-C$7)/C$8</f>
        <v>16887.150549464302</v>
      </c>
      <c r="F117" s="44">
        <f t="shared" ref="F117:F148" si="30">ROUND(2*E117,0)/2</f>
        <v>16887</v>
      </c>
      <c r="G117" s="40">
        <f t="shared" si="24"/>
        <v>7.0951899993815459E-2</v>
      </c>
      <c r="H117" s="40"/>
      <c r="I117" s="26"/>
      <c r="J117" s="26"/>
      <c r="K117" s="26"/>
      <c r="L117" s="26"/>
      <c r="M117" s="26"/>
      <c r="N117">
        <f>G117</f>
        <v>7.0951899993815459E-2</v>
      </c>
      <c r="O117">
        <f t="shared" ca="1" si="28"/>
        <v>7.301268708537563E-2</v>
      </c>
      <c r="P117" s="38">
        <f t="shared" si="21"/>
        <v>7.1620408501230345E-2</v>
      </c>
      <c r="Q117" s="10">
        <f t="shared" si="22"/>
        <v>39890.018700000001</v>
      </c>
      <c r="R117" s="9">
        <f t="shared" si="25"/>
        <v>4.4690362448607883E-7</v>
      </c>
      <c r="S117" s="13">
        <v>1</v>
      </c>
      <c r="T117" s="25">
        <f t="shared" si="26"/>
        <v>4.4690362448607883E-7</v>
      </c>
      <c r="V117" s="16">
        <f t="shared" si="27"/>
        <v>-6.685085074148861E-4</v>
      </c>
    </row>
    <row r="118" spans="1:22" x14ac:dyDescent="0.2">
      <c r="A118" s="125" t="s">
        <v>164</v>
      </c>
      <c r="B118" s="123" t="s">
        <v>60</v>
      </c>
      <c r="C118" s="125">
        <v>54915.826500000003</v>
      </c>
      <c r="D118" s="125">
        <v>1E-4</v>
      </c>
      <c r="E118" s="40">
        <f t="shared" si="29"/>
        <v>16902.656622948725</v>
      </c>
      <c r="F118" s="44">
        <f t="shared" si="30"/>
        <v>16902.5</v>
      </c>
      <c r="G118" s="40">
        <f t="shared" si="24"/>
        <v>7.3814249997667503E-2</v>
      </c>
      <c r="H118" s="40"/>
      <c r="I118" s="26"/>
      <c r="J118" s="26"/>
      <c r="K118" s="26">
        <f>G118</f>
        <v>7.3814249997667503E-2</v>
      </c>
      <c r="L118" s="26"/>
      <c r="M118" s="26"/>
      <c r="O118">
        <f t="shared" ca="1" si="28"/>
        <v>7.3134148265399032E-2</v>
      </c>
      <c r="P118" s="38">
        <f t="shared" ref="P118:P151" si="31">+D$11+D$12*F118+D$13*F118^2</f>
        <v>7.1746997441578891E-2</v>
      </c>
      <c r="Q118" s="10">
        <f t="shared" ref="Q118:Q151" si="32">C118-15018.5</f>
        <v>39897.326500000003</v>
      </c>
      <c r="R118" s="9">
        <f t="shared" si="25"/>
        <v>4.2735331306548966E-6</v>
      </c>
      <c r="S118" s="13">
        <v>1</v>
      </c>
      <c r="T118" s="25">
        <f t="shared" si="26"/>
        <v>4.2735331306548966E-6</v>
      </c>
      <c r="V118" s="16">
        <f t="shared" si="27"/>
        <v>2.0672525560886112E-3</v>
      </c>
    </row>
    <row r="119" spans="1:22" x14ac:dyDescent="0.2">
      <c r="A119" s="125" t="s">
        <v>196</v>
      </c>
      <c r="B119" s="123" t="s">
        <v>60</v>
      </c>
      <c r="C119" s="125">
        <v>54936.559800000003</v>
      </c>
      <c r="D119" s="125">
        <v>2.0000000000000001E-4</v>
      </c>
      <c r="E119" s="40">
        <f t="shared" si="29"/>
        <v>16946.649626776758</v>
      </c>
      <c r="F119" s="44">
        <f t="shared" si="30"/>
        <v>16946.5</v>
      </c>
      <c r="G119" s="40">
        <f t="shared" si="24"/>
        <v>7.0517050000489689E-2</v>
      </c>
      <c r="H119" s="40"/>
      <c r="I119" s="26"/>
      <c r="J119" s="26"/>
      <c r="K119" s="26"/>
      <c r="L119" s="26"/>
      <c r="M119" s="26"/>
      <c r="N119">
        <f>G119</f>
        <v>7.0517050000489689E-2</v>
      </c>
      <c r="O119">
        <f t="shared" ca="1" si="28"/>
        <v>7.347894129256223E-2</v>
      </c>
      <c r="P119" s="38">
        <f t="shared" si="31"/>
        <v>7.2106953150222142E-2</v>
      </c>
      <c r="Q119" s="10">
        <f t="shared" si="32"/>
        <v>39918.059800000003</v>
      </c>
      <c r="R119" s="9">
        <f t="shared" si="25"/>
        <v>2.5277920255291728E-6</v>
      </c>
      <c r="S119" s="13">
        <v>1</v>
      </c>
      <c r="T119" s="25">
        <f t="shared" si="26"/>
        <v>2.5277920255291728E-6</v>
      </c>
      <c r="V119" s="16">
        <f t="shared" si="27"/>
        <v>-1.5899031497324523E-3</v>
      </c>
    </row>
    <row r="120" spans="1:22" x14ac:dyDescent="0.2">
      <c r="A120" s="125" t="s">
        <v>196</v>
      </c>
      <c r="B120" s="123" t="s">
        <v>60</v>
      </c>
      <c r="C120" s="125">
        <v>54938.445299999999</v>
      </c>
      <c r="D120" s="125">
        <v>2.0000000000000001E-4</v>
      </c>
      <c r="E120" s="40">
        <f t="shared" si="29"/>
        <v>16950.650379610008</v>
      </c>
      <c r="F120" s="44">
        <f t="shared" si="30"/>
        <v>16950.5</v>
      </c>
      <c r="G120" s="40">
        <f t="shared" si="24"/>
        <v>7.0871849995455705E-2</v>
      </c>
      <c r="H120" s="40"/>
      <c r="I120" s="26"/>
      <c r="J120" s="26"/>
      <c r="K120" s="26"/>
      <c r="L120" s="26"/>
      <c r="M120" s="26"/>
      <c r="N120">
        <f>G120</f>
        <v>7.0871849995455705E-2</v>
      </c>
      <c r="O120">
        <f t="shared" ca="1" si="28"/>
        <v>7.3510286113213433E-2</v>
      </c>
      <c r="P120" s="38">
        <f t="shared" si="31"/>
        <v>7.2139720873183349E-2</v>
      </c>
      <c r="Q120" s="10">
        <f t="shared" si="32"/>
        <v>39919.945299999999</v>
      </c>
      <c r="R120" s="9">
        <f t="shared" si="25"/>
        <v>1.6074965625898685E-6</v>
      </c>
      <c r="S120" s="13">
        <v>1</v>
      </c>
      <c r="T120" s="25">
        <f t="shared" si="26"/>
        <v>1.6074965625898685E-6</v>
      </c>
      <c r="V120" s="16">
        <f t="shared" si="27"/>
        <v>-1.2678708777276448E-3</v>
      </c>
    </row>
    <row r="121" spans="1:22" x14ac:dyDescent="0.2">
      <c r="A121" s="125" t="s">
        <v>197</v>
      </c>
      <c r="B121" s="123" t="s">
        <v>64</v>
      </c>
      <c r="C121" s="125">
        <v>54942.4519</v>
      </c>
      <c r="D121" s="125">
        <v>4.0000000000000002E-4</v>
      </c>
      <c r="E121" s="40">
        <f t="shared" si="29"/>
        <v>16959.151793718589</v>
      </c>
      <c r="F121" s="44">
        <f t="shared" si="30"/>
        <v>16959</v>
      </c>
      <c r="G121" s="40">
        <f t="shared" si="24"/>
        <v>7.1538299998792354E-2</v>
      </c>
      <c r="H121" s="40"/>
      <c r="I121" s="26"/>
      <c r="J121" s="26"/>
      <c r="K121" s="26"/>
      <c r="L121" s="26"/>
      <c r="M121" s="26"/>
      <c r="N121">
        <f>G121</f>
        <v>7.1538299998792354E-2</v>
      </c>
      <c r="O121">
        <f t="shared" ca="1" si="28"/>
        <v>7.3576893857097245E-2</v>
      </c>
      <c r="P121" s="38">
        <f t="shared" si="31"/>
        <v>7.2209376897244645E-2</v>
      </c>
      <c r="Q121" s="10">
        <f t="shared" si="32"/>
        <v>39923.9519</v>
      </c>
      <c r="R121" s="9">
        <f t="shared" si="25"/>
        <v>4.5034420363634694E-7</v>
      </c>
      <c r="S121" s="13">
        <v>1</v>
      </c>
      <c r="T121" s="25">
        <f t="shared" si="26"/>
        <v>4.5034420363634694E-7</v>
      </c>
      <c r="V121" s="16">
        <f t="shared" si="27"/>
        <v>-6.7107689845229135E-4</v>
      </c>
    </row>
    <row r="122" spans="1:22" x14ac:dyDescent="0.2">
      <c r="A122" s="125" t="s">
        <v>196</v>
      </c>
      <c r="B122" s="123" t="s">
        <v>64</v>
      </c>
      <c r="C122" s="125">
        <v>54959.418100000003</v>
      </c>
      <c r="D122" s="125">
        <v>1E-4</v>
      </c>
      <c r="E122" s="40">
        <f t="shared" si="29"/>
        <v>16995.151567104749</v>
      </c>
      <c r="F122" s="44">
        <f t="shared" si="30"/>
        <v>16995</v>
      </c>
      <c r="G122" s="40">
        <f t="shared" si="24"/>
        <v>7.1431500000471715E-2</v>
      </c>
      <c r="H122" s="40"/>
      <c r="I122" s="26"/>
      <c r="J122" s="26"/>
      <c r="K122" s="26"/>
      <c r="L122" s="26"/>
      <c r="M122" s="26"/>
      <c r="N122">
        <f>G122</f>
        <v>7.1431500000471715E-2</v>
      </c>
      <c r="O122">
        <f t="shared" ca="1" si="28"/>
        <v>7.3858997242958038E-2</v>
      </c>
      <c r="P122" s="38">
        <f t="shared" si="31"/>
        <v>7.2504761748850233E-2</v>
      </c>
      <c r="Q122" s="10">
        <f t="shared" si="32"/>
        <v>39940.918100000003</v>
      </c>
      <c r="R122" s="9">
        <f t="shared" si="25"/>
        <v>1.151890780532513E-6</v>
      </c>
      <c r="S122" s="13">
        <v>1</v>
      </c>
      <c r="T122" s="25">
        <f t="shared" si="26"/>
        <v>1.151890780532513E-6</v>
      </c>
      <c r="V122" s="16">
        <f t="shared" si="27"/>
        <v>-1.0732617483785178E-3</v>
      </c>
    </row>
    <row r="123" spans="1:22" x14ac:dyDescent="0.2">
      <c r="A123" s="125" t="s">
        <v>164</v>
      </c>
      <c r="B123" s="123" t="s">
        <v>60</v>
      </c>
      <c r="C123" s="125">
        <v>54981.806299999997</v>
      </c>
      <c r="D123" s="125">
        <v>2.0000000000000001E-4</v>
      </c>
      <c r="E123" s="40">
        <f t="shared" si="29"/>
        <v>17042.656024586315</v>
      </c>
      <c r="F123" s="44">
        <f t="shared" si="30"/>
        <v>17042.5</v>
      </c>
      <c r="G123" s="40">
        <f t="shared" si="24"/>
        <v>7.3532249996787868E-2</v>
      </c>
      <c r="H123" s="40"/>
      <c r="I123" s="26"/>
      <c r="J123" s="26"/>
      <c r="K123" s="26">
        <f>G123</f>
        <v>7.3532249996787868E-2</v>
      </c>
      <c r="L123" s="26"/>
      <c r="M123" s="26"/>
      <c r="O123">
        <f t="shared" ca="1" si="28"/>
        <v>7.4231216988191059E-2</v>
      </c>
      <c r="P123" s="38">
        <f t="shared" si="31"/>
        <v>7.2895424430452965E-2</v>
      </c>
      <c r="Q123" s="10">
        <f t="shared" si="32"/>
        <v>39963.306299999997</v>
      </c>
      <c r="R123" s="9">
        <f t="shared" si="25"/>
        <v>4.0554680193777015E-7</v>
      </c>
      <c r="S123" s="9">
        <v>1</v>
      </c>
      <c r="T123" s="25">
        <f t="shared" si="26"/>
        <v>4.0554680193777015E-7</v>
      </c>
      <c r="V123" s="16">
        <f t="shared" si="27"/>
        <v>6.3682556633490317E-4</v>
      </c>
    </row>
    <row r="124" spans="1:22" x14ac:dyDescent="0.2">
      <c r="A124" s="125" t="s">
        <v>164</v>
      </c>
      <c r="B124" s="123" t="s">
        <v>60</v>
      </c>
      <c r="C124" s="125">
        <v>54982.748800000001</v>
      </c>
      <c r="D124" s="125">
        <v>1E-4</v>
      </c>
      <c r="E124" s="40">
        <f t="shared" si="29"/>
        <v>17044.655870539835</v>
      </c>
      <c r="F124" s="44">
        <f t="shared" si="30"/>
        <v>17044.5</v>
      </c>
      <c r="G124" s="40">
        <f t="shared" si="24"/>
        <v>7.3459649996948428E-2</v>
      </c>
      <c r="H124" s="40"/>
      <c r="I124" s="26"/>
      <c r="J124" s="26"/>
      <c r="K124" s="26">
        <f>G124</f>
        <v>7.3459649996948428E-2</v>
      </c>
      <c r="L124" s="26"/>
      <c r="M124" s="26"/>
      <c r="O124">
        <f t="shared" ca="1" si="28"/>
        <v>7.4246889398516661E-2</v>
      </c>
      <c r="P124" s="38">
        <f t="shared" si="31"/>
        <v>7.2911896318777036E-2</v>
      </c>
      <c r="Q124" s="10">
        <f t="shared" si="32"/>
        <v>39964.248800000001</v>
      </c>
      <c r="R124" s="9">
        <f t="shared" si="25"/>
        <v>3.00034091950289E-7</v>
      </c>
      <c r="S124" s="25">
        <v>1</v>
      </c>
      <c r="T124" s="25">
        <f t="shared" si="26"/>
        <v>3.00034091950289E-7</v>
      </c>
      <c r="V124" s="16">
        <f t="shared" si="27"/>
        <v>5.4775367817139209E-4</v>
      </c>
    </row>
    <row r="125" spans="1:22" x14ac:dyDescent="0.2">
      <c r="A125" s="48" t="s">
        <v>79</v>
      </c>
      <c r="B125" s="47" t="s">
        <v>60</v>
      </c>
      <c r="C125" s="48">
        <v>54998.7765</v>
      </c>
      <c r="D125" s="48">
        <v>2.9999999999999997E-4</v>
      </c>
      <c r="E125" s="40">
        <f t="shared" si="29"/>
        <v>17078.664285382361</v>
      </c>
      <c r="F125" s="44">
        <f t="shared" si="30"/>
        <v>17078.5</v>
      </c>
      <c r="G125" s="40">
        <f t="shared" si="24"/>
        <v>7.7425449999282137E-2</v>
      </c>
      <c r="H125" s="40"/>
      <c r="I125" s="26"/>
      <c r="J125" s="26"/>
      <c r="K125" s="26">
        <f>G125</f>
        <v>7.7425449999282137E-2</v>
      </c>
      <c r="L125" s="26"/>
      <c r="M125" s="26"/>
      <c r="O125">
        <f t="shared" ca="1" si="28"/>
        <v>7.4513320374051853E-2</v>
      </c>
      <c r="P125" s="38">
        <f t="shared" si="31"/>
        <v>7.3192201959382044E-2</v>
      </c>
      <c r="Q125" s="10">
        <f t="shared" si="32"/>
        <v>39980.2765</v>
      </c>
      <c r="R125" s="9">
        <f t="shared" si="25"/>
        <v>1.7920388967317971E-5</v>
      </c>
      <c r="S125" s="25">
        <v>1</v>
      </c>
      <c r="T125" s="25">
        <f t="shared" si="26"/>
        <v>1.7920388967317971E-5</v>
      </c>
      <c r="V125" s="16">
        <f t="shared" si="27"/>
        <v>4.2332480399000921E-3</v>
      </c>
    </row>
    <row r="126" spans="1:22" x14ac:dyDescent="0.2">
      <c r="A126" s="127" t="s">
        <v>192</v>
      </c>
      <c r="B126" s="47" t="s">
        <v>64</v>
      </c>
      <c r="C126" s="48">
        <v>55050.378680000002</v>
      </c>
      <c r="D126" s="48">
        <v>5.0000000000000001E-4</v>
      </c>
      <c r="E126" s="40">
        <f t="shared" si="29"/>
        <v>17188.156498502074</v>
      </c>
      <c r="F126" s="44">
        <f t="shared" si="30"/>
        <v>17188</v>
      </c>
      <c r="G126" s="40">
        <f t="shared" si="24"/>
        <v>7.3755600002186839E-2</v>
      </c>
      <c r="H126" s="40"/>
      <c r="I126" s="26"/>
      <c r="J126" s="26"/>
      <c r="K126" s="26"/>
      <c r="L126" s="26"/>
      <c r="M126" s="26"/>
      <c r="N126">
        <f t="shared" ref="N126:N138" si="33">G126</f>
        <v>7.3755600002186839E-2</v>
      </c>
      <c r="O126">
        <f t="shared" ca="1" si="28"/>
        <v>7.5371384839378455E-2</v>
      </c>
      <c r="P126" s="38">
        <f t="shared" si="31"/>
        <v>7.4098590975690937E-2</v>
      </c>
      <c r="Q126" s="10">
        <f t="shared" si="32"/>
        <v>40031.878680000002</v>
      </c>
      <c r="R126" s="9">
        <f t="shared" si="25"/>
        <v>1.1764280790528894E-7</v>
      </c>
      <c r="S126" s="25">
        <v>1</v>
      </c>
      <c r="T126" s="25">
        <f t="shared" si="26"/>
        <v>1.1764280790528894E-7</v>
      </c>
      <c r="V126" s="16">
        <f t="shared" si="27"/>
        <v>-3.4299097350409813E-4</v>
      </c>
    </row>
    <row r="127" spans="1:22" x14ac:dyDescent="0.2">
      <c r="A127" s="127" t="s">
        <v>192</v>
      </c>
      <c r="B127" s="47" t="s">
        <v>64</v>
      </c>
      <c r="C127" s="48">
        <v>55050.378779999999</v>
      </c>
      <c r="D127" s="48">
        <v>5.0000000000000001E-4</v>
      </c>
      <c r="E127" s="40">
        <f t="shared" si="29"/>
        <v>17188.156710687319</v>
      </c>
      <c r="F127" s="44">
        <f t="shared" si="30"/>
        <v>17188</v>
      </c>
      <c r="G127" s="40">
        <f t="shared" si="24"/>
        <v>7.3855599999660626E-2</v>
      </c>
      <c r="H127" s="40"/>
      <c r="I127" s="26"/>
      <c r="J127" s="26"/>
      <c r="K127" s="26"/>
      <c r="L127" s="26"/>
      <c r="M127" s="26"/>
      <c r="N127">
        <f t="shared" si="33"/>
        <v>7.3855599999660626E-2</v>
      </c>
      <c r="O127">
        <f t="shared" ca="1" si="28"/>
        <v>7.5371384839378455E-2</v>
      </c>
      <c r="P127" s="38">
        <f t="shared" si="31"/>
        <v>7.4098590975690937E-2</v>
      </c>
      <c r="Q127" s="10">
        <f t="shared" si="32"/>
        <v>40031.878779999999</v>
      </c>
      <c r="R127" s="9">
        <f t="shared" si="25"/>
        <v>5.9044614432162986E-8</v>
      </c>
      <c r="S127" s="25">
        <v>1</v>
      </c>
      <c r="T127" s="25">
        <f t="shared" si="26"/>
        <v>5.9044614432162986E-8</v>
      </c>
      <c r="V127" s="16">
        <f t="shared" si="27"/>
        <v>-2.4299097603031061E-4</v>
      </c>
    </row>
    <row r="128" spans="1:22" x14ac:dyDescent="0.2">
      <c r="A128" s="127" t="s">
        <v>192</v>
      </c>
      <c r="B128" s="47" t="s">
        <v>64</v>
      </c>
      <c r="C128" s="48">
        <v>55050.379180000004</v>
      </c>
      <c r="D128" s="48">
        <v>8.9999999999999998E-4</v>
      </c>
      <c r="E128" s="40">
        <f t="shared" si="29"/>
        <v>17188.157559428317</v>
      </c>
      <c r="F128" s="44">
        <f t="shared" si="30"/>
        <v>17188</v>
      </c>
      <c r="G128" s="40">
        <f t="shared" si="24"/>
        <v>7.4255600004107691E-2</v>
      </c>
      <c r="H128" s="40"/>
      <c r="I128" s="26"/>
      <c r="J128" s="26"/>
      <c r="K128" s="26"/>
      <c r="L128" s="26"/>
      <c r="M128" s="26"/>
      <c r="N128">
        <f t="shared" si="33"/>
        <v>7.4255600004107691E-2</v>
      </c>
      <c r="O128">
        <f t="shared" ca="1" si="28"/>
        <v>7.5371384839378455E-2</v>
      </c>
      <c r="P128" s="38">
        <f t="shared" si="31"/>
        <v>7.4098590975690937E-2</v>
      </c>
      <c r="Q128" s="10">
        <f t="shared" si="32"/>
        <v>40031.879180000004</v>
      </c>
      <c r="R128" s="9">
        <f t="shared" si="25"/>
        <v>2.4651835004373279E-8</v>
      </c>
      <c r="S128" s="25">
        <v>1</v>
      </c>
      <c r="T128" s="25">
        <f t="shared" si="26"/>
        <v>2.4651835004373279E-8</v>
      </c>
      <c r="V128" s="16">
        <f t="shared" si="27"/>
        <v>1.5700902841675468E-4</v>
      </c>
    </row>
    <row r="129" spans="1:24" x14ac:dyDescent="0.2">
      <c r="A129" s="49" t="s">
        <v>191</v>
      </c>
      <c r="B129" s="52" t="s">
        <v>64</v>
      </c>
      <c r="C129" s="129">
        <v>55076.3007</v>
      </c>
      <c r="D129" s="129">
        <v>1E-4</v>
      </c>
      <c r="E129" s="40">
        <f t="shared" si="29"/>
        <v>17243.159200681192</v>
      </c>
      <c r="F129" s="44">
        <f t="shared" si="30"/>
        <v>17243</v>
      </c>
      <c r="G129" s="40">
        <f t="shared" si="24"/>
        <v>7.5029099993116688E-2</v>
      </c>
      <c r="H129" s="40"/>
      <c r="I129" s="26"/>
      <c r="J129" s="26"/>
      <c r="K129" s="26"/>
      <c r="L129" s="26"/>
      <c r="M129" s="26"/>
      <c r="N129">
        <f t="shared" si="33"/>
        <v>7.5029099993116688E-2</v>
      </c>
      <c r="O129">
        <f t="shared" ca="1" si="28"/>
        <v>7.5802376123332474E-2</v>
      </c>
      <c r="P129" s="38">
        <f t="shared" si="31"/>
        <v>7.4555950714809235E-2</v>
      </c>
      <c r="Q129" s="10">
        <f t="shared" si="32"/>
        <v>40057.8007</v>
      </c>
      <c r="R129" s="9">
        <f t="shared" si="25"/>
        <v>2.2387023956286321E-7</v>
      </c>
      <c r="S129" s="25">
        <v>1</v>
      </c>
      <c r="T129" s="25">
        <f t="shared" si="26"/>
        <v>2.2387023956286321E-7</v>
      </c>
      <c r="V129" s="16">
        <f t="shared" si="27"/>
        <v>4.7314927830745257E-4</v>
      </c>
    </row>
    <row r="130" spans="1:24" x14ac:dyDescent="0.2">
      <c r="A130" s="125" t="s">
        <v>198</v>
      </c>
      <c r="B130" s="123" t="s">
        <v>64</v>
      </c>
      <c r="C130" s="125">
        <v>55083.369700000003</v>
      </c>
      <c r="D130" s="125">
        <v>2.9999999999999997E-4</v>
      </c>
      <c r="E130" s="40">
        <f t="shared" si="29"/>
        <v>17258.158575795645</v>
      </c>
      <c r="F130" s="44">
        <f t="shared" si="30"/>
        <v>17258</v>
      </c>
      <c r="G130" s="40">
        <f t="shared" si="24"/>
        <v>7.4734599998919293E-2</v>
      </c>
      <c r="H130" s="40"/>
      <c r="I130" s="26"/>
      <c r="J130" s="26"/>
      <c r="K130" s="26"/>
      <c r="L130" s="26"/>
      <c r="M130" s="26"/>
      <c r="N130">
        <f t="shared" si="33"/>
        <v>7.4734599998919293E-2</v>
      </c>
      <c r="O130">
        <f t="shared" ca="1" si="28"/>
        <v>7.5919919200774469E-2</v>
      </c>
      <c r="P130" s="38">
        <f t="shared" si="31"/>
        <v>7.4680928421181708E-2</v>
      </c>
      <c r="Q130" s="10">
        <f t="shared" si="32"/>
        <v>40064.869700000003</v>
      </c>
      <c r="R130" s="9">
        <f t="shared" si="25"/>
        <v>2.8806382568416439E-9</v>
      </c>
      <c r="S130" s="25">
        <v>1</v>
      </c>
      <c r="T130" s="25">
        <f t="shared" si="26"/>
        <v>2.8806382568416439E-9</v>
      </c>
      <c r="V130" s="16">
        <f t="shared" si="27"/>
        <v>5.367157773758513E-5</v>
      </c>
    </row>
    <row r="131" spans="1:24" x14ac:dyDescent="0.2">
      <c r="A131" s="49" t="s">
        <v>191</v>
      </c>
      <c r="B131" s="52" t="s">
        <v>60</v>
      </c>
      <c r="C131" s="129">
        <v>55097.272799999999</v>
      </c>
      <c r="D131" s="129">
        <v>2.9999999999999997E-4</v>
      </c>
      <c r="E131" s="40">
        <f t="shared" si="29"/>
        <v>17287.658902879197</v>
      </c>
      <c r="F131" s="44">
        <f t="shared" si="30"/>
        <v>17287.5</v>
      </c>
      <c r="G131" s="40">
        <f t="shared" si="24"/>
        <v>7.4888749993988313E-2</v>
      </c>
      <c r="H131" s="40"/>
      <c r="I131" s="26"/>
      <c r="J131" s="26"/>
      <c r="K131" s="26"/>
      <c r="L131" s="26"/>
      <c r="M131" s="26"/>
      <c r="N131">
        <f t="shared" si="33"/>
        <v>7.4888749993988313E-2</v>
      </c>
      <c r="O131">
        <f t="shared" ca="1" si="28"/>
        <v>7.6151087253077079E-2</v>
      </c>
      <c r="P131" s="38">
        <f t="shared" si="31"/>
        <v>7.4927022008377642E-2</v>
      </c>
      <c r="Q131" s="10">
        <f t="shared" si="32"/>
        <v>40078.772799999999</v>
      </c>
      <c r="R131" s="9">
        <f t="shared" si="25"/>
        <v>1.4647470854170002E-9</v>
      </c>
      <c r="S131" s="25">
        <v>1</v>
      </c>
      <c r="T131" s="25">
        <f t="shared" si="26"/>
        <v>1.4647470854170002E-9</v>
      </c>
      <c r="V131" s="16">
        <f t="shared" si="27"/>
        <v>-3.8272014389328923E-5</v>
      </c>
    </row>
    <row r="132" spans="1:24" x14ac:dyDescent="0.2">
      <c r="A132" s="127" t="s">
        <v>192</v>
      </c>
      <c r="B132" s="47" t="s">
        <v>64</v>
      </c>
      <c r="C132" s="48">
        <v>55352.475680000003</v>
      </c>
      <c r="D132" s="48">
        <v>2.2000000000000001E-3</v>
      </c>
      <c r="E132" s="40">
        <f t="shared" si="29"/>
        <v>17829.161764303357</v>
      </c>
      <c r="F132" s="44">
        <f t="shared" si="30"/>
        <v>17829</v>
      </c>
      <c r="G132" s="40">
        <f t="shared" ref="G132:G151" si="34">C132-(C$7+F132*C$8)</f>
        <v>7.6237300003413111E-2</v>
      </c>
      <c r="H132" s="40"/>
      <c r="I132" s="26"/>
      <c r="J132" s="26"/>
      <c r="K132" s="26"/>
      <c r="L132" s="26"/>
      <c r="M132" s="26"/>
      <c r="N132">
        <f t="shared" si="33"/>
        <v>7.6237300003413111E-2</v>
      </c>
      <c r="O132">
        <f t="shared" ca="1" si="28"/>
        <v>8.0394392348733315E-2</v>
      </c>
      <c r="P132" s="38">
        <f t="shared" si="31"/>
        <v>7.9515924452494016E-2</v>
      </c>
      <c r="Q132" s="10">
        <f t="shared" si="32"/>
        <v>40333.975680000003</v>
      </c>
      <c r="R132" s="9">
        <f t="shared" ref="R132:R151" si="35">(G132-P132)^2</f>
        <v>1.074937827811107E-5</v>
      </c>
      <c r="S132" s="25">
        <v>0.5</v>
      </c>
      <c r="T132" s="25">
        <f t="shared" ref="T132:T151" si="36">R132*S132</f>
        <v>5.3746891390555349E-6</v>
      </c>
      <c r="V132" s="16">
        <f t="shared" ref="V132:V151" si="37">+G132-P132</f>
        <v>-3.2786244490809052E-3</v>
      </c>
    </row>
    <row r="133" spans="1:24" x14ac:dyDescent="0.2">
      <c r="A133" s="127" t="s">
        <v>192</v>
      </c>
      <c r="B133" s="47" t="s">
        <v>64</v>
      </c>
      <c r="C133" s="48">
        <v>55352.476979999999</v>
      </c>
      <c r="D133" s="48">
        <v>1.6000000000000001E-3</v>
      </c>
      <c r="E133" s="40">
        <f t="shared" si="29"/>
        <v>17829.164522711559</v>
      </c>
      <c r="F133" s="44">
        <f t="shared" si="30"/>
        <v>17829</v>
      </c>
      <c r="G133" s="40">
        <f t="shared" si="34"/>
        <v>7.7537299999676179E-2</v>
      </c>
      <c r="H133" s="40"/>
      <c r="I133" s="26"/>
      <c r="J133" s="26"/>
      <c r="K133" s="26"/>
      <c r="L133" s="26"/>
      <c r="M133" s="26"/>
      <c r="N133">
        <f t="shared" si="33"/>
        <v>7.7537299999676179E-2</v>
      </c>
      <c r="O133">
        <f t="shared" ca="1" si="28"/>
        <v>8.0394392348733315E-2</v>
      </c>
      <c r="P133" s="38">
        <f t="shared" si="31"/>
        <v>7.9515924452494016E-2</v>
      </c>
      <c r="Q133" s="10">
        <f t="shared" si="32"/>
        <v>40333.976979999999</v>
      </c>
      <c r="R133" s="9">
        <f t="shared" si="35"/>
        <v>3.9149547252886847E-6</v>
      </c>
      <c r="S133" s="25">
        <v>0.5</v>
      </c>
      <c r="T133" s="25">
        <f t="shared" si="36"/>
        <v>1.9574773626443423E-6</v>
      </c>
      <c r="V133" s="16">
        <f t="shared" si="37"/>
        <v>-1.9786244528178371E-3</v>
      </c>
    </row>
    <row r="134" spans="1:24" x14ac:dyDescent="0.2">
      <c r="A134" s="127" t="s">
        <v>192</v>
      </c>
      <c r="B134" s="47" t="s">
        <v>64</v>
      </c>
      <c r="C134" s="48">
        <v>55352.477579999999</v>
      </c>
      <c r="D134" s="48">
        <v>8.0000000000000004E-4</v>
      </c>
      <c r="E134" s="40">
        <f t="shared" si="29"/>
        <v>17829.165795823039</v>
      </c>
      <c r="F134" s="44">
        <f t="shared" si="30"/>
        <v>17829</v>
      </c>
      <c r="G134" s="40">
        <f t="shared" si="34"/>
        <v>7.8137299999070819E-2</v>
      </c>
      <c r="H134" s="40"/>
      <c r="I134" s="26"/>
      <c r="J134" s="26"/>
      <c r="K134" s="26"/>
      <c r="L134" s="26"/>
      <c r="M134" s="26"/>
      <c r="N134">
        <f t="shared" si="33"/>
        <v>7.8137299999070819E-2</v>
      </c>
      <c r="O134">
        <f t="shared" ca="1" si="28"/>
        <v>8.0394392348733315E-2</v>
      </c>
      <c r="P134" s="38">
        <f t="shared" si="31"/>
        <v>7.9515924452494016E-2</v>
      </c>
      <c r="Q134" s="10">
        <f t="shared" si="32"/>
        <v>40333.977579999999</v>
      </c>
      <c r="R134" s="9">
        <f t="shared" si="35"/>
        <v>1.9006053835764078E-6</v>
      </c>
      <c r="S134" s="25">
        <v>1</v>
      </c>
      <c r="T134" s="25">
        <f t="shared" si="36"/>
        <v>1.9006053835764078E-6</v>
      </c>
      <c r="V134" s="16">
        <f t="shared" si="37"/>
        <v>-1.3786244534231967E-3</v>
      </c>
    </row>
    <row r="135" spans="1:24" x14ac:dyDescent="0.2">
      <c r="A135" s="125" t="s">
        <v>198</v>
      </c>
      <c r="B135" s="123" t="s">
        <v>64</v>
      </c>
      <c r="C135" s="125">
        <v>55376.516100000001</v>
      </c>
      <c r="D135" s="125">
        <v>3.0999999999999999E-3</v>
      </c>
      <c r="E135" s="40">
        <f t="shared" si="29"/>
        <v>17880.171988873852</v>
      </c>
      <c r="F135" s="44">
        <f t="shared" si="30"/>
        <v>17880</v>
      </c>
      <c r="G135" s="40">
        <f t="shared" si="34"/>
        <v>8.1055999995442107E-2</v>
      </c>
      <c r="H135" s="40"/>
      <c r="I135" s="26"/>
      <c r="J135" s="26"/>
      <c r="K135" s="26"/>
      <c r="L135" s="26"/>
      <c r="M135" s="26"/>
      <c r="N135">
        <f t="shared" si="33"/>
        <v>8.1055999995442107E-2</v>
      </c>
      <c r="O135">
        <f t="shared" ca="1" si="28"/>
        <v>8.0794038812036104E-2</v>
      </c>
      <c r="P135" s="38">
        <f t="shared" si="31"/>
        <v>7.9955120121982456E-2</v>
      </c>
      <c r="Q135" s="10">
        <f t="shared" si="32"/>
        <v>40358.016100000001</v>
      </c>
      <c r="R135" s="9">
        <f t="shared" si="35"/>
        <v>1.211936495788537E-6</v>
      </c>
      <c r="S135" s="25">
        <v>0.5</v>
      </c>
      <c r="T135" s="25">
        <f t="shared" si="36"/>
        <v>6.0596824789426849E-7</v>
      </c>
      <c r="V135" s="16">
        <f t="shared" si="37"/>
        <v>1.1008798734596509E-3</v>
      </c>
    </row>
    <row r="136" spans="1:24" x14ac:dyDescent="0.2">
      <c r="A136" s="92" t="s">
        <v>204</v>
      </c>
      <c r="B136" s="47"/>
      <c r="C136" s="120">
        <v>55388.537300000004</v>
      </c>
      <c r="D136" s="48">
        <v>2.3E-3</v>
      </c>
      <c r="E136" s="40">
        <f t="shared" si="29"/>
        <v>17905.679201793053</v>
      </c>
      <c r="F136" s="44">
        <f t="shared" si="30"/>
        <v>17905.5</v>
      </c>
      <c r="G136" s="40">
        <f t="shared" si="34"/>
        <v>8.4455349999188911E-2</v>
      </c>
      <c r="H136" s="40"/>
      <c r="I136" s="26"/>
      <c r="J136" s="26"/>
      <c r="K136" s="26"/>
      <c r="L136" s="26"/>
      <c r="M136" s="26"/>
      <c r="N136">
        <f t="shared" si="33"/>
        <v>8.4455349999188911E-2</v>
      </c>
      <c r="O136">
        <f t="shared" ca="1" si="28"/>
        <v>8.0993862043687512E-2</v>
      </c>
      <c r="P136" s="38">
        <f t="shared" si="31"/>
        <v>8.017516984716061E-2</v>
      </c>
      <c r="Q136" s="10">
        <f t="shared" si="32"/>
        <v>40370.037300000004</v>
      </c>
      <c r="R136" s="9">
        <f t="shared" si="35"/>
        <v>1.8319942133817012E-5</v>
      </c>
      <c r="S136" s="25">
        <v>1</v>
      </c>
      <c r="T136" s="25">
        <f t="shared" si="36"/>
        <v>1.8319942133817012E-5</v>
      </c>
      <c r="V136" s="16">
        <f t="shared" si="37"/>
        <v>4.2801801520283012E-3</v>
      </c>
      <c r="X136" s="71"/>
    </row>
    <row r="137" spans="1:24" x14ac:dyDescent="0.2">
      <c r="A137" s="125" t="s">
        <v>200</v>
      </c>
      <c r="B137" s="123" t="s">
        <v>64</v>
      </c>
      <c r="C137" s="125">
        <v>55393.481899999999</v>
      </c>
      <c r="D137" s="125">
        <v>2.0000000000000001E-4</v>
      </c>
      <c r="E137" s="40">
        <f t="shared" si="29"/>
        <v>17916.170913519014</v>
      </c>
      <c r="F137" s="44">
        <f t="shared" si="30"/>
        <v>17916</v>
      </c>
      <c r="G137" s="40">
        <f t="shared" si="34"/>
        <v>8.0549199992674403E-2</v>
      </c>
      <c r="H137" s="40"/>
      <c r="I137" s="26"/>
      <c r="J137" s="26"/>
      <c r="K137" s="26"/>
      <c r="L137" s="26"/>
      <c r="M137" s="26"/>
      <c r="N137">
        <f t="shared" si="33"/>
        <v>8.0549199992674403E-2</v>
      </c>
      <c r="O137">
        <f t="shared" ca="1" si="28"/>
        <v>8.1076142197896925E-2</v>
      </c>
      <c r="P137" s="38">
        <f t="shared" si="31"/>
        <v>8.0265866121072366E-2</v>
      </c>
      <c r="Q137" s="10">
        <f t="shared" si="32"/>
        <v>40374.981899999999</v>
      </c>
      <c r="R137" s="9">
        <f t="shared" si="35"/>
        <v>8.0278082796999736E-8</v>
      </c>
      <c r="S137" s="25">
        <v>1</v>
      </c>
      <c r="T137" s="25">
        <f t="shared" si="36"/>
        <v>8.0278082796999736E-8</v>
      </c>
      <c r="V137" s="16">
        <f t="shared" si="37"/>
        <v>2.8333387160203727E-4</v>
      </c>
    </row>
    <row r="138" spans="1:24" x14ac:dyDescent="0.2">
      <c r="A138" s="125" t="s">
        <v>200</v>
      </c>
      <c r="B138" s="123" t="s">
        <v>64</v>
      </c>
      <c r="C138" s="125">
        <v>55444.381699999998</v>
      </c>
      <c r="D138" s="125">
        <v>1E-4</v>
      </c>
      <c r="E138" s="40">
        <f t="shared" si="29"/>
        <v>18024.172779900444</v>
      </c>
      <c r="F138" s="44">
        <f t="shared" si="30"/>
        <v>18024</v>
      </c>
      <c r="G138" s="40">
        <f t="shared" si="34"/>
        <v>8.1428799996501766E-2</v>
      </c>
      <c r="H138" s="40"/>
      <c r="I138" s="26"/>
      <c r="J138" s="26"/>
      <c r="K138" s="26"/>
      <c r="L138" s="26"/>
      <c r="M138" s="26"/>
      <c r="N138">
        <f t="shared" si="33"/>
        <v>8.1428799996501766E-2</v>
      </c>
      <c r="O138">
        <f t="shared" ca="1" si="28"/>
        <v>8.1922452355479333E-2</v>
      </c>
      <c r="P138" s="38">
        <f t="shared" si="31"/>
        <v>8.1201706732735857E-2</v>
      </c>
      <c r="Q138" s="10">
        <f t="shared" si="32"/>
        <v>40425.881699999998</v>
      </c>
      <c r="R138" s="9">
        <f t="shared" si="35"/>
        <v>5.1571350447852966E-8</v>
      </c>
      <c r="S138" s="25">
        <v>1</v>
      </c>
      <c r="T138" s="25">
        <f t="shared" si="36"/>
        <v>5.1571350447852966E-8</v>
      </c>
      <c r="V138" s="16">
        <f t="shared" si="37"/>
        <v>2.2709326376590955E-4</v>
      </c>
    </row>
    <row r="139" spans="1:24" x14ac:dyDescent="0.2">
      <c r="A139" s="130" t="s">
        <v>193</v>
      </c>
      <c r="B139" s="47"/>
      <c r="C139" s="120">
        <v>55695.816899999998</v>
      </c>
      <c r="D139" s="48">
        <v>2.9999999999999997E-4</v>
      </c>
      <c r="E139" s="40">
        <f t="shared" si="29"/>
        <v>18557.681180208285</v>
      </c>
      <c r="F139" s="44">
        <f t="shared" si="30"/>
        <v>18557.5</v>
      </c>
      <c r="G139" s="40">
        <f t="shared" si="34"/>
        <v>8.5387749997607898E-2</v>
      </c>
      <c r="H139" s="40"/>
      <c r="I139" s="26"/>
      <c r="J139" s="26"/>
      <c r="K139" s="26"/>
      <c r="L139" s="26">
        <f>G139</f>
        <v>8.5387749997607898E-2</v>
      </c>
      <c r="M139" s="26"/>
      <c r="O139">
        <f t="shared" ca="1" si="28"/>
        <v>8.6103067809833164E-2</v>
      </c>
      <c r="P139" s="38">
        <f t="shared" si="31"/>
        <v>8.5903865863471124E-2</v>
      </c>
      <c r="Q139" s="10">
        <f t="shared" si="32"/>
        <v>40677.316899999998</v>
      </c>
      <c r="R139" s="9">
        <f t="shared" si="35"/>
        <v>2.6637558699574738E-7</v>
      </c>
      <c r="S139" s="25">
        <v>1</v>
      </c>
      <c r="T139" s="25">
        <f t="shared" si="36"/>
        <v>2.6637558699574738E-7</v>
      </c>
      <c r="V139" s="16">
        <f t="shared" si="37"/>
        <v>-5.1611586586322589E-4</v>
      </c>
    </row>
    <row r="140" spans="1:24" x14ac:dyDescent="0.2">
      <c r="A140" s="125" t="s">
        <v>200</v>
      </c>
      <c r="B140" s="123" t="s">
        <v>60</v>
      </c>
      <c r="C140" s="125">
        <v>55710.427799999998</v>
      </c>
      <c r="D140" s="125">
        <v>3.0999999999999999E-3</v>
      </c>
      <c r="E140" s="40">
        <f t="shared" si="29"/>
        <v>18588.683354470508</v>
      </c>
      <c r="F140" s="44">
        <f t="shared" si="30"/>
        <v>18588.5</v>
      </c>
      <c r="G140" s="40">
        <f t="shared" si="34"/>
        <v>8.6412449993076734E-2</v>
      </c>
      <c r="H140" s="40"/>
      <c r="I140" s="26"/>
      <c r="J140" s="26"/>
      <c r="K140" s="26"/>
      <c r="L140" s="26"/>
      <c r="M140" s="26"/>
      <c r="N140">
        <f>G140</f>
        <v>8.6412449993076734E-2</v>
      </c>
      <c r="O140">
        <f t="shared" ca="1" si="28"/>
        <v>8.6345990169879969E-2</v>
      </c>
      <c r="P140" s="38">
        <f t="shared" si="31"/>
        <v>8.6181147231281646E-2</v>
      </c>
      <c r="Q140" s="10">
        <f t="shared" si="32"/>
        <v>40691.927799999998</v>
      </c>
      <c r="R140" s="9">
        <f t="shared" si="35"/>
        <v>5.350096761403523E-8</v>
      </c>
      <c r="S140" s="25">
        <v>0.5</v>
      </c>
      <c r="T140" s="25">
        <f t="shared" si="36"/>
        <v>2.6750483807017615E-8</v>
      </c>
      <c r="V140" s="16">
        <f t="shared" si="37"/>
        <v>2.3130276179508802E-4</v>
      </c>
    </row>
    <row r="141" spans="1:24" x14ac:dyDescent="0.2">
      <c r="A141" s="125" t="s">
        <v>199</v>
      </c>
      <c r="B141" s="123" t="s">
        <v>60</v>
      </c>
      <c r="C141" s="125">
        <v>55737.763800000001</v>
      </c>
      <c r="D141" s="125">
        <v>4.0000000000000002E-4</v>
      </c>
      <c r="E141" s="40">
        <f t="shared" si="29"/>
        <v>18646.686313605973</v>
      </c>
      <c r="F141" s="44">
        <f t="shared" si="30"/>
        <v>18646.5</v>
      </c>
      <c r="G141" s="40">
        <f t="shared" si="34"/>
        <v>8.7807049996627029E-2</v>
      </c>
      <c r="H141" s="40"/>
      <c r="I141" s="26"/>
      <c r="J141" s="26"/>
      <c r="K141" s="26"/>
      <c r="L141" s="26"/>
      <c r="M141" s="26"/>
      <c r="N141">
        <f>G141</f>
        <v>8.7807049996627029E-2</v>
      </c>
      <c r="O141">
        <f t="shared" ca="1" si="28"/>
        <v>8.6800490069322375E-2</v>
      </c>
      <c r="P141" s="38">
        <f t="shared" si="31"/>
        <v>8.6701127501068537E-2</v>
      </c>
      <c r="Q141" s="10">
        <f t="shared" si="32"/>
        <v>40719.263800000001</v>
      </c>
      <c r="R141" s="9">
        <f t="shared" si="35"/>
        <v>1.2230645661823234E-6</v>
      </c>
      <c r="S141" s="25">
        <v>1</v>
      </c>
      <c r="T141" s="25">
        <f t="shared" si="36"/>
        <v>1.2230645661823234E-6</v>
      </c>
      <c r="V141" s="16">
        <f t="shared" si="37"/>
        <v>1.1059224955584923E-3</v>
      </c>
    </row>
    <row r="142" spans="1:24" x14ac:dyDescent="0.2">
      <c r="A142" s="127" t="s">
        <v>224</v>
      </c>
      <c r="B142" s="47" t="s">
        <v>60</v>
      </c>
      <c r="C142" s="48">
        <v>56055.416499999999</v>
      </c>
      <c r="D142" s="48">
        <v>1.6000000000000001E-3</v>
      </c>
      <c r="E142" s="40">
        <f t="shared" si="29"/>
        <v>19320.698479883664</v>
      </c>
      <c r="F142" s="44">
        <f t="shared" si="30"/>
        <v>19320.5</v>
      </c>
      <c r="G142" s="40">
        <f t="shared" si="34"/>
        <v>9.3540850000863429E-2</v>
      </c>
      <c r="H142" s="40"/>
      <c r="I142" s="26"/>
      <c r="J142" s="26"/>
      <c r="K142">
        <f>G142</f>
        <v>9.3540850000863429E-2</v>
      </c>
      <c r="M142" s="26"/>
      <c r="O142">
        <f t="shared" ca="1" si="28"/>
        <v>9.2082092349049641E-2</v>
      </c>
      <c r="P142" s="38">
        <f t="shared" si="31"/>
        <v>9.2857945337043404E-2</v>
      </c>
      <c r="Q142" s="10">
        <f t="shared" si="32"/>
        <v>41036.916499999999</v>
      </c>
      <c r="R142" s="9">
        <f t="shared" si="35"/>
        <v>4.6635877986714111E-7</v>
      </c>
      <c r="S142" s="25">
        <v>1</v>
      </c>
      <c r="T142" s="25">
        <f t="shared" si="36"/>
        <v>4.6635877986714111E-7</v>
      </c>
      <c r="V142" s="16">
        <f t="shared" si="37"/>
        <v>6.8290466382002479E-4</v>
      </c>
    </row>
    <row r="143" spans="1:24" x14ac:dyDescent="0.2">
      <c r="A143" s="127" t="s">
        <v>225</v>
      </c>
      <c r="B143" s="47" t="s">
        <v>60</v>
      </c>
      <c r="C143" s="48">
        <v>56070.496899999998</v>
      </c>
      <c r="D143" s="48">
        <v>4.0000000000000002E-4</v>
      </c>
      <c r="E143" s="40">
        <f t="shared" si="29"/>
        <v>19352.696863880821</v>
      </c>
      <c r="F143" s="44">
        <f t="shared" si="30"/>
        <v>19352.5</v>
      </c>
      <c r="G143" s="40">
        <f t="shared" si="34"/>
        <v>9.2779249993327539E-2</v>
      </c>
      <c r="H143" s="40"/>
      <c r="I143" s="26"/>
      <c r="J143" s="26"/>
      <c r="K143">
        <f>G143</f>
        <v>9.2779249993327539E-2</v>
      </c>
      <c r="M143" s="26"/>
      <c r="O143">
        <f t="shared" ca="1" si="28"/>
        <v>9.2332850914259232E-2</v>
      </c>
      <c r="P143" s="38">
        <f t="shared" si="31"/>
        <v>9.3155490590577511E-2</v>
      </c>
      <c r="Q143" s="10">
        <f t="shared" si="32"/>
        <v>41051.996899999998</v>
      </c>
      <c r="R143" s="9">
        <f t="shared" si="35"/>
        <v>1.4155698701901534E-7</v>
      </c>
      <c r="S143" s="25">
        <v>1</v>
      </c>
      <c r="T143" s="25">
        <f t="shared" si="36"/>
        <v>1.4155698701901534E-7</v>
      </c>
      <c r="V143" s="16">
        <f t="shared" si="37"/>
        <v>-3.7624059724997161E-4</v>
      </c>
    </row>
    <row r="144" spans="1:24" x14ac:dyDescent="0.2">
      <c r="A144" s="127" t="s">
        <v>225</v>
      </c>
      <c r="B144" s="47" t="s">
        <v>64</v>
      </c>
      <c r="C144" s="48">
        <v>56132.474800000004</v>
      </c>
      <c r="D144" s="48">
        <v>4.1999999999999997E-3</v>
      </c>
      <c r="E144" s="40">
        <f t="shared" si="29"/>
        <v>19484.204824116467</v>
      </c>
      <c r="F144" s="44">
        <f t="shared" si="30"/>
        <v>19484</v>
      </c>
      <c r="G144" s="40">
        <f t="shared" si="34"/>
        <v>9.6530800001346506E-2</v>
      </c>
      <c r="H144" s="40"/>
      <c r="I144" s="26"/>
      <c r="J144" s="26"/>
      <c r="K144">
        <f>G144</f>
        <v>9.6530800001346506E-2</v>
      </c>
      <c r="M144" s="26"/>
      <c r="O144">
        <f t="shared" ca="1" si="28"/>
        <v>9.3363311893167447E-2</v>
      </c>
      <c r="P144" s="38">
        <f t="shared" si="31"/>
        <v>9.4383196140875203E-2</v>
      </c>
      <c r="Q144" s="10">
        <f t="shared" si="32"/>
        <v>41113.974800000004</v>
      </c>
      <c r="R144" s="9">
        <f t="shared" si="35"/>
        <v>4.6122023415112449E-6</v>
      </c>
      <c r="S144" s="25">
        <v>1</v>
      </c>
      <c r="T144" s="25">
        <f t="shared" si="36"/>
        <v>4.6122023415112449E-6</v>
      </c>
      <c r="V144" s="16">
        <f t="shared" si="37"/>
        <v>2.1476038604713032E-3</v>
      </c>
    </row>
    <row r="145" spans="1:22" x14ac:dyDescent="0.2">
      <c r="A145" s="127" t="s">
        <v>226</v>
      </c>
      <c r="B145" s="47" t="s">
        <v>60</v>
      </c>
      <c r="C145" s="48">
        <v>56407.47466</v>
      </c>
      <c r="D145" s="48">
        <v>2.9999999999999997E-4</v>
      </c>
      <c r="E145" s="40">
        <f t="shared" si="29"/>
        <v>20067.713956463402</v>
      </c>
      <c r="F145" s="44">
        <f t="shared" si="30"/>
        <v>20067.5</v>
      </c>
      <c r="G145" s="40">
        <f t="shared" si="34"/>
        <v>0.10083474999555619</v>
      </c>
      <c r="H145" s="40"/>
      <c r="I145" s="26"/>
      <c r="J145" s="26"/>
      <c r="K145" s="26"/>
      <c r="L145" s="26"/>
      <c r="M145" s="26"/>
      <c r="N145">
        <f>G145</f>
        <v>0.10083474999555619</v>
      </c>
      <c r="O145">
        <f t="shared" ca="1" si="28"/>
        <v>9.793573760566128E-2</v>
      </c>
      <c r="P145" s="38">
        <f t="shared" si="31"/>
        <v>9.9927492552468244E-2</v>
      </c>
      <c r="Q145" s="10">
        <f t="shared" si="32"/>
        <v>41388.97466</v>
      </c>
      <c r="R145" s="9">
        <f t="shared" si="35"/>
        <v>8.2311606803848458E-7</v>
      </c>
      <c r="S145" s="25">
        <v>1</v>
      </c>
      <c r="T145" s="25">
        <f t="shared" si="36"/>
        <v>8.2311606803848458E-7</v>
      </c>
      <c r="V145" s="16">
        <f t="shared" si="37"/>
        <v>9.0725744308794987E-4</v>
      </c>
    </row>
    <row r="146" spans="1:22" x14ac:dyDescent="0.2">
      <c r="A146" s="127" t="s">
        <v>226</v>
      </c>
      <c r="B146" s="47" t="s">
        <v>60</v>
      </c>
      <c r="C146" s="48">
        <v>56407.47494</v>
      </c>
      <c r="D146" s="48">
        <v>2.0000000000000001E-4</v>
      </c>
      <c r="E146" s="40">
        <f t="shared" si="29"/>
        <v>20067.714550582092</v>
      </c>
      <c r="F146" s="44">
        <f t="shared" si="30"/>
        <v>20067.5</v>
      </c>
      <c r="G146" s="40">
        <f t="shared" si="34"/>
        <v>0.10111474999575876</v>
      </c>
      <c r="H146" s="40"/>
      <c r="I146" s="26"/>
      <c r="J146" s="26"/>
      <c r="K146" s="26"/>
      <c r="L146" s="26"/>
      <c r="M146" s="26"/>
      <c r="N146">
        <f>G146</f>
        <v>0.10111474999575876</v>
      </c>
      <c r="O146">
        <f t="shared" ca="1" si="28"/>
        <v>9.793573760566128E-2</v>
      </c>
      <c r="P146" s="38">
        <f t="shared" si="31"/>
        <v>9.9927492552468244E-2</v>
      </c>
      <c r="Q146" s="10">
        <f t="shared" si="32"/>
        <v>41388.97494</v>
      </c>
      <c r="R146" s="9">
        <f t="shared" si="35"/>
        <v>1.4095802366487246E-6</v>
      </c>
      <c r="S146" s="25">
        <v>1</v>
      </c>
      <c r="T146" s="25">
        <f t="shared" si="36"/>
        <v>1.4095802366487246E-6</v>
      </c>
      <c r="V146" s="16">
        <f t="shared" si="37"/>
        <v>1.1872574432905125E-3</v>
      </c>
    </row>
    <row r="147" spans="1:22" x14ac:dyDescent="0.2">
      <c r="A147" s="127" t="s">
        <v>226</v>
      </c>
      <c r="B147" s="47" t="s">
        <v>60</v>
      </c>
      <c r="C147" s="48">
        <v>56407.475870000002</v>
      </c>
      <c r="D147" s="48">
        <v>2.9999999999999997E-4</v>
      </c>
      <c r="E147" s="40">
        <f t="shared" si="29"/>
        <v>20067.716523904895</v>
      </c>
      <c r="F147" s="44">
        <f t="shared" si="30"/>
        <v>20067.5</v>
      </c>
      <c r="G147" s="40">
        <f t="shared" si="34"/>
        <v>0.10204474999773083</v>
      </c>
      <c r="H147" s="40"/>
      <c r="I147" s="26"/>
      <c r="J147" s="26"/>
      <c r="K147" s="26"/>
      <c r="L147" s="26"/>
      <c r="M147" s="26"/>
      <c r="N147">
        <f>G147</f>
        <v>0.10204474999773083</v>
      </c>
      <c r="O147">
        <f t="shared" ca="1" si="28"/>
        <v>9.793573760566128E-2</v>
      </c>
      <c r="P147" s="38">
        <f t="shared" si="31"/>
        <v>9.9927492552468244E-2</v>
      </c>
      <c r="Q147" s="10">
        <f t="shared" si="32"/>
        <v>41388.975870000002</v>
      </c>
      <c r="R147" s="9">
        <f t="shared" si="35"/>
        <v>4.4827790895198609E-6</v>
      </c>
      <c r="S147" s="25">
        <v>1</v>
      </c>
      <c r="T147" s="25">
        <f t="shared" si="36"/>
        <v>4.4827790895198609E-6</v>
      </c>
      <c r="V147" s="16">
        <f t="shared" si="37"/>
        <v>2.1172574452625881E-3</v>
      </c>
    </row>
    <row r="148" spans="1:22" x14ac:dyDescent="0.2">
      <c r="A148" s="149" t="s">
        <v>228</v>
      </c>
      <c r="B148" s="150" t="s">
        <v>64</v>
      </c>
      <c r="C148" s="151">
        <v>56540.379200000003</v>
      </c>
      <c r="D148" s="152">
        <v>7.3000000000000001E-3</v>
      </c>
      <c r="E148" s="40">
        <f t="shared" si="29"/>
        <v>20349.717783012151</v>
      </c>
      <c r="F148" s="44">
        <f t="shared" si="30"/>
        <v>20349.5</v>
      </c>
      <c r="G148" s="40">
        <f t="shared" si="34"/>
        <v>0.10263814999780152</v>
      </c>
      <c r="H148" s="40"/>
      <c r="I148" s="26"/>
      <c r="J148" s="26"/>
      <c r="K148">
        <f>G148</f>
        <v>0.10263814999780152</v>
      </c>
      <c r="M148" s="26"/>
      <c r="O148">
        <f t="shared" ca="1" si="28"/>
        <v>0.10014554746157091</v>
      </c>
      <c r="P148" s="38">
        <f t="shared" si="31"/>
        <v>0.10266353721984882</v>
      </c>
      <c r="Q148" s="10">
        <f t="shared" si="32"/>
        <v>41521.879200000003</v>
      </c>
      <c r="R148" s="9">
        <f t="shared" si="35"/>
        <v>6.4451104327886088E-10</v>
      </c>
      <c r="S148" s="25">
        <v>1</v>
      </c>
      <c r="T148" s="25">
        <f t="shared" si="36"/>
        <v>6.4451104327886088E-10</v>
      </c>
      <c r="V148" s="16">
        <f t="shared" si="37"/>
        <v>-2.538722204729893E-5</v>
      </c>
    </row>
    <row r="149" spans="1:22" x14ac:dyDescent="0.2">
      <c r="A149" s="153" t="s">
        <v>229</v>
      </c>
      <c r="B149" s="154" t="s">
        <v>64</v>
      </c>
      <c r="C149" s="151">
        <v>56766.832699999999</v>
      </c>
      <c r="D149" s="151">
        <v>2.9999999999999997E-4</v>
      </c>
      <c r="E149" s="40">
        <f t="shared" si="29"/>
        <v>20830.218701455986</v>
      </c>
      <c r="F149" s="44">
        <f>ROUND(2*E149,0)/2</f>
        <v>20830</v>
      </c>
      <c r="G149" s="40">
        <f t="shared" si="34"/>
        <v>0.10307099999772618</v>
      </c>
      <c r="H149" s="40"/>
      <c r="I149" s="26"/>
      <c r="J149" s="26"/>
      <c r="K149" s="26"/>
      <c r="M149" s="26"/>
      <c r="N149">
        <f>G149</f>
        <v>0.10307099999772618</v>
      </c>
      <c r="O149">
        <f t="shared" ca="1" si="28"/>
        <v>0.10391084404229635</v>
      </c>
      <c r="P149" s="38">
        <f t="shared" si="31"/>
        <v>0.10741035773469619</v>
      </c>
      <c r="Q149" s="10">
        <f t="shared" si="32"/>
        <v>41748.332699999999</v>
      </c>
      <c r="R149" s="9">
        <f t="shared" si="35"/>
        <v>1.8830025569401527E-5</v>
      </c>
      <c r="S149" s="25">
        <v>1</v>
      </c>
      <c r="T149" s="25">
        <f t="shared" si="36"/>
        <v>1.8830025569401527E-5</v>
      </c>
      <c r="V149" s="16">
        <f t="shared" si="37"/>
        <v>-4.3393577369700148E-3</v>
      </c>
    </row>
    <row r="150" spans="1:22" x14ac:dyDescent="0.2">
      <c r="A150" s="153" t="s">
        <v>229</v>
      </c>
      <c r="B150" s="154" t="s">
        <v>64</v>
      </c>
      <c r="C150" s="151">
        <v>56767.778899999998</v>
      </c>
      <c r="D150" s="151">
        <v>1E-4</v>
      </c>
      <c r="E150" s="40">
        <f t="shared" si="29"/>
        <v>20832.226398263636</v>
      </c>
      <c r="F150" s="44">
        <f>ROUND(2*E150,0)/2</f>
        <v>20832</v>
      </c>
      <c r="G150" s="40">
        <f t="shared" si="34"/>
        <v>0.10669839999900432</v>
      </c>
      <c r="H150" s="40"/>
      <c r="I150" s="26"/>
      <c r="J150" s="26"/>
      <c r="K150" s="26"/>
      <c r="M150" s="26"/>
      <c r="N150">
        <f>G150</f>
        <v>0.10669839999900432</v>
      </c>
      <c r="O150">
        <f t="shared" ca="1" si="28"/>
        <v>0.10392651645262195</v>
      </c>
      <c r="P150" s="38">
        <f t="shared" si="31"/>
        <v>0.10743033911427959</v>
      </c>
      <c r="Q150" s="10">
        <f t="shared" si="32"/>
        <v>41749.278899999998</v>
      </c>
      <c r="R150" s="9">
        <f t="shared" si="35"/>
        <v>5.3573486846993396E-7</v>
      </c>
      <c r="S150" s="25">
        <v>1</v>
      </c>
      <c r="T150" s="25">
        <f t="shared" si="36"/>
        <v>5.3573486846993396E-7</v>
      </c>
      <c r="V150" s="16">
        <f t="shared" si="37"/>
        <v>-7.3193911527526245E-4</v>
      </c>
    </row>
    <row r="151" spans="1:22" x14ac:dyDescent="0.2">
      <c r="A151" s="155" t="s">
        <v>230</v>
      </c>
      <c r="B151" s="47"/>
      <c r="C151" s="48">
        <v>57130.912400000001</v>
      </c>
      <c r="D151" s="48">
        <v>2.9999999999999997E-4</v>
      </c>
      <c r="E151" s="40">
        <f t="shared" si="29"/>
        <v>21602.74211238476</v>
      </c>
      <c r="F151" s="44">
        <f>ROUND(2*E151,0)/2</f>
        <v>21602.5</v>
      </c>
      <c r="G151" s="40">
        <f t="shared" si="34"/>
        <v>0.11410424999485258</v>
      </c>
      <c r="H151" s="40"/>
      <c r="I151" s="26"/>
      <c r="J151" s="26"/>
      <c r="K151" s="26"/>
      <c r="L151" s="26">
        <f>G151</f>
        <v>0.11410424999485258</v>
      </c>
      <c r="M151" s="26"/>
      <c r="O151">
        <f t="shared" ca="1" si="28"/>
        <v>0.10996431253055942</v>
      </c>
      <c r="P151" s="38">
        <f t="shared" si="31"/>
        <v>0.11526604603965802</v>
      </c>
      <c r="Q151" s="10">
        <f t="shared" si="32"/>
        <v>42112.412400000001</v>
      </c>
      <c r="R151" s="9">
        <f t="shared" si="35"/>
        <v>1.3497700497255727E-6</v>
      </c>
      <c r="S151" s="25">
        <v>1</v>
      </c>
      <c r="T151" s="25">
        <f t="shared" si="36"/>
        <v>1.3497700497255727E-6</v>
      </c>
      <c r="V151" s="16">
        <f t="shared" si="37"/>
        <v>-1.1617960448054437E-3</v>
      </c>
    </row>
    <row r="152" spans="1:22" x14ac:dyDescent="0.2">
      <c r="A152" s="30"/>
      <c r="B152" s="47"/>
      <c r="C152" s="30"/>
      <c r="D152" s="30"/>
    </row>
    <row r="153" spans="1:22" x14ac:dyDescent="0.2">
      <c r="A153" s="30"/>
      <c r="B153" s="47"/>
      <c r="C153" s="30"/>
      <c r="D153" s="30"/>
    </row>
    <row r="154" spans="1:22" x14ac:dyDescent="0.2">
      <c r="A154" s="30"/>
      <c r="B154" s="47"/>
      <c r="C154" s="30"/>
      <c r="D154" s="30"/>
    </row>
    <row r="155" spans="1:22" x14ac:dyDescent="0.2">
      <c r="A155" s="30"/>
      <c r="B155" s="47"/>
      <c r="C155" s="30"/>
      <c r="D155" s="30"/>
    </row>
    <row r="156" spans="1:22" x14ac:dyDescent="0.2">
      <c r="A156" s="30"/>
      <c r="B156" s="47"/>
      <c r="C156" s="30"/>
      <c r="D156" s="30"/>
    </row>
    <row r="157" spans="1:22" x14ac:dyDescent="0.2">
      <c r="A157" s="30"/>
      <c r="B157" s="47"/>
      <c r="C157" s="30"/>
      <c r="D157" s="30"/>
    </row>
    <row r="158" spans="1:22" x14ac:dyDescent="0.2">
      <c r="A158" s="30"/>
      <c r="B158" s="47"/>
      <c r="C158" s="30"/>
      <c r="D158" s="30"/>
    </row>
    <row r="159" spans="1:22" x14ac:dyDescent="0.2">
      <c r="A159" s="30"/>
      <c r="B159" s="47"/>
      <c r="C159" s="30"/>
      <c r="D159" s="30"/>
    </row>
    <row r="160" spans="1:22" x14ac:dyDescent="0.2">
      <c r="A160" s="30"/>
      <c r="B160" s="47"/>
      <c r="C160" s="30"/>
      <c r="D160" s="30"/>
    </row>
    <row r="161" spans="1:4" x14ac:dyDescent="0.2">
      <c r="A161" s="30"/>
      <c r="B161" s="47"/>
      <c r="C161" s="30"/>
      <c r="D161" s="30"/>
    </row>
    <row r="162" spans="1:4" x14ac:dyDescent="0.2">
      <c r="A162" s="30"/>
      <c r="B162" s="47"/>
      <c r="C162" s="30"/>
      <c r="D162" s="30"/>
    </row>
    <row r="163" spans="1:4" x14ac:dyDescent="0.2">
      <c r="A163" s="30"/>
      <c r="B163" s="47"/>
      <c r="C163" s="30"/>
      <c r="D163" s="30"/>
    </row>
    <row r="164" spans="1:4" x14ac:dyDescent="0.2">
      <c r="A164" s="30"/>
      <c r="B164" s="47"/>
      <c r="C164" s="30"/>
      <c r="D164" s="30"/>
    </row>
    <row r="165" spans="1:4" x14ac:dyDescent="0.2">
      <c r="A165" s="30"/>
      <c r="B165" s="47"/>
      <c r="C165" s="30"/>
      <c r="D165" s="30"/>
    </row>
    <row r="166" spans="1:4" x14ac:dyDescent="0.2">
      <c r="A166" s="30"/>
      <c r="B166" s="47"/>
      <c r="C166" s="30"/>
      <c r="D166" s="30"/>
    </row>
    <row r="167" spans="1:4" x14ac:dyDescent="0.2">
      <c r="A167" s="30"/>
      <c r="B167" s="47"/>
      <c r="C167" s="30"/>
      <c r="D167" s="30"/>
    </row>
    <row r="168" spans="1:4" x14ac:dyDescent="0.2">
      <c r="A168" s="30"/>
      <c r="B168" s="47"/>
      <c r="C168" s="30"/>
      <c r="D168" s="30"/>
    </row>
    <row r="169" spans="1:4" x14ac:dyDescent="0.2">
      <c r="A169" s="30"/>
      <c r="B169" s="47"/>
      <c r="C169" s="30"/>
      <c r="D169" s="30"/>
    </row>
    <row r="170" spans="1:4" x14ac:dyDescent="0.2">
      <c r="A170" s="30"/>
      <c r="B170" s="47"/>
      <c r="C170" s="30"/>
      <c r="D170" s="30"/>
    </row>
    <row r="171" spans="1:4" x14ac:dyDescent="0.2">
      <c r="A171" s="30"/>
      <c r="B171" s="47"/>
      <c r="C171" s="30"/>
      <c r="D171" s="30"/>
    </row>
    <row r="172" spans="1:4" x14ac:dyDescent="0.2">
      <c r="A172" s="30"/>
      <c r="B172" s="47"/>
      <c r="C172" s="30"/>
      <c r="D172" s="30"/>
    </row>
    <row r="173" spans="1:4" x14ac:dyDescent="0.2">
      <c r="A173" s="30"/>
      <c r="B173" s="47"/>
      <c r="C173" s="30"/>
      <c r="D173" s="30"/>
    </row>
    <row r="174" spans="1:4" x14ac:dyDescent="0.2">
      <c r="A174" s="30"/>
      <c r="B174" s="47"/>
      <c r="C174" s="30"/>
      <c r="D174" s="30"/>
    </row>
    <row r="175" spans="1:4" x14ac:dyDescent="0.2">
      <c r="A175" s="30"/>
      <c r="B175" s="47"/>
      <c r="C175" s="30"/>
      <c r="D175" s="30"/>
    </row>
    <row r="176" spans="1:4" x14ac:dyDescent="0.2">
      <c r="A176" s="30"/>
      <c r="B176" s="47"/>
      <c r="C176" s="30"/>
      <c r="D176" s="30"/>
    </row>
    <row r="177" spans="1:4" x14ac:dyDescent="0.2">
      <c r="A177" s="30"/>
      <c r="B177" s="47"/>
      <c r="C177" s="30"/>
      <c r="D177" s="30"/>
    </row>
    <row r="178" spans="1:4" x14ac:dyDescent="0.2">
      <c r="A178" s="30"/>
      <c r="B178" s="47"/>
      <c r="C178" s="30"/>
      <c r="D178" s="30"/>
    </row>
    <row r="179" spans="1:4" x14ac:dyDescent="0.2">
      <c r="A179" s="30"/>
      <c r="B179" s="47"/>
      <c r="C179" s="30"/>
      <c r="D179" s="30"/>
    </row>
    <row r="180" spans="1:4" x14ac:dyDescent="0.2">
      <c r="A180" s="30"/>
      <c r="B180" s="47"/>
      <c r="C180" s="30"/>
      <c r="D180" s="30"/>
    </row>
    <row r="181" spans="1:4" x14ac:dyDescent="0.2">
      <c r="A181" s="30"/>
      <c r="B181" s="47"/>
      <c r="C181" s="30"/>
      <c r="D181" s="30"/>
    </row>
    <row r="182" spans="1:4" x14ac:dyDescent="0.2">
      <c r="A182" s="30"/>
      <c r="B182" s="47"/>
      <c r="C182" s="30"/>
      <c r="D182" s="30"/>
    </row>
    <row r="183" spans="1:4" x14ac:dyDescent="0.2">
      <c r="A183" s="30"/>
      <c r="B183" s="47"/>
      <c r="C183" s="30"/>
      <c r="D183" s="30"/>
    </row>
    <row r="184" spans="1:4" x14ac:dyDescent="0.2">
      <c r="A184" s="30"/>
      <c r="B184" s="47"/>
      <c r="C184" s="30"/>
      <c r="D184" s="30"/>
    </row>
    <row r="185" spans="1:4" x14ac:dyDescent="0.2">
      <c r="A185" s="30"/>
      <c r="B185" s="47"/>
      <c r="C185" s="30"/>
      <c r="D185" s="30"/>
    </row>
    <row r="186" spans="1:4" x14ac:dyDescent="0.2">
      <c r="A186" s="30"/>
      <c r="B186" s="47"/>
      <c r="C186" s="30"/>
      <c r="D186" s="30"/>
    </row>
    <row r="187" spans="1:4" x14ac:dyDescent="0.2">
      <c r="A187" s="30"/>
      <c r="B187" s="47"/>
      <c r="C187" s="30"/>
      <c r="D187" s="30"/>
    </row>
    <row r="188" spans="1:4" x14ac:dyDescent="0.2">
      <c r="A188" s="30"/>
      <c r="B188" s="47"/>
      <c r="C188" s="30"/>
      <c r="D188" s="30"/>
    </row>
    <row r="189" spans="1:4" x14ac:dyDescent="0.2">
      <c r="A189" s="30"/>
      <c r="B189" s="47"/>
      <c r="C189" s="30"/>
      <c r="D189" s="30"/>
    </row>
    <row r="190" spans="1:4" x14ac:dyDescent="0.2">
      <c r="A190" s="30"/>
      <c r="B190" s="47"/>
      <c r="C190" s="30"/>
      <c r="D190" s="30"/>
    </row>
    <row r="191" spans="1:4" x14ac:dyDescent="0.2">
      <c r="A191" s="30"/>
      <c r="B191" s="47"/>
      <c r="C191" s="30"/>
      <c r="D191" s="30"/>
    </row>
    <row r="192" spans="1:4" x14ac:dyDescent="0.2">
      <c r="A192" s="30"/>
      <c r="B192" s="47"/>
      <c r="C192" s="30"/>
      <c r="D192" s="30"/>
    </row>
    <row r="193" spans="1:4" x14ac:dyDescent="0.2">
      <c r="A193" s="30"/>
      <c r="B193" s="47"/>
      <c r="C193" s="30"/>
      <c r="D193" s="30"/>
    </row>
    <row r="194" spans="1:4" x14ac:dyDescent="0.2">
      <c r="A194" s="30"/>
      <c r="B194" s="47"/>
      <c r="C194" s="30"/>
      <c r="D194" s="30"/>
    </row>
    <row r="195" spans="1:4" x14ac:dyDescent="0.2">
      <c r="A195" s="30"/>
      <c r="B195" s="47"/>
      <c r="C195" s="30"/>
      <c r="D195" s="30"/>
    </row>
    <row r="196" spans="1:4" x14ac:dyDescent="0.2">
      <c r="A196" s="30"/>
      <c r="B196" s="47"/>
      <c r="C196" s="30"/>
      <c r="D196" s="30"/>
    </row>
    <row r="197" spans="1:4" x14ac:dyDescent="0.2">
      <c r="A197" s="30"/>
      <c r="B197" s="47"/>
      <c r="C197" s="30"/>
      <c r="D197" s="30"/>
    </row>
    <row r="198" spans="1:4" x14ac:dyDescent="0.2">
      <c r="A198" s="30"/>
      <c r="B198" s="47"/>
      <c r="C198" s="30"/>
      <c r="D198" s="30"/>
    </row>
    <row r="199" spans="1:4" x14ac:dyDescent="0.2">
      <c r="A199" s="30"/>
      <c r="B199" s="47"/>
      <c r="C199" s="30"/>
      <c r="D199" s="30"/>
    </row>
    <row r="200" spans="1:4" x14ac:dyDescent="0.2">
      <c r="A200" s="30"/>
      <c r="B200" s="47"/>
      <c r="C200" s="30"/>
      <c r="D200" s="30"/>
    </row>
    <row r="201" spans="1:4" x14ac:dyDescent="0.2">
      <c r="A201" s="30"/>
      <c r="B201" s="47"/>
      <c r="C201" s="30"/>
      <c r="D201" s="30"/>
    </row>
    <row r="202" spans="1:4" x14ac:dyDescent="0.2">
      <c r="A202" s="30"/>
      <c r="B202" s="47"/>
      <c r="C202" s="30"/>
      <c r="D202" s="30"/>
    </row>
    <row r="203" spans="1:4" x14ac:dyDescent="0.2">
      <c r="A203" s="30"/>
      <c r="B203" s="47"/>
      <c r="C203" s="30"/>
      <c r="D203" s="30"/>
    </row>
    <row r="204" spans="1:4" x14ac:dyDescent="0.2">
      <c r="A204" s="30"/>
      <c r="B204" s="47"/>
      <c r="C204" s="30"/>
      <c r="D204" s="30"/>
    </row>
    <row r="205" spans="1:4" x14ac:dyDescent="0.2">
      <c r="A205" s="30"/>
      <c r="B205" s="47"/>
      <c r="C205" s="30"/>
      <c r="D205" s="30"/>
    </row>
    <row r="206" spans="1:4" x14ac:dyDescent="0.2">
      <c r="A206" s="30"/>
      <c r="B206" s="47"/>
      <c r="C206" s="30"/>
      <c r="D206" s="30"/>
    </row>
    <row r="207" spans="1:4" x14ac:dyDescent="0.2">
      <c r="A207" s="30"/>
      <c r="B207" s="47"/>
      <c r="C207" s="30"/>
      <c r="D207" s="30"/>
    </row>
    <row r="208" spans="1:4" x14ac:dyDescent="0.2">
      <c r="A208" s="30"/>
      <c r="B208" s="47"/>
      <c r="C208" s="30"/>
      <c r="D208" s="30"/>
    </row>
    <row r="209" spans="1:4" x14ac:dyDescent="0.2">
      <c r="A209" s="30"/>
      <c r="B209" s="47"/>
      <c r="C209" s="30"/>
      <c r="D209" s="30"/>
    </row>
    <row r="210" spans="1:4" x14ac:dyDescent="0.2">
      <c r="A210" s="30"/>
      <c r="B210" s="47"/>
      <c r="C210" s="30"/>
      <c r="D210" s="30"/>
    </row>
    <row r="211" spans="1:4" x14ac:dyDescent="0.2">
      <c r="A211" s="30"/>
      <c r="B211" s="47"/>
      <c r="C211" s="30"/>
      <c r="D211" s="30"/>
    </row>
    <row r="212" spans="1:4" x14ac:dyDescent="0.2">
      <c r="A212" s="30"/>
      <c r="B212" s="47"/>
      <c r="C212" s="30"/>
      <c r="D212" s="30"/>
    </row>
    <row r="213" spans="1:4" x14ac:dyDescent="0.2">
      <c r="A213" s="30"/>
      <c r="B213" s="47"/>
      <c r="C213" s="30"/>
      <c r="D213" s="30"/>
    </row>
    <row r="214" spans="1:4" x14ac:dyDescent="0.2">
      <c r="A214" s="30"/>
      <c r="B214" s="47"/>
      <c r="C214" s="30"/>
      <c r="D214" s="30"/>
    </row>
    <row r="215" spans="1:4" x14ac:dyDescent="0.2">
      <c r="A215" s="30"/>
      <c r="B215" s="47"/>
      <c r="C215" s="30"/>
      <c r="D215" s="30"/>
    </row>
    <row r="216" spans="1:4" x14ac:dyDescent="0.2">
      <c r="A216" s="30"/>
      <c r="B216" s="47"/>
      <c r="C216" s="30"/>
      <c r="D216" s="30"/>
    </row>
    <row r="217" spans="1:4" x14ac:dyDescent="0.2">
      <c r="A217" s="30"/>
      <c r="B217" s="47"/>
      <c r="C217" s="30"/>
      <c r="D217" s="30"/>
    </row>
    <row r="218" spans="1:4" x14ac:dyDescent="0.2">
      <c r="A218" s="30"/>
      <c r="B218" s="47"/>
      <c r="C218" s="30"/>
      <c r="D218" s="30"/>
    </row>
    <row r="219" spans="1:4" x14ac:dyDescent="0.2">
      <c r="A219" s="30"/>
      <c r="B219" s="47"/>
      <c r="C219" s="30"/>
      <c r="D219" s="30"/>
    </row>
    <row r="220" spans="1:4" x14ac:dyDescent="0.2">
      <c r="A220" s="30"/>
      <c r="B220" s="47"/>
      <c r="C220" s="30"/>
      <c r="D220" s="30"/>
    </row>
    <row r="221" spans="1:4" x14ac:dyDescent="0.2">
      <c r="A221" s="30"/>
      <c r="B221" s="47"/>
      <c r="C221" s="30"/>
      <c r="D221" s="30"/>
    </row>
    <row r="222" spans="1:4" x14ac:dyDescent="0.2">
      <c r="A222" s="30"/>
      <c r="B222" s="47"/>
      <c r="C222" s="30"/>
      <c r="D222" s="30"/>
    </row>
    <row r="223" spans="1:4" x14ac:dyDescent="0.2">
      <c r="A223" s="30"/>
      <c r="B223" s="47"/>
      <c r="C223" s="30"/>
      <c r="D223" s="30"/>
    </row>
    <row r="224" spans="1:4" x14ac:dyDescent="0.2">
      <c r="A224" s="30"/>
      <c r="B224" s="47"/>
      <c r="C224" s="30"/>
      <c r="D224" s="30"/>
    </row>
    <row r="225" spans="1:4" x14ac:dyDescent="0.2">
      <c r="A225" s="30"/>
      <c r="B225" s="47"/>
      <c r="C225" s="30"/>
      <c r="D225" s="30"/>
    </row>
    <row r="226" spans="1:4" x14ac:dyDescent="0.2">
      <c r="A226" s="30"/>
      <c r="B226" s="47"/>
      <c r="C226" s="30"/>
      <c r="D226" s="30"/>
    </row>
    <row r="227" spans="1:4" x14ac:dyDescent="0.2">
      <c r="A227" s="30"/>
      <c r="B227" s="47"/>
      <c r="C227" s="30"/>
      <c r="D227" s="30"/>
    </row>
    <row r="228" spans="1:4" x14ac:dyDescent="0.2">
      <c r="A228" s="30"/>
      <c r="B228" s="47"/>
      <c r="C228" s="30"/>
      <c r="D228" s="30"/>
    </row>
    <row r="229" spans="1:4" x14ac:dyDescent="0.2">
      <c r="A229" s="30"/>
      <c r="B229" s="47"/>
      <c r="C229" s="30"/>
      <c r="D229" s="30"/>
    </row>
    <row r="230" spans="1:4" x14ac:dyDescent="0.2">
      <c r="A230" s="30"/>
      <c r="B230" s="47"/>
      <c r="C230" s="30"/>
      <c r="D230" s="30"/>
    </row>
    <row r="231" spans="1:4" x14ac:dyDescent="0.2">
      <c r="A231" s="30"/>
      <c r="B231" s="47"/>
      <c r="C231" s="30"/>
      <c r="D231" s="30"/>
    </row>
    <row r="232" spans="1:4" x14ac:dyDescent="0.2">
      <c r="A232" s="30"/>
      <c r="B232" s="47"/>
      <c r="C232" s="30"/>
      <c r="D232" s="30"/>
    </row>
    <row r="233" spans="1:4" x14ac:dyDescent="0.2">
      <c r="A233" s="30"/>
      <c r="B233" s="47"/>
      <c r="C233" s="30"/>
      <c r="D233" s="30"/>
    </row>
    <row r="234" spans="1:4" x14ac:dyDescent="0.2">
      <c r="A234" s="30"/>
      <c r="B234" s="47"/>
      <c r="C234" s="30"/>
      <c r="D234" s="30"/>
    </row>
    <row r="235" spans="1:4" x14ac:dyDescent="0.2">
      <c r="A235" s="30"/>
      <c r="B235" s="47"/>
      <c r="C235" s="30"/>
      <c r="D235" s="30"/>
    </row>
    <row r="236" spans="1:4" x14ac:dyDescent="0.2">
      <c r="A236" s="30"/>
      <c r="B236" s="47"/>
      <c r="C236" s="30"/>
      <c r="D236" s="30"/>
    </row>
    <row r="237" spans="1:4" x14ac:dyDescent="0.2">
      <c r="A237" s="30"/>
      <c r="B237" s="47"/>
      <c r="C237" s="30"/>
      <c r="D237" s="30"/>
    </row>
    <row r="238" spans="1:4" x14ac:dyDescent="0.2">
      <c r="A238" s="30"/>
      <c r="B238" s="47"/>
      <c r="C238" s="30"/>
      <c r="D238" s="30"/>
    </row>
    <row r="239" spans="1:4" x14ac:dyDescent="0.2">
      <c r="A239" s="30"/>
      <c r="B239" s="47"/>
      <c r="C239" s="30"/>
      <c r="D239" s="30"/>
    </row>
    <row r="240" spans="1:4" x14ac:dyDescent="0.2">
      <c r="A240" s="30"/>
      <c r="B240" s="47"/>
      <c r="C240" s="30"/>
      <c r="D240" s="30"/>
    </row>
    <row r="241" spans="1:4" x14ac:dyDescent="0.2">
      <c r="A241" s="30"/>
      <c r="B241" s="47"/>
      <c r="C241" s="30"/>
      <c r="D241" s="30"/>
    </row>
    <row r="242" spans="1:4" x14ac:dyDescent="0.2">
      <c r="A242" s="30"/>
      <c r="B242" s="47"/>
      <c r="C242" s="30"/>
      <c r="D242" s="30"/>
    </row>
    <row r="243" spans="1:4" x14ac:dyDescent="0.2">
      <c r="A243" s="30"/>
      <c r="B243" s="47"/>
      <c r="C243" s="30"/>
      <c r="D243" s="30"/>
    </row>
    <row r="244" spans="1:4" x14ac:dyDescent="0.2">
      <c r="A244" s="30"/>
      <c r="B244" s="47"/>
      <c r="C244" s="30"/>
      <c r="D244" s="30"/>
    </row>
    <row r="245" spans="1:4" x14ac:dyDescent="0.2">
      <c r="A245" s="30"/>
      <c r="B245" s="47"/>
      <c r="C245" s="30"/>
      <c r="D245" s="30"/>
    </row>
    <row r="246" spans="1:4" x14ac:dyDescent="0.2">
      <c r="A246" s="30"/>
      <c r="B246" s="47"/>
      <c r="C246" s="30"/>
      <c r="D246" s="30"/>
    </row>
    <row r="247" spans="1:4" x14ac:dyDescent="0.2">
      <c r="A247" s="30"/>
      <c r="B247" s="47"/>
      <c r="C247" s="30"/>
      <c r="D247" s="30"/>
    </row>
    <row r="248" spans="1:4" x14ac:dyDescent="0.2">
      <c r="A248" s="30"/>
      <c r="B248" s="47"/>
      <c r="C248" s="30"/>
      <c r="D248" s="30"/>
    </row>
    <row r="249" spans="1:4" x14ac:dyDescent="0.2">
      <c r="A249" s="30"/>
      <c r="B249" s="47"/>
      <c r="C249" s="30"/>
      <c r="D249" s="30"/>
    </row>
    <row r="250" spans="1:4" x14ac:dyDescent="0.2">
      <c r="A250" s="30"/>
      <c r="B250" s="47"/>
      <c r="C250" s="30"/>
      <c r="D250" s="30"/>
    </row>
    <row r="251" spans="1:4" x14ac:dyDescent="0.2">
      <c r="A251" s="30"/>
      <c r="B251" s="47"/>
      <c r="C251" s="30"/>
      <c r="D251" s="30"/>
    </row>
    <row r="252" spans="1:4" x14ac:dyDescent="0.2">
      <c r="A252" s="30"/>
      <c r="B252" s="47"/>
      <c r="C252" s="30"/>
      <c r="D252" s="30"/>
    </row>
    <row r="253" spans="1:4" x14ac:dyDescent="0.2">
      <c r="A253" s="30"/>
      <c r="B253" s="47"/>
      <c r="C253" s="30"/>
      <c r="D253" s="30"/>
    </row>
    <row r="254" spans="1:4" x14ac:dyDescent="0.2">
      <c r="A254" s="30"/>
      <c r="B254" s="47"/>
      <c r="C254" s="30"/>
      <c r="D254" s="30"/>
    </row>
    <row r="255" spans="1:4" x14ac:dyDescent="0.2">
      <c r="A255" s="30"/>
      <c r="B255" s="47"/>
      <c r="C255" s="30"/>
      <c r="D255" s="30"/>
    </row>
    <row r="256" spans="1:4" x14ac:dyDescent="0.2">
      <c r="A256" s="30"/>
      <c r="B256" s="47"/>
      <c r="C256" s="30"/>
      <c r="D256" s="30"/>
    </row>
    <row r="257" spans="1:4" x14ac:dyDescent="0.2">
      <c r="A257" s="30"/>
      <c r="B257" s="47"/>
      <c r="C257" s="30"/>
      <c r="D257" s="30"/>
    </row>
    <row r="258" spans="1:4" x14ac:dyDescent="0.2">
      <c r="A258" s="30"/>
      <c r="B258" s="47"/>
      <c r="C258" s="30"/>
      <c r="D258" s="30"/>
    </row>
    <row r="259" spans="1:4" x14ac:dyDescent="0.2">
      <c r="A259" s="30"/>
      <c r="B259" s="47"/>
      <c r="C259" s="30"/>
      <c r="D259" s="30"/>
    </row>
    <row r="260" spans="1:4" x14ac:dyDescent="0.2">
      <c r="A260" s="30"/>
      <c r="B260" s="47"/>
      <c r="C260" s="30"/>
      <c r="D260" s="30"/>
    </row>
    <row r="261" spans="1:4" x14ac:dyDescent="0.2">
      <c r="A261" s="30"/>
      <c r="B261" s="47"/>
      <c r="C261" s="30"/>
      <c r="D261" s="30"/>
    </row>
    <row r="262" spans="1:4" x14ac:dyDescent="0.2">
      <c r="A262" s="30"/>
      <c r="B262" s="47"/>
      <c r="C262" s="30"/>
      <c r="D262" s="30"/>
    </row>
    <row r="263" spans="1:4" x14ac:dyDescent="0.2">
      <c r="A263" s="30"/>
      <c r="B263" s="47"/>
      <c r="C263" s="30"/>
      <c r="D263" s="30"/>
    </row>
    <row r="264" spans="1:4" x14ac:dyDescent="0.2">
      <c r="A264" s="30"/>
      <c r="B264" s="47"/>
      <c r="C264" s="30"/>
      <c r="D264" s="30"/>
    </row>
    <row r="265" spans="1:4" x14ac:dyDescent="0.2">
      <c r="A265" s="30"/>
      <c r="B265" s="47"/>
      <c r="C265" s="30"/>
      <c r="D265" s="30"/>
    </row>
    <row r="266" spans="1:4" x14ac:dyDescent="0.2">
      <c r="A266" s="30"/>
      <c r="B266" s="47"/>
      <c r="C266" s="30"/>
      <c r="D266" s="30"/>
    </row>
    <row r="267" spans="1:4" x14ac:dyDescent="0.2">
      <c r="A267" s="30"/>
      <c r="B267" s="47"/>
      <c r="C267" s="30"/>
      <c r="D267" s="30"/>
    </row>
    <row r="268" spans="1:4" x14ac:dyDescent="0.2">
      <c r="A268" s="30"/>
      <c r="B268" s="47"/>
      <c r="C268" s="30"/>
      <c r="D268" s="30"/>
    </row>
    <row r="269" spans="1:4" x14ac:dyDescent="0.2">
      <c r="A269" s="30"/>
      <c r="B269" s="47"/>
      <c r="C269" s="30"/>
      <c r="D269" s="30"/>
    </row>
    <row r="270" spans="1:4" x14ac:dyDescent="0.2">
      <c r="A270" s="30"/>
      <c r="B270" s="47"/>
      <c r="C270" s="30"/>
      <c r="D270" s="30"/>
    </row>
    <row r="271" spans="1:4" x14ac:dyDescent="0.2">
      <c r="A271" s="30"/>
      <c r="B271" s="47"/>
      <c r="C271" s="30"/>
      <c r="D271" s="30"/>
    </row>
    <row r="272" spans="1:4" x14ac:dyDescent="0.2">
      <c r="A272" s="30"/>
      <c r="B272" s="47"/>
      <c r="C272" s="30"/>
      <c r="D272" s="30"/>
    </row>
    <row r="273" spans="1:4" x14ac:dyDescent="0.2">
      <c r="A273" s="30"/>
      <c r="B273" s="47"/>
      <c r="C273" s="30"/>
      <c r="D273" s="30"/>
    </row>
    <row r="274" spans="1:4" x14ac:dyDescent="0.2">
      <c r="A274" s="30"/>
      <c r="B274" s="47"/>
      <c r="C274" s="30"/>
      <c r="D274" s="30"/>
    </row>
    <row r="275" spans="1:4" x14ac:dyDescent="0.2">
      <c r="A275" s="30"/>
      <c r="B275" s="47"/>
      <c r="C275" s="30"/>
      <c r="D275" s="30"/>
    </row>
    <row r="276" spans="1:4" x14ac:dyDescent="0.2">
      <c r="A276" s="30"/>
      <c r="B276" s="47"/>
      <c r="C276" s="30"/>
      <c r="D276" s="30"/>
    </row>
    <row r="277" spans="1:4" x14ac:dyDescent="0.2">
      <c r="A277" s="30"/>
      <c r="B277" s="47"/>
      <c r="C277" s="30"/>
      <c r="D277" s="30"/>
    </row>
    <row r="278" spans="1:4" x14ac:dyDescent="0.2">
      <c r="A278" s="30"/>
      <c r="B278" s="47"/>
      <c r="C278" s="30"/>
      <c r="D278" s="30"/>
    </row>
    <row r="279" spans="1:4" x14ac:dyDescent="0.2">
      <c r="A279" s="30"/>
      <c r="B279" s="47"/>
      <c r="C279" s="30"/>
      <c r="D279" s="30"/>
    </row>
    <row r="280" spans="1:4" x14ac:dyDescent="0.2">
      <c r="A280" s="30"/>
      <c r="B280" s="47"/>
      <c r="C280" s="30"/>
      <c r="D280" s="30"/>
    </row>
    <row r="281" spans="1:4" x14ac:dyDescent="0.2">
      <c r="A281" s="30"/>
      <c r="B281" s="47"/>
      <c r="C281" s="30"/>
      <c r="D281" s="30"/>
    </row>
    <row r="282" spans="1:4" x14ac:dyDescent="0.2">
      <c r="A282" s="30"/>
      <c r="B282" s="47"/>
      <c r="C282" s="30"/>
      <c r="D282" s="30"/>
    </row>
    <row r="283" spans="1:4" x14ac:dyDescent="0.2">
      <c r="A283" s="30"/>
      <c r="B283" s="47"/>
      <c r="C283" s="30"/>
      <c r="D283" s="30"/>
    </row>
    <row r="284" spans="1:4" x14ac:dyDescent="0.2">
      <c r="A284" s="30"/>
      <c r="B284" s="47"/>
      <c r="C284" s="30"/>
      <c r="D284" s="30"/>
    </row>
    <row r="285" spans="1:4" x14ac:dyDescent="0.2">
      <c r="A285" s="30"/>
      <c r="B285" s="47"/>
      <c r="C285" s="30"/>
      <c r="D285" s="30"/>
    </row>
    <row r="286" spans="1:4" x14ac:dyDescent="0.2">
      <c r="A286" s="30"/>
      <c r="B286" s="47"/>
      <c r="C286" s="30"/>
      <c r="D286" s="30"/>
    </row>
    <row r="287" spans="1:4" x14ac:dyDescent="0.2">
      <c r="A287" s="30"/>
      <c r="B287" s="47"/>
      <c r="C287" s="30"/>
      <c r="D287" s="30"/>
    </row>
    <row r="288" spans="1:4" x14ac:dyDescent="0.2">
      <c r="A288" s="30"/>
      <c r="B288" s="47"/>
      <c r="C288" s="30"/>
      <c r="D288" s="30"/>
    </row>
    <row r="289" spans="1:4" x14ac:dyDescent="0.2">
      <c r="A289" s="30"/>
      <c r="B289" s="47"/>
      <c r="C289" s="30"/>
      <c r="D289" s="30"/>
    </row>
    <row r="290" spans="1:4" x14ac:dyDescent="0.2">
      <c r="A290" s="30"/>
      <c r="B290" s="47"/>
      <c r="C290" s="30"/>
      <c r="D290" s="30"/>
    </row>
    <row r="291" spans="1:4" x14ac:dyDescent="0.2">
      <c r="A291" s="30"/>
      <c r="B291" s="47"/>
      <c r="C291" s="30"/>
      <c r="D291" s="30"/>
    </row>
    <row r="292" spans="1:4" x14ac:dyDescent="0.2">
      <c r="A292" s="30"/>
      <c r="B292" s="47"/>
      <c r="C292" s="30"/>
      <c r="D292" s="30"/>
    </row>
    <row r="293" spans="1:4" x14ac:dyDescent="0.2">
      <c r="A293" s="30"/>
      <c r="B293" s="47"/>
      <c r="C293" s="30"/>
      <c r="D293" s="30"/>
    </row>
    <row r="294" spans="1:4" x14ac:dyDescent="0.2">
      <c r="A294" s="30"/>
      <c r="B294" s="47"/>
      <c r="C294" s="30"/>
      <c r="D294" s="30"/>
    </row>
    <row r="295" spans="1:4" x14ac:dyDescent="0.2">
      <c r="A295" s="30"/>
      <c r="B295" s="47"/>
      <c r="C295" s="30"/>
      <c r="D295" s="30"/>
    </row>
    <row r="296" spans="1:4" x14ac:dyDescent="0.2">
      <c r="A296" s="30"/>
      <c r="B296" s="47"/>
      <c r="C296" s="30"/>
      <c r="D296" s="30"/>
    </row>
    <row r="297" spans="1:4" x14ac:dyDescent="0.2">
      <c r="A297" s="30"/>
      <c r="B297" s="47"/>
      <c r="C297" s="30"/>
      <c r="D297" s="30"/>
    </row>
    <row r="298" spans="1:4" x14ac:dyDescent="0.2">
      <c r="A298" s="30"/>
      <c r="B298" s="47"/>
      <c r="C298" s="30"/>
      <c r="D298" s="30"/>
    </row>
    <row r="299" spans="1:4" x14ac:dyDescent="0.2">
      <c r="A299" s="30"/>
      <c r="B299" s="47"/>
      <c r="C299" s="30"/>
      <c r="D299" s="30"/>
    </row>
    <row r="300" spans="1:4" x14ac:dyDescent="0.2">
      <c r="A300" s="30"/>
      <c r="B300" s="47"/>
      <c r="C300" s="30"/>
      <c r="D300" s="30"/>
    </row>
    <row r="301" spans="1:4" x14ac:dyDescent="0.2">
      <c r="A301" s="30"/>
      <c r="B301" s="47"/>
      <c r="C301" s="30"/>
      <c r="D301" s="30"/>
    </row>
    <row r="302" spans="1:4" x14ac:dyDescent="0.2">
      <c r="A302" s="30"/>
      <c r="B302" s="47"/>
      <c r="C302" s="30"/>
      <c r="D302" s="30"/>
    </row>
    <row r="303" spans="1:4" x14ac:dyDescent="0.2">
      <c r="A303" s="30"/>
      <c r="B303" s="47"/>
      <c r="C303" s="30"/>
      <c r="D303" s="30"/>
    </row>
    <row r="304" spans="1:4" x14ac:dyDescent="0.2">
      <c r="A304" s="30"/>
      <c r="B304" s="47"/>
      <c r="C304" s="30"/>
      <c r="D304" s="30"/>
    </row>
    <row r="305" spans="1:4" x14ac:dyDescent="0.2">
      <c r="A305" s="30"/>
      <c r="B305" s="47"/>
      <c r="C305" s="30"/>
      <c r="D305" s="30"/>
    </row>
    <row r="306" spans="1:4" x14ac:dyDescent="0.2">
      <c r="A306" s="30"/>
      <c r="B306" s="47"/>
      <c r="C306" s="30"/>
      <c r="D306" s="30"/>
    </row>
    <row r="307" spans="1:4" x14ac:dyDescent="0.2">
      <c r="A307" s="30"/>
      <c r="B307" s="47"/>
      <c r="C307" s="30"/>
      <c r="D307" s="30"/>
    </row>
    <row r="308" spans="1:4" x14ac:dyDescent="0.2">
      <c r="A308" s="30"/>
      <c r="B308" s="47"/>
      <c r="C308" s="30"/>
      <c r="D308" s="30"/>
    </row>
    <row r="309" spans="1:4" x14ac:dyDescent="0.2">
      <c r="A309" s="30"/>
      <c r="B309" s="47"/>
      <c r="C309" s="30"/>
      <c r="D309" s="30"/>
    </row>
    <row r="310" spans="1:4" x14ac:dyDescent="0.2">
      <c r="A310" s="30"/>
      <c r="B310" s="47"/>
      <c r="C310" s="30"/>
      <c r="D310" s="30"/>
    </row>
    <row r="311" spans="1:4" x14ac:dyDescent="0.2">
      <c r="A311" s="30"/>
      <c r="B311" s="47"/>
      <c r="C311" s="30"/>
      <c r="D311" s="30"/>
    </row>
    <row r="312" spans="1:4" x14ac:dyDescent="0.2">
      <c r="A312" s="30"/>
      <c r="B312" s="47"/>
      <c r="C312" s="30"/>
      <c r="D312" s="30"/>
    </row>
    <row r="313" spans="1:4" x14ac:dyDescent="0.2">
      <c r="A313" s="30"/>
      <c r="B313" s="47"/>
      <c r="C313" s="30"/>
      <c r="D313" s="30"/>
    </row>
    <row r="314" spans="1:4" x14ac:dyDescent="0.2">
      <c r="A314" s="30"/>
      <c r="B314" s="47"/>
      <c r="C314" s="30"/>
      <c r="D314" s="30"/>
    </row>
    <row r="315" spans="1:4" x14ac:dyDescent="0.2">
      <c r="A315" s="30"/>
      <c r="B315" s="47"/>
      <c r="C315" s="30"/>
      <c r="D315" s="30"/>
    </row>
    <row r="316" spans="1:4" x14ac:dyDescent="0.2">
      <c r="A316" s="30"/>
      <c r="B316" s="47"/>
      <c r="C316" s="30"/>
      <c r="D316" s="30"/>
    </row>
    <row r="317" spans="1:4" x14ac:dyDescent="0.2">
      <c r="A317" s="30"/>
      <c r="B317" s="47"/>
      <c r="C317" s="30"/>
      <c r="D317" s="30"/>
    </row>
    <row r="318" spans="1:4" x14ac:dyDescent="0.2">
      <c r="A318" s="30"/>
      <c r="B318" s="47"/>
      <c r="C318" s="30"/>
      <c r="D318" s="30"/>
    </row>
    <row r="319" spans="1:4" x14ac:dyDescent="0.2">
      <c r="A319" s="30"/>
      <c r="B319" s="47"/>
      <c r="C319" s="30"/>
      <c r="D319" s="30"/>
    </row>
    <row r="320" spans="1:4" x14ac:dyDescent="0.2">
      <c r="A320" s="30"/>
      <c r="B320" s="47"/>
      <c r="C320" s="30"/>
      <c r="D320" s="30"/>
    </row>
    <row r="321" spans="1:4" x14ac:dyDescent="0.2">
      <c r="A321" s="30"/>
      <c r="B321" s="47"/>
      <c r="C321" s="30"/>
      <c r="D321" s="30"/>
    </row>
    <row r="322" spans="1:4" x14ac:dyDescent="0.2">
      <c r="A322" s="30"/>
      <c r="B322" s="47"/>
      <c r="C322" s="30"/>
      <c r="D322" s="30"/>
    </row>
    <row r="323" spans="1:4" x14ac:dyDescent="0.2">
      <c r="A323" s="30"/>
      <c r="B323" s="47"/>
      <c r="C323" s="30"/>
      <c r="D323" s="30"/>
    </row>
    <row r="324" spans="1:4" x14ac:dyDescent="0.2">
      <c r="A324" s="30"/>
      <c r="B324" s="47"/>
      <c r="C324" s="30"/>
      <c r="D324" s="30"/>
    </row>
    <row r="325" spans="1:4" x14ac:dyDescent="0.2">
      <c r="A325" s="30"/>
      <c r="B325" s="47"/>
      <c r="C325" s="30"/>
      <c r="D325" s="30"/>
    </row>
    <row r="326" spans="1:4" x14ac:dyDescent="0.2">
      <c r="A326" s="30"/>
      <c r="B326" s="47"/>
      <c r="C326" s="30"/>
      <c r="D326" s="30"/>
    </row>
    <row r="327" spans="1:4" x14ac:dyDescent="0.2">
      <c r="A327" s="30"/>
      <c r="B327" s="47"/>
      <c r="C327" s="30"/>
      <c r="D327" s="30"/>
    </row>
    <row r="328" spans="1:4" x14ac:dyDescent="0.2">
      <c r="A328" s="30"/>
      <c r="B328" s="47"/>
      <c r="C328" s="30"/>
      <c r="D328" s="30"/>
    </row>
    <row r="329" spans="1:4" x14ac:dyDescent="0.2">
      <c r="A329" s="30"/>
      <c r="B329" s="47"/>
      <c r="C329" s="30"/>
      <c r="D329" s="30"/>
    </row>
    <row r="330" spans="1:4" x14ac:dyDescent="0.2">
      <c r="A330" s="30"/>
      <c r="B330" s="47"/>
      <c r="C330" s="30"/>
      <c r="D330" s="30"/>
    </row>
    <row r="331" spans="1:4" x14ac:dyDescent="0.2">
      <c r="A331" s="30"/>
      <c r="B331" s="47"/>
      <c r="C331" s="30"/>
      <c r="D331" s="30"/>
    </row>
    <row r="332" spans="1:4" x14ac:dyDescent="0.2">
      <c r="A332" s="30"/>
      <c r="B332" s="47"/>
      <c r="C332" s="30"/>
      <c r="D332" s="30"/>
    </row>
    <row r="333" spans="1:4" x14ac:dyDescent="0.2">
      <c r="A333" s="30"/>
      <c r="B333" s="47"/>
      <c r="C333" s="30"/>
      <c r="D333" s="30"/>
    </row>
    <row r="334" spans="1:4" x14ac:dyDescent="0.2">
      <c r="A334" s="30"/>
      <c r="B334" s="47"/>
      <c r="C334" s="30"/>
      <c r="D334" s="30"/>
    </row>
    <row r="335" spans="1:4" x14ac:dyDescent="0.2">
      <c r="A335" s="30"/>
      <c r="B335" s="47"/>
      <c r="C335" s="30"/>
      <c r="D335" s="30"/>
    </row>
    <row r="336" spans="1:4" x14ac:dyDescent="0.2">
      <c r="A336" s="30"/>
      <c r="B336" s="47"/>
      <c r="C336" s="30"/>
      <c r="D336" s="30"/>
    </row>
    <row r="337" spans="1:4" x14ac:dyDescent="0.2">
      <c r="A337" s="30"/>
      <c r="B337" s="47"/>
      <c r="C337" s="30"/>
      <c r="D337" s="30"/>
    </row>
    <row r="338" spans="1:4" x14ac:dyDescent="0.2">
      <c r="A338" s="30"/>
      <c r="B338" s="47"/>
      <c r="C338" s="30"/>
      <c r="D338" s="30"/>
    </row>
    <row r="339" spans="1:4" x14ac:dyDescent="0.2">
      <c r="A339" s="30"/>
      <c r="B339" s="47"/>
      <c r="C339" s="30"/>
      <c r="D339" s="30"/>
    </row>
    <row r="340" spans="1:4" x14ac:dyDescent="0.2">
      <c r="A340" s="30"/>
      <c r="B340" s="47"/>
      <c r="C340" s="30"/>
      <c r="D340" s="30"/>
    </row>
    <row r="341" spans="1:4" x14ac:dyDescent="0.2">
      <c r="A341" s="30"/>
      <c r="B341" s="47"/>
      <c r="C341" s="30"/>
      <c r="D341" s="30"/>
    </row>
    <row r="342" spans="1:4" x14ac:dyDescent="0.2">
      <c r="A342" s="30"/>
      <c r="B342" s="47"/>
      <c r="C342" s="30"/>
      <c r="D342" s="30"/>
    </row>
    <row r="343" spans="1:4" x14ac:dyDescent="0.2">
      <c r="A343" s="30"/>
      <c r="B343" s="47"/>
      <c r="C343" s="30"/>
      <c r="D343" s="30"/>
    </row>
    <row r="344" spans="1:4" x14ac:dyDescent="0.2">
      <c r="A344" s="30"/>
      <c r="B344" s="47"/>
      <c r="C344" s="30"/>
      <c r="D344" s="30"/>
    </row>
    <row r="345" spans="1:4" x14ac:dyDescent="0.2">
      <c r="A345" s="30"/>
      <c r="B345" s="47"/>
      <c r="C345" s="30"/>
      <c r="D345" s="30"/>
    </row>
    <row r="346" spans="1:4" x14ac:dyDescent="0.2">
      <c r="A346" s="30"/>
      <c r="B346" s="47"/>
      <c r="C346" s="30"/>
      <c r="D346" s="30"/>
    </row>
    <row r="347" spans="1:4" x14ac:dyDescent="0.2">
      <c r="A347" s="30"/>
      <c r="B347" s="47"/>
      <c r="C347" s="30"/>
      <c r="D347" s="30"/>
    </row>
    <row r="348" spans="1:4" x14ac:dyDescent="0.2">
      <c r="A348" s="30"/>
      <c r="B348" s="47"/>
      <c r="C348" s="30"/>
      <c r="D348" s="30"/>
    </row>
    <row r="349" spans="1:4" x14ac:dyDescent="0.2">
      <c r="A349" s="30"/>
      <c r="B349" s="47"/>
      <c r="C349" s="30"/>
      <c r="D349" s="30"/>
    </row>
    <row r="350" spans="1:4" x14ac:dyDescent="0.2">
      <c r="A350" s="30"/>
      <c r="B350" s="47"/>
      <c r="C350" s="30"/>
      <c r="D350" s="30"/>
    </row>
    <row r="351" spans="1:4" x14ac:dyDescent="0.2">
      <c r="A351" s="30"/>
      <c r="B351" s="47"/>
      <c r="C351" s="30"/>
      <c r="D351" s="30"/>
    </row>
    <row r="352" spans="1:4" x14ac:dyDescent="0.2">
      <c r="A352" s="30"/>
      <c r="B352" s="47"/>
      <c r="C352" s="30"/>
      <c r="D352" s="30"/>
    </row>
    <row r="353" spans="1:4" x14ac:dyDescent="0.2">
      <c r="A353" s="30"/>
      <c r="B353" s="47"/>
      <c r="C353" s="30"/>
      <c r="D353" s="30"/>
    </row>
    <row r="354" spans="1:4" x14ac:dyDescent="0.2">
      <c r="A354" s="30"/>
      <c r="B354" s="47"/>
      <c r="C354" s="30"/>
      <c r="D354" s="30"/>
    </row>
    <row r="355" spans="1:4" x14ac:dyDescent="0.2">
      <c r="A355" s="30"/>
      <c r="B355" s="47"/>
      <c r="C355" s="30"/>
      <c r="D355" s="30"/>
    </row>
    <row r="356" spans="1:4" x14ac:dyDescent="0.2">
      <c r="A356" s="30"/>
      <c r="B356" s="47"/>
      <c r="C356" s="30"/>
      <c r="D356" s="30"/>
    </row>
    <row r="357" spans="1:4" x14ac:dyDescent="0.2">
      <c r="A357" s="30"/>
      <c r="B357" s="47"/>
      <c r="C357" s="30"/>
      <c r="D357" s="30"/>
    </row>
    <row r="358" spans="1:4" x14ac:dyDescent="0.2">
      <c r="A358" s="30"/>
      <c r="B358" s="47"/>
      <c r="C358" s="30"/>
      <c r="D358" s="30"/>
    </row>
    <row r="359" spans="1:4" x14ac:dyDescent="0.2">
      <c r="A359" s="30"/>
      <c r="B359" s="47"/>
      <c r="C359" s="30"/>
      <c r="D359" s="30"/>
    </row>
    <row r="360" spans="1:4" x14ac:dyDescent="0.2">
      <c r="A360" s="30"/>
      <c r="B360" s="47"/>
      <c r="C360" s="30"/>
      <c r="D360" s="30"/>
    </row>
    <row r="361" spans="1:4" x14ac:dyDescent="0.2">
      <c r="A361" s="30"/>
      <c r="B361" s="47"/>
      <c r="C361" s="30"/>
      <c r="D361" s="30"/>
    </row>
    <row r="362" spans="1:4" x14ac:dyDescent="0.2">
      <c r="A362" s="30"/>
      <c r="B362" s="47"/>
      <c r="C362" s="30"/>
      <c r="D362" s="30"/>
    </row>
    <row r="363" spans="1:4" x14ac:dyDescent="0.2">
      <c r="A363" s="30"/>
      <c r="B363" s="47"/>
      <c r="C363" s="30"/>
      <c r="D363" s="30"/>
    </row>
    <row r="364" spans="1:4" x14ac:dyDescent="0.2">
      <c r="A364" s="30"/>
      <c r="B364" s="47"/>
      <c r="C364" s="30"/>
      <c r="D364" s="30"/>
    </row>
    <row r="365" spans="1:4" x14ac:dyDescent="0.2">
      <c r="A365" s="30"/>
      <c r="B365" s="47"/>
      <c r="C365" s="30"/>
      <c r="D365" s="30"/>
    </row>
    <row r="366" spans="1:4" x14ac:dyDescent="0.2">
      <c r="A366" s="30"/>
      <c r="B366" s="47"/>
      <c r="C366" s="30"/>
      <c r="D366" s="30"/>
    </row>
    <row r="367" spans="1:4" x14ac:dyDescent="0.2">
      <c r="A367" s="30"/>
      <c r="B367" s="47"/>
      <c r="C367" s="30"/>
      <c r="D367" s="30"/>
    </row>
    <row r="368" spans="1:4" x14ac:dyDescent="0.2">
      <c r="A368" s="30"/>
      <c r="B368" s="47"/>
      <c r="C368" s="30"/>
      <c r="D368" s="30"/>
    </row>
    <row r="369" spans="1:4" x14ac:dyDescent="0.2">
      <c r="A369" s="30"/>
      <c r="B369" s="47"/>
      <c r="C369" s="30"/>
      <c r="D369" s="30"/>
    </row>
    <row r="370" spans="1:4" x14ac:dyDescent="0.2">
      <c r="A370" s="30"/>
      <c r="B370" s="47"/>
      <c r="C370" s="30"/>
      <c r="D370" s="30"/>
    </row>
    <row r="371" spans="1:4" x14ac:dyDescent="0.2">
      <c r="A371" s="30"/>
      <c r="B371" s="47"/>
      <c r="C371" s="30"/>
      <c r="D371" s="30"/>
    </row>
    <row r="372" spans="1:4" x14ac:dyDescent="0.2">
      <c r="A372" s="30"/>
      <c r="B372" s="47"/>
      <c r="C372" s="30"/>
      <c r="D372" s="30"/>
    </row>
    <row r="373" spans="1:4" x14ac:dyDescent="0.2">
      <c r="A373" s="30"/>
      <c r="B373" s="47"/>
      <c r="C373" s="30"/>
      <c r="D373" s="30"/>
    </row>
    <row r="374" spans="1:4" x14ac:dyDescent="0.2">
      <c r="A374" s="30"/>
      <c r="B374" s="47"/>
      <c r="C374" s="30"/>
      <c r="D374" s="30"/>
    </row>
    <row r="375" spans="1:4" x14ac:dyDescent="0.2">
      <c r="A375" s="30"/>
      <c r="B375" s="47"/>
      <c r="C375" s="30"/>
      <c r="D375" s="30"/>
    </row>
    <row r="376" spans="1:4" x14ac:dyDescent="0.2">
      <c r="A376" s="30"/>
      <c r="B376" s="47"/>
      <c r="C376" s="30"/>
      <c r="D376" s="30"/>
    </row>
    <row r="377" spans="1:4" x14ac:dyDescent="0.2">
      <c r="A377" s="30"/>
      <c r="B377" s="47"/>
      <c r="C377" s="30"/>
      <c r="D377" s="30"/>
    </row>
    <row r="378" spans="1:4" x14ac:dyDescent="0.2">
      <c r="A378" s="30"/>
      <c r="B378" s="47"/>
      <c r="C378" s="30"/>
      <c r="D378" s="30"/>
    </row>
    <row r="379" spans="1:4" x14ac:dyDescent="0.2">
      <c r="A379" s="30"/>
      <c r="B379" s="47"/>
      <c r="C379" s="30"/>
      <c r="D379" s="30"/>
    </row>
    <row r="380" spans="1:4" x14ac:dyDescent="0.2">
      <c r="A380" s="30"/>
      <c r="B380" s="47"/>
      <c r="C380" s="30"/>
      <c r="D380" s="30"/>
    </row>
    <row r="381" spans="1:4" x14ac:dyDescent="0.2">
      <c r="A381" s="30"/>
      <c r="B381" s="47"/>
      <c r="C381" s="30"/>
      <c r="D381" s="30"/>
    </row>
    <row r="382" spans="1:4" x14ac:dyDescent="0.2">
      <c r="A382" s="30"/>
      <c r="B382" s="47"/>
      <c r="C382" s="30"/>
      <c r="D382" s="30"/>
    </row>
    <row r="383" spans="1:4" x14ac:dyDescent="0.2">
      <c r="A383" s="30"/>
      <c r="B383" s="47"/>
      <c r="C383" s="30"/>
      <c r="D383" s="30"/>
    </row>
    <row r="384" spans="1:4" x14ac:dyDescent="0.2">
      <c r="A384" s="30"/>
      <c r="B384" s="47"/>
      <c r="C384" s="30"/>
      <c r="D384" s="30"/>
    </row>
    <row r="385" spans="1:4" x14ac:dyDescent="0.2">
      <c r="A385" s="30"/>
      <c r="B385" s="47"/>
      <c r="C385" s="30"/>
      <c r="D385" s="30"/>
    </row>
    <row r="386" spans="1:4" x14ac:dyDescent="0.2">
      <c r="A386" s="30"/>
      <c r="B386" s="47"/>
      <c r="C386" s="30"/>
      <c r="D386" s="30"/>
    </row>
    <row r="387" spans="1:4" x14ac:dyDescent="0.2">
      <c r="A387" s="30"/>
      <c r="B387" s="47"/>
      <c r="C387" s="30"/>
      <c r="D387" s="30"/>
    </row>
    <row r="388" spans="1:4" x14ac:dyDescent="0.2">
      <c r="A388" s="30"/>
      <c r="B388" s="47"/>
      <c r="C388" s="30"/>
      <c r="D388" s="30"/>
    </row>
    <row r="389" spans="1:4" x14ac:dyDescent="0.2">
      <c r="A389" s="30"/>
      <c r="B389" s="47"/>
      <c r="C389" s="30"/>
      <c r="D389" s="30"/>
    </row>
    <row r="390" spans="1:4" x14ac:dyDescent="0.2">
      <c r="A390" s="30"/>
      <c r="B390" s="47"/>
      <c r="C390" s="30"/>
      <c r="D390" s="30"/>
    </row>
    <row r="391" spans="1:4" x14ac:dyDescent="0.2">
      <c r="A391" s="30"/>
      <c r="B391" s="47"/>
      <c r="C391" s="30"/>
      <c r="D391" s="30"/>
    </row>
    <row r="392" spans="1:4" x14ac:dyDescent="0.2">
      <c r="A392" s="30"/>
      <c r="B392" s="47"/>
      <c r="C392" s="30"/>
      <c r="D392" s="30"/>
    </row>
    <row r="393" spans="1:4" x14ac:dyDescent="0.2">
      <c r="A393" s="30"/>
      <c r="B393" s="47"/>
      <c r="C393" s="30"/>
      <c r="D393" s="30"/>
    </row>
    <row r="394" spans="1:4" x14ac:dyDescent="0.2">
      <c r="A394" s="30"/>
      <c r="B394" s="47"/>
      <c r="C394" s="30"/>
      <c r="D394" s="30"/>
    </row>
    <row r="395" spans="1:4" x14ac:dyDescent="0.2">
      <c r="A395" s="30"/>
      <c r="B395" s="47"/>
      <c r="C395" s="30"/>
      <c r="D395" s="30"/>
    </row>
    <row r="396" spans="1:4" x14ac:dyDescent="0.2">
      <c r="A396" s="30"/>
      <c r="B396" s="47"/>
      <c r="C396" s="30"/>
      <c r="D396" s="30"/>
    </row>
    <row r="397" spans="1:4" x14ac:dyDescent="0.2">
      <c r="A397" s="30"/>
      <c r="B397" s="47"/>
      <c r="C397" s="30"/>
      <c r="D397" s="30"/>
    </row>
    <row r="398" spans="1:4" x14ac:dyDescent="0.2">
      <c r="A398" s="30"/>
      <c r="B398" s="47"/>
      <c r="C398" s="30"/>
      <c r="D398" s="30"/>
    </row>
    <row r="399" spans="1:4" x14ac:dyDescent="0.2">
      <c r="A399" s="30"/>
      <c r="B399" s="47"/>
      <c r="C399" s="30"/>
      <c r="D399" s="30"/>
    </row>
    <row r="400" spans="1:4" x14ac:dyDescent="0.2">
      <c r="A400" s="30"/>
      <c r="B400" s="47"/>
      <c r="C400" s="30"/>
      <c r="D400" s="30"/>
    </row>
    <row r="401" spans="1:4" x14ac:dyDescent="0.2">
      <c r="A401" s="30"/>
      <c r="B401" s="47"/>
      <c r="C401" s="30"/>
      <c r="D401" s="30"/>
    </row>
    <row r="402" spans="1:4" x14ac:dyDescent="0.2">
      <c r="A402" s="30"/>
      <c r="B402" s="47"/>
      <c r="C402" s="30"/>
      <c r="D402" s="30"/>
    </row>
    <row r="403" spans="1:4" x14ac:dyDescent="0.2">
      <c r="A403" s="30"/>
      <c r="B403" s="47"/>
      <c r="C403" s="30"/>
      <c r="D403" s="30"/>
    </row>
    <row r="404" spans="1:4" x14ac:dyDescent="0.2">
      <c r="A404" s="30"/>
      <c r="B404" s="47"/>
      <c r="C404" s="30"/>
      <c r="D404" s="30"/>
    </row>
    <row r="405" spans="1:4" x14ac:dyDescent="0.2">
      <c r="A405" s="30"/>
      <c r="B405" s="47"/>
      <c r="C405" s="30"/>
      <c r="D405" s="30"/>
    </row>
    <row r="406" spans="1:4" x14ac:dyDescent="0.2">
      <c r="A406" s="30"/>
      <c r="B406" s="47"/>
      <c r="C406" s="30"/>
      <c r="D406" s="30"/>
    </row>
    <row r="407" spans="1:4" x14ac:dyDescent="0.2">
      <c r="A407" s="30"/>
      <c r="B407" s="47"/>
      <c r="C407" s="30"/>
      <c r="D407" s="30"/>
    </row>
    <row r="408" spans="1:4" x14ac:dyDescent="0.2">
      <c r="A408" s="30"/>
      <c r="B408" s="47"/>
      <c r="C408" s="30"/>
      <c r="D408" s="30"/>
    </row>
    <row r="409" spans="1:4" x14ac:dyDescent="0.2">
      <c r="A409" s="30"/>
      <c r="B409" s="47"/>
      <c r="C409" s="30"/>
      <c r="D409" s="30"/>
    </row>
    <row r="410" spans="1:4" x14ac:dyDescent="0.2">
      <c r="A410" s="30"/>
      <c r="B410" s="47"/>
      <c r="C410" s="30"/>
      <c r="D410" s="30"/>
    </row>
    <row r="411" spans="1:4" x14ac:dyDescent="0.2">
      <c r="A411" s="30"/>
      <c r="B411" s="47"/>
      <c r="C411" s="30"/>
      <c r="D411" s="30"/>
    </row>
    <row r="412" spans="1:4" x14ac:dyDescent="0.2">
      <c r="A412" s="30"/>
      <c r="B412" s="47"/>
      <c r="C412" s="30"/>
      <c r="D412" s="30"/>
    </row>
    <row r="413" spans="1:4" x14ac:dyDescent="0.2">
      <c r="A413" s="30"/>
      <c r="B413" s="47"/>
      <c r="C413" s="30"/>
      <c r="D413" s="30"/>
    </row>
    <row r="414" spans="1:4" x14ac:dyDescent="0.2">
      <c r="A414" s="30"/>
      <c r="B414" s="47"/>
      <c r="C414" s="30"/>
      <c r="D414" s="30"/>
    </row>
    <row r="415" spans="1:4" x14ac:dyDescent="0.2">
      <c r="A415" s="30"/>
      <c r="B415" s="47"/>
      <c r="C415" s="30"/>
      <c r="D415" s="30"/>
    </row>
    <row r="416" spans="1:4" x14ac:dyDescent="0.2">
      <c r="A416" s="30"/>
      <c r="B416" s="47"/>
      <c r="C416" s="30"/>
      <c r="D416" s="30"/>
    </row>
    <row r="417" spans="1:4" x14ac:dyDescent="0.2">
      <c r="A417" s="30"/>
      <c r="B417" s="47"/>
      <c r="C417" s="30"/>
      <c r="D417" s="30"/>
    </row>
    <row r="418" spans="1:4" x14ac:dyDescent="0.2">
      <c r="A418" s="30"/>
      <c r="B418" s="47"/>
      <c r="C418" s="30"/>
      <c r="D418" s="30"/>
    </row>
    <row r="419" spans="1:4" x14ac:dyDescent="0.2">
      <c r="A419" s="30"/>
      <c r="B419" s="47"/>
      <c r="C419" s="30"/>
      <c r="D419" s="30"/>
    </row>
    <row r="420" spans="1:4" x14ac:dyDescent="0.2">
      <c r="A420" s="30"/>
      <c r="B420" s="47"/>
      <c r="C420" s="30"/>
      <c r="D420" s="30"/>
    </row>
    <row r="421" spans="1:4" x14ac:dyDescent="0.2">
      <c r="A421" s="30"/>
      <c r="B421" s="47"/>
      <c r="C421" s="30"/>
      <c r="D421" s="30"/>
    </row>
    <row r="422" spans="1:4" x14ac:dyDescent="0.2">
      <c r="A422" s="30"/>
      <c r="B422" s="47"/>
      <c r="C422" s="30"/>
      <c r="D422" s="30"/>
    </row>
    <row r="423" spans="1:4" x14ac:dyDescent="0.2">
      <c r="A423" s="30"/>
      <c r="B423" s="47"/>
      <c r="C423" s="30"/>
      <c r="D423" s="30"/>
    </row>
    <row r="424" spans="1:4" x14ac:dyDescent="0.2">
      <c r="A424" s="30"/>
      <c r="B424" s="47"/>
      <c r="C424" s="30"/>
      <c r="D424" s="30"/>
    </row>
    <row r="425" spans="1:4" x14ac:dyDescent="0.2">
      <c r="A425" s="30"/>
      <c r="B425" s="47"/>
      <c r="C425" s="30"/>
      <c r="D425" s="30"/>
    </row>
    <row r="426" spans="1:4" x14ac:dyDescent="0.2">
      <c r="A426" s="30"/>
      <c r="B426" s="47"/>
      <c r="C426" s="30"/>
      <c r="D426" s="30"/>
    </row>
    <row r="427" spans="1:4" x14ac:dyDescent="0.2">
      <c r="A427" s="30"/>
      <c r="B427" s="47"/>
      <c r="C427" s="30"/>
      <c r="D427" s="30"/>
    </row>
    <row r="428" spans="1:4" x14ac:dyDescent="0.2">
      <c r="A428" s="30"/>
      <c r="B428" s="47"/>
      <c r="C428" s="30"/>
      <c r="D428" s="30"/>
    </row>
    <row r="429" spans="1:4" x14ac:dyDescent="0.2">
      <c r="A429" s="30"/>
      <c r="B429" s="47"/>
      <c r="C429" s="30"/>
      <c r="D429" s="30"/>
    </row>
    <row r="430" spans="1:4" x14ac:dyDescent="0.2">
      <c r="A430" s="30"/>
      <c r="B430" s="47"/>
      <c r="C430" s="30"/>
      <c r="D430" s="30"/>
    </row>
    <row r="431" spans="1:4" x14ac:dyDescent="0.2">
      <c r="A431" s="30"/>
      <c r="B431" s="47"/>
      <c r="C431" s="30"/>
      <c r="D431" s="30"/>
    </row>
    <row r="432" spans="1:4" x14ac:dyDescent="0.2">
      <c r="A432" s="30"/>
      <c r="B432" s="47"/>
      <c r="C432" s="30"/>
      <c r="D432" s="30"/>
    </row>
    <row r="433" spans="1:4" x14ac:dyDescent="0.2">
      <c r="A433" s="30"/>
      <c r="B433" s="47"/>
      <c r="C433" s="30"/>
      <c r="D433" s="30"/>
    </row>
    <row r="434" spans="1:4" x14ac:dyDescent="0.2">
      <c r="A434" s="30"/>
      <c r="B434" s="47"/>
      <c r="C434" s="30"/>
      <c r="D434" s="30"/>
    </row>
    <row r="435" spans="1:4" x14ac:dyDescent="0.2">
      <c r="A435" s="30"/>
      <c r="B435" s="47"/>
      <c r="C435" s="30"/>
      <c r="D435" s="30"/>
    </row>
    <row r="436" spans="1:4" x14ac:dyDescent="0.2">
      <c r="A436" s="30"/>
      <c r="B436" s="47"/>
      <c r="C436" s="30"/>
      <c r="D436" s="30"/>
    </row>
    <row r="437" spans="1:4" x14ac:dyDescent="0.2">
      <c r="A437" s="30"/>
      <c r="B437" s="47"/>
      <c r="C437" s="30"/>
      <c r="D437" s="30"/>
    </row>
    <row r="438" spans="1:4" x14ac:dyDescent="0.2">
      <c r="A438" s="30"/>
      <c r="B438" s="47"/>
      <c r="C438" s="30"/>
      <c r="D438" s="30"/>
    </row>
    <row r="439" spans="1:4" x14ac:dyDescent="0.2">
      <c r="A439" s="30"/>
      <c r="B439" s="47"/>
      <c r="C439" s="30"/>
      <c r="D439" s="30"/>
    </row>
    <row r="440" spans="1:4" x14ac:dyDescent="0.2">
      <c r="A440" s="30"/>
      <c r="B440" s="47"/>
      <c r="C440" s="30"/>
      <c r="D440" s="30"/>
    </row>
    <row r="441" spans="1:4" x14ac:dyDescent="0.2">
      <c r="A441" s="30"/>
      <c r="B441" s="47"/>
      <c r="C441" s="30"/>
      <c r="D441" s="30"/>
    </row>
    <row r="442" spans="1:4" x14ac:dyDescent="0.2">
      <c r="A442" s="30"/>
      <c r="B442" s="47"/>
      <c r="C442" s="30"/>
      <c r="D442" s="30"/>
    </row>
    <row r="443" spans="1:4" x14ac:dyDescent="0.2">
      <c r="A443" s="30"/>
      <c r="B443" s="47"/>
      <c r="C443" s="30"/>
      <c r="D443" s="30"/>
    </row>
    <row r="444" spans="1:4" x14ac:dyDescent="0.2">
      <c r="A444" s="30"/>
      <c r="B444" s="47"/>
      <c r="C444" s="30"/>
      <c r="D444" s="30"/>
    </row>
    <row r="445" spans="1:4" x14ac:dyDescent="0.2">
      <c r="A445" s="30"/>
      <c r="B445" s="47"/>
      <c r="C445" s="30"/>
      <c r="D445" s="30"/>
    </row>
    <row r="446" spans="1:4" x14ac:dyDescent="0.2">
      <c r="A446" s="30"/>
      <c r="B446" s="47"/>
      <c r="C446" s="30"/>
      <c r="D446" s="30"/>
    </row>
    <row r="447" spans="1:4" x14ac:dyDescent="0.2">
      <c r="A447" s="30"/>
      <c r="B447" s="47"/>
      <c r="C447" s="30"/>
      <c r="D447" s="30"/>
    </row>
    <row r="448" spans="1:4" x14ac:dyDescent="0.2">
      <c r="A448" s="30"/>
      <c r="B448" s="47"/>
      <c r="C448" s="30"/>
      <c r="D448" s="30"/>
    </row>
    <row r="449" spans="1:4" x14ac:dyDescent="0.2">
      <c r="A449" s="30"/>
      <c r="B449" s="47"/>
      <c r="C449" s="30"/>
      <c r="D449" s="30"/>
    </row>
    <row r="450" spans="1:4" x14ac:dyDescent="0.2">
      <c r="A450" s="30"/>
      <c r="B450" s="47"/>
      <c r="C450" s="30"/>
      <c r="D450" s="30"/>
    </row>
    <row r="451" spans="1:4" x14ac:dyDescent="0.2">
      <c r="A451" s="30"/>
      <c r="B451" s="47"/>
      <c r="C451" s="30"/>
      <c r="D451" s="30"/>
    </row>
    <row r="452" spans="1:4" x14ac:dyDescent="0.2">
      <c r="A452" s="30"/>
      <c r="B452" s="47"/>
      <c r="C452" s="30"/>
      <c r="D452" s="30"/>
    </row>
    <row r="453" spans="1:4" x14ac:dyDescent="0.2">
      <c r="A453" s="30"/>
      <c r="B453" s="47"/>
      <c r="C453" s="30"/>
      <c r="D453" s="30"/>
    </row>
    <row r="454" spans="1:4" x14ac:dyDescent="0.2">
      <c r="A454" s="30"/>
      <c r="B454" s="47"/>
      <c r="C454" s="30"/>
      <c r="D45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 1</vt:lpstr>
      <vt:lpstr>Graphs 1</vt:lpstr>
      <vt:lpstr>Q_fit</vt:lpstr>
      <vt:lpstr>Q_fit_old</vt:lpstr>
      <vt:lpstr>A (2)</vt:lpstr>
      <vt:lpstr>Q_fit (2)</vt:lpstr>
      <vt:lpstr>A (3)</vt:lpstr>
      <vt:lpstr>A (4)</vt:lpstr>
      <vt:lpstr>BAV</vt:lpstr>
      <vt:lpstr>O-C 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2024-02-14T03:39:17Z</dcterms:modified>
</cp:coreProperties>
</file>