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68B4F2D-8989-4A40-A3BE-F69B4D553EB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C21" i="1"/>
  <c r="E21" i="1"/>
  <c r="F21" i="1"/>
  <c r="G21" i="1"/>
  <c r="H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G11" i="1"/>
  <c r="F11" i="1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36" i="2"/>
  <c r="C36" i="2"/>
  <c r="E36" i="2"/>
  <c r="G26" i="2"/>
  <c r="C26" i="2"/>
  <c r="E26" i="2"/>
  <c r="G25" i="2"/>
  <c r="C25" i="2"/>
  <c r="E25" i="2"/>
  <c r="G24" i="2"/>
  <c r="C24" i="2"/>
  <c r="E24" i="2"/>
  <c r="G35" i="2"/>
  <c r="C35" i="2"/>
  <c r="E35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36" i="2"/>
  <c r="D36" i="2"/>
  <c r="B36" i="2"/>
  <c r="A36" i="2"/>
  <c r="H26" i="2"/>
  <c r="D26" i="2"/>
  <c r="B26" i="2"/>
  <c r="A26" i="2"/>
  <c r="H25" i="2"/>
  <c r="D25" i="2"/>
  <c r="B25" i="2"/>
  <c r="A25" i="2"/>
  <c r="H24" i="2"/>
  <c r="D24" i="2"/>
  <c r="B24" i="2"/>
  <c r="A24" i="2"/>
  <c r="H35" i="2"/>
  <c r="D35" i="2"/>
  <c r="B35" i="2"/>
  <c r="A35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53" i="1"/>
  <c r="Q52" i="1"/>
  <c r="E14" i="1"/>
  <c r="E15" i="1" s="1"/>
  <c r="C17" i="1"/>
  <c r="Q51" i="1"/>
  <c r="Q50" i="1"/>
  <c r="Q49" i="1"/>
  <c r="Q22" i="1"/>
  <c r="Q23" i="1"/>
  <c r="Q24" i="1"/>
  <c r="Q25" i="1"/>
  <c r="Q26" i="1"/>
  <c r="Q27" i="1"/>
  <c r="Q28" i="1"/>
  <c r="Q29" i="1"/>
  <c r="Q30" i="1"/>
  <c r="I31" i="1"/>
  <c r="Q31" i="1"/>
  <c r="Q32" i="1"/>
  <c r="Q33" i="1"/>
  <c r="Q34" i="1"/>
  <c r="Q35" i="1"/>
  <c r="Q36" i="1"/>
  <c r="Q37" i="1"/>
  <c r="Q38" i="1"/>
  <c r="I39" i="1"/>
  <c r="Q39" i="1"/>
  <c r="Q40" i="1"/>
  <c r="Q41" i="1"/>
  <c r="Q42" i="1"/>
  <c r="Q43" i="1"/>
  <c r="Q44" i="1"/>
  <c r="Q45" i="1"/>
  <c r="Q46" i="1"/>
  <c r="I47" i="1"/>
  <c r="Q47" i="1"/>
  <c r="Q48" i="1"/>
  <c r="Q21" i="1"/>
  <c r="C12" i="1"/>
  <c r="C16" i="1" l="1"/>
  <c r="D18" i="1" s="1"/>
  <c r="C11" i="1"/>
  <c r="O22" i="1" l="1"/>
  <c r="O50" i="1"/>
  <c r="O42" i="1"/>
  <c r="O46" i="1"/>
  <c r="O48" i="1"/>
  <c r="O35" i="1"/>
  <c r="O41" i="1"/>
  <c r="C15" i="1"/>
  <c r="O49" i="1"/>
  <c r="O23" i="1"/>
  <c r="O52" i="1"/>
  <c r="O39" i="1"/>
  <c r="O30" i="1"/>
  <c r="O44" i="1"/>
  <c r="O40" i="1"/>
  <c r="O38" i="1"/>
  <c r="O45" i="1"/>
  <c r="O32" i="1"/>
  <c r="O51" i="1"/>
  <c r="O43" i="1"/>
  <c r="O26" i="1"/>
  <c r="O29" i="1"/>
  <c r="O25" i="1"/>
  <c r="O28" i="1"/>
  <c r="O34" i="1"/>
  <c r="O33" i="1"/>
  <c r="O47" i="1"/>
  <c r="O27" i="1"/>
  <c r="O24" i="1"/>
  <c r="O31" i="1"/>
  <c r="O21" i="1"/>
  <c r="O36" i="1"/>
  <c r="O37" i="1"/>
  <c r="O53" i="1"/>
  <c r="C18" i="1" l="1"/>
  <c r="E16" i="1"/>
  <c r="E17" i="1" s="1"/>
</calcChain>
</file>

<file path=xl/sharedStrings.xml><?xml version="1.0" encoding="utf-8"?>
<sst xmlns="http://schemas.openxmlformats.org/spreadsheetml/2006/main" count="330" uniqueCount="154">
  <si>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</si>
  <si>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</si>
  <si>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</si>
  <si>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</si>
  <si>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</si>
  <si>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</si>
  <si>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</si>
  <si>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</si>
  <si>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</si>
  <si>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</si>
  <si>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</si>
  <si>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</si>
  <si>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</si>
  <si>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</si>
  <si>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</si>
  <si>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</si>
  <si>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</si>
  <si>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</si>
  <si>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</si>
  <si>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</si>
  <si>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</si>
  <si>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</si>
  <si>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</si>
  <si>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</si>
  <si>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</si>
  <si>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</si>
  <si>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</si>
  <si>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</si>
  <si>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</si>
  <si>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 5287</t>
  </si>
  <si>
    <t>II</t>
  </si>
  <si>
    <t>I</t>
  </si>
  <si>
    <t>IBVS 5583</t>
  </si>
  <si>
    <t>IBVS</t>
  </si>
  <si>
    <t>EW/KW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</si>
  <si>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</si>
  <si>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</si>
  <si>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</si>
  <si>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</si>
  <si>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</si>
  <si>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</si>
  <si>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</si>
  <si>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5741</t>
  </si>
  <si>
    <t>Start of linear fit &gt;&gt;&gt;&gt;&gt;&gt;&gt;&gt;&gt;&gt;&gt;&gt;&gt;&gt;&gt;&gt;&gt;&gt;&gt;&gt;&gt;</t>
  </si>
  <si>
    <t>IBVS 5894</t>
  </si>
  <si>
    <t>IBVS 5945</t>
  </si>
  <si>
    <t>Add cycle</t>
  </si>
  <si>
    <t>Old Cycle</t>
  </si>
  <si>
    <t>IBVS 5992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</si>
  <si>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</si>
  <si>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</si>
  <si>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</si>
  <si>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</si>
  <si>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</si>
  <si>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</si>
  <si>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</si>
  <si>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</si>
  <si>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</si>
  <si>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</si>
  <si>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</si>
  <si>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</si>
  <si>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2451672.5415 </t>
  </si>
  <si>
    <t> 08.05.2000 00:59 </t>
  </si>
  <si>
    <t> 0.0560 </t>
  </si>
  <si>
    <t>E </t>
  </si>
  <si>
    <t>R</t>
  </si>
  <si>
    <t> M.Zejda </t>
  </si>
  <si>
    <t>IBVS 5287 </t>
  </si>
  <si>
    <t>2451675.4214 </t>
  </si>
  <si>
    <t> 10.05.2000 22:06 </t>
  </si>
  <si>
    <t> 0.0554 </t>
  </si>
  <si>
    <t>2451679.4237 </t>
  </si>
  <si>
    <t> 14.05.2000 22:10 </t>
  </si>
  <si>
    <t> 0.0571 </t>
  </si>
  <si>
    <t>2451721.5116 </t>
  </si>
  <si>
    <t> 26.06.2000 00:16 </t>
  </si>
  <si>
    <t> 0.0586 </t>
  </si>
  <si>
    <t>2451814.3217 </t>
  </si>
  <si>
    <t> 26.09.2000 19:43 </t>
  </si>
  <si>
    <t> 0.0546 </t>
  </si>
  <si>
    <t>2452002.5082 </t>
  </si>
  <si>
    <t> 03.04.2001 00:11 </t>
  </si>
  <si>
    <t> 0.0525 </t>
  </si>
  <si>
    <t>IBVS 5583 </t>
  </si>
  <si>
    <t>2452023.4681 </t>
  </si>
  <si>
    <t> 23.04.2001 23:14 </t>
  </si>
  <si>
    <t> 0.0492 </t>
  </si>
  <si>
    <t>2452031.4728 </t>
  </si>
  <si>
    <t> 01.05.2001 23:20 </t>
  </si>
  <si>
    <t> 0.0527 </t>
  </si>
  <si>
    <t>2452039.4715 </t>
  </si>
  <si>
    <t> 09.05.2001 23:18 </t>
  </si>
  <si>
    <t> 0.0502 </t>
  </si>
  <si>
    <t>2452097.3996 </t>
  </si>
  <si>
    <t> 06.07.2001 21:35 </t>
  </si>
  <si>
    <t> 0.0495 </t>
  </si>
  <si>
    <t>2452134.3641 </t>
  </si>
  <si>
    <t> 12.08.2001 20:44 </t>
  </si>
  <si>
    <t> 0.0484 </t>
  </si>
  <si>
    <t>2452145.4013 </t>
  </si>
  <si>
    <t> 23.08.2001 21:37 </t>
  </si>
  <si>
    <t> 0.0439 </t>
  </si>
  <si>
    <t>2452367.5189 </t>
  </si>
  <si>
    <t> 03.04.2002 00:27 </t>
  </si>
  <si>
    <t> 0.0478 </t>
  </si>
  <si>
    <t>2452369.5871 </t>
  </si>
  <si>
    <t> 05.04.2002 02:05 </t>
  </si>
  <si>
    <t> 0.0357 </t>
  </si>
  <si>
    <t>?</t>
  </si>
  <si>
    <t>2452398.5585 </t>
  </si>
  <si>
    <t> 04.05.2002 01:24 </t>
  </si>
  <si>
    <t> 0.0427 </t>
  </si>
  <si>
    <t>2452427.5224 </t>
  </si>
  <si>
    <t> 02.06.2002 00:32 </t>
  </si>
  <si>
    <t> 0.0422 </t>
  </si>
  <si>
    <t>2452696.6769 </t>
  </si>
  <si>
    <t> 26.02.2003 04:14 </t>
  </si>
  <si>
    <t> 0.0358 </t>
  </si>
  <si>
    <t>2452697.6379 </t>
  </si>
  <si>
    <t> 27.02.2003 03:18 </t>
  </si>
  <si>
    <t> 0.0366 </t>
  </si>
  <si>
    <t>2452886.3019 </t>
  </si>
  <si>
    <t> 03.09.2003 19:14 </t>
  </si>
  <si>
    <t> 0.0320 </t>
  </si>
  <si>
    <t>2453082.4878 </t>
  </si>
  <si>
    <t> 17.03.2004 23:42 </t>
  </si>
  <si>
    <t> 0.0281 </t>
  </si>
  <si>
    <t>2453082.6513 </t>
  </si>
  <si>
    <t> 18.03.2004 03:37 </t>
  </si>
  <si>
    <t> 0.0315 </t>
  </si>
  <si>
    <t>2453252.4305 </t>
  </si>
  <si>
    <t> 03.09.2004 22:19 </t>
  </si>
  <si>
    <t> 0.0249 </t>
  </si>
  <si>
    <t> M. Zejda et al. </t>
  </si>
  <si>
    <t>IBVS 5741 </t>
  </si>
  <si>
    <t>2454994.7506 </t>
  </si>
  <si>
    <t> 12.06.2009 06:00 </t>
  </si>
  <si>
    <t> 0.0004 </t>
  </si>
  <si>
    <t>C </t>
  </si>
  <si>
    <t> R.Diethelm </t>
  </si>
  <si>
    <t>IBVS 5894 </t>
  </si>
  <si>
    <t>2455311.7586 </t>
  </si>
  <si>
    <t> 25.04.2010 06:12 </t>
  </si>
  <si>
    <t> 0.0002 </t>
  </si>
  <si>
    <t>IBVS 5945 </t>
  </si>
  <si>
    <t>2455720.7787 </t>
  </si>
  <si>
    <t> 08.06.2011 06:41 </t>
  </si>
  <si>
    <t> -0.0018 </t>
  </si>
  <si>
    <t>IBVS 5992 </t>
  </si>
  <si>
    <t>2456054.9124 </t>
  </si>
  <si>
    <t> 07.05.2012 09:53 </t>
  </si>
  <si>
    <t> 0.0011 </t>
  </si>
  <si>
    <t>IBVS 6029 </t>
  </si>
  <si>
    <t>V0789 Her / gsc 3080-0149?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</si>
</sst>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56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7" fillId="0" borderId="0" xfId="0" applyNumberFormat="1" applyFont="1" applyAlignment="1">
      <alignment horizontal="left" vertical="center" wrapText="1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right"/>
    </xf>
    <xf numFmtId="0" fontId="4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2" borderId="0" xfId="0" applyFont="1" applyFill="1" applyAlignme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6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4" fillId="3" borderId="13" xfId="0" applyFont="1" applyFill="1" applyBorder="1" applyAlignment="1">
      <alignment horizontal="left" vertical="top" wrapText="1" indent="1"/>
    </xf>
    <xf numFmtId="0" fontId="4" fillId="3" borderId="13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right" vertical="top" wrapText="1"/>
    </xf>
    <xf numFmtId="0" fontId="16" fillId="3" borderId="13" xfId="7" applyFill="1" applyBorder="1" applyAlignment="1" applyProtection="1">
      <alignment horizontal="right" vertical="top" wrapText="1"/>
    </xf>
    <xf numFmtId="0" fontId="18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V0789 Her - O-C Diagr.</a:t>
            </a:r>
          </a:p>
        </c:rich>
      </c:tx>
      <c:layout>
        <c:manualLayout>
          <c:xMode val="edge"/>
          <c:yMode val="edge"/>
          <c:x val="0.37442970313642299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94236043087726"/>
          <c:y val="0.14814859468012961"/>
          <c:w val="0.81887488536149955"/>
          <c:h val="0.626545098334714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D2-4167-9FAB-62743EC752D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Active!$D$21:$D$1048</c:f>
                <c:numCache>
                  <c:formatCode>General</c:formatCode>
                  <c:ptCount val="1028"/>
                  <c:pt idx="0">
                    <c:v>0</c:v>
                  </c:pt>
                  <c:pt idx="1">
                    <c:v>1.6000000000000001E-3</c:v>
                  </c:pt>
                  <c:pt idx="2">
                    <c:v>8.9999999999999993E-3</c:v>
                  </c:pt>
                  <c:pt idx="3">
                    <c:v>1.9E-3</c:v>
                  </c:pt>
                  <c:pt idx="4">
                    <c:v>5.4999999999999997E-3</c:v>
                  </c:pt>
                  <c:pt idx="5">
                    <c:v>2.7000000000000001E-3</c:v>
                  </c:pt>
                  <c:pt idx="6">
                    <c:v>8.5000000000000006E-3</c:v>
                  </c:pt>
                  <c:pt idx="7">
                    <c:v>5.3E-3</c:v>
                  </c:pt>
                  <c:pt idx="8">
                    <c:v>2.0999999999999999E-3</c:v>
                  </c:pt>
                  <c:pt idx="9">
                    <c:v>6.1999999999999998E-3</c:v>
                  </c:pt>
                  <c:pt idx="10">
                    <c:v>3.7000000000000002E-3</c:v>
                  </c:pt>
                  <c:pt idx="11">
                    <c:v>2.8999999999999998E-3</c:v>
                  </c:pt>
                  <c:pt idx="12">
                    <c:v>3.0000000000000001E-3</c:v>
                  </c:pt>
                  <c:pt idx="13">
                    <c:v>1.09E-2</c:v>
                  </c:pt>
                  <c:pt idx="14">
                    <c:v>3.5000000000000001E-3</c:v>
                  </c:pt>
                  <c:pt idx="15">
                    <c:v>5.1999999999999998E-3</c:v>
                  </c:pt>
                  <c:pt idx="16">
                    <c:v>3.0000000000000001E-3</c:v>
                  </c:pt>
                  <c:pt idx="17">
                    <c:v>3.2000000000000002E-3</c:v>
                  </c:pt>
                  <c:pt idx="18">
                    <c:v>4.7999999999999996E-3</c:v>
                  </c:pt>
                  <c:pt idx="19">
                    <c:v>4.4999999999999997E-3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4.1000000000000003E-3</c:v>
                  </c:pt>
                  <c:pt idx="23">
                    <c:v>4.1000000000000003E-3</c:v>
                  </c:pt>
                  <c:pt idx="24">
                    <c:v>2.0999999999999999E-3</c:v>
                  </c:pt>
                  <c:pt idx="25">
                    <c:v>2.3999999999999998E-3</c:v>
                  </c:pt>
                  <c:pt idx="26">
                    <c:v>2.5000000000000001E-3</c:v>
                  </c:pt>
                  <c:pt idx="27">
                    <c:v>5.7999999999999996E-3</c:v>
                  </c:pt>
                  <c:pt idx="28">
                    <c:v>2.0999999999999999E-3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6.9999999999999999E-4</c:v>
                  </c:pt>
                </c:numCache>
              </c:numRef>
            </c:plus>
            <c:minus>
              <c:numRef>
                <c:f>Active!$D$21:$D$1048</c:f>
                <c:numCache>
                  <c:formatCode>General</c:formatCode>
                  <c:ptCount val="1028"/>
                  <c:pt idx="0">
                    <c:v>0</c:v>
                  </c:pt>
                  <c:pt idx="1">
                    <c:v>1.6000000000000001E-3</c:v>
                  </c:pt>
                  <c:pt idx="2">
                    <c:v>8.9999999999999993E-3</c:v>
                  </c:pt>
                  <c:pt idx="3">
                    <c:v>1.9E-3</c:v>
                  </c:pt>
                  <c:pt idx="4">
                    <c:v>5.4999999999999997E-3</c:v>
                  </c:pt>
                  <c:pt idx="5">
                    <c:v>2.7000000000000001E-3</c:v>
                  </c:pt>
                  <c:pt idx="6">
                    <c:v>8.5000000000000006E-3</c:v>
                  </c:pt>
                  <c:pt idx="7">
                    <c:v>5.3E-3</c:v>
                  </c:pt>
                  <c:pt idx="8">
                    <c:v>2.0999999999999999E-3</c:v>
                  </c:pt>
                  <c:pt idx="9">
                    <c:v>6.1999999999999998E-3</c:v>
                  </c:pt>
                  <c:pt idx="10">
                    <c:v>3.7000000000000002E-3</c:v>
                  </c:pt>
                  <c:pt idx="11">
                    <c:v>2.8999999999999998E-3</c:v>
                  </c:pt>
                  <c:pt idx="12">
                    <c:v>3.0000000000000001E-3</c:v>
                  </c:pt>
                  <c:pt idx="13">
                    <c:v>1.09E-2</c:v>
                  </c:pt>
                  <c:pt idx="14">
                    <c:v>3.5000000000000001E-3</c:v>
                  </c:pt>
                  <c:pt idx="15">
                    <c:v>5.1999999999999998E-3</c:v>
                  </c:pt>
                  <c:pt idx="16">
                    <c:v>3.0000000000000001E-3</c:v>
                  </c:pt>
                  <c:pt idx="17">
                    <c:v>3.2000000000000002E-3</c:v>
                  </c:pt>
                  <c:pt idx="18">
                    <c:v>4.7999999999999996E-3</c:v>
                  </c:pt>
                  <c:pt idx="19">
                    <c:v>4.4999999999999997E-3</c:v>
                  </c:pt>
                  <c:pt idx="20">
                    <c:v>2E-3</c:v>
                  </c:pt>
                  <c:pt idx="21">
                    <c:v>1.6999999999999999E-3</c:v>
                  </c:pt>
                  <c:pt idx="22">
                    <c:v>4.1000000000000003E-3</c:v>
                  </c:pt>
                  <c:pt idx="23">
                    <c:v>4.1000000000000003E-3</c:v>
                  </c:pt>
                  <c:pt idx="24">
                    <c:v>2.0999999999999999E-3</c:v>
                  </c:pt>
                  <c:pt idx="25">
                    <c:v>2.3999999999999998E-3</c:v>
                  </c:pt>
                  <c:pt idx="26">
                    <c:v>2.5000000000000001E-3</c:v>
                  </c:pt>
                  <c:pt idx="27">
                    <c:v>5.7999999999999996E-3</c:v>
                  </c:pt>
                  <c:pt idx="28">
                    <c:v>2.0999999999999999E-3</c:v>
                  </c:pt>
                  <c:pt idx="29">
                    <c:v>5.9999999999999995E-4</c:v>
                  </c:pt>
                  <c:pt idx="30">
                    <c:v>4.0000000000000002E-4</c:v>
                  </c:pt>
                  <c:pt idx="31">
                    <c:v>5.9999999999999995E-4</c:v>
                  </c:pt>
                  <c:pt idx="3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7.9109999933280051E-4</c:v>
                </c:pt>
                <c:pt idx="2">
                  <c:v>1.9249999604653567E-4</c:v>
                </c:pt>
                <c:pt idx="3">
                  <c:v>1.799999998183921E-3</c:v>
                </c:pt>
                <c:pt idx="4">
                  <c:v>2.4148999946191907E-3</c:v>
                </c:pt>
                <c:pt idx="5">
                  <c:v>-3.5511000023689121E-3</c:v>
                </c:pt>
                <c:pt idx="6">
                  <c:v>-9.6263000014005229E-3</c:v>
                </c:pt>
                <c:pt idx="7">
                  <c:v>-1.3355000002775341E-2</c:v>
                </c:pt>
                <c:pt idx="8">
                  <c:v>-1.0040000001026783E-2</c:v>
                </c:pt>
                <c:pt idx="9">
                  <c:v>-1.2725000000500586E-2</c:v>
                </c:pt>
                <c:pt idx="10">
                  <c:v>-1.46524000010686E-2</c:v>
                </c:pt>
                <c:pt idx="11">
                  <c:v>-1.7951100002392195E-2</c:v>
                </c:pt>
                <c:pt idx="12">
                  <c:v>-1.6551100001379382E-2</c:v>
                </c:pt>
                <c:pt idx="13">
                  <c:v>-2.1262400005070958E-2</c:v>
                </c:pt>
                <c:pt idx="14">
                  <c:v>-2.2109999998065177E-2</c:v>
                </c:pt>
                <c:pt idx="15">
                  <c:v>-2.4270100002468098E-2</c:v>
                </c:pt>
                <c:pt idx="16">
                  <c:v>-2.82837999984622E-2</c:v>
                </c:pt>
                <c:pt idx="17">
                  <c:v>-2.7883800001291092E-2</c:v>
                </c:pt>
                <c:pt idx="18">
                  <c:v>-2.8997499997785781E-2</c:v>
                </c:pt>
                <c:pt idx="19">
                  <c:v>-2.8197499996167608E-2</c:v>
                </c:pt>
                <c:pt idx="20">
                  <c:v>-4.1688900004373863E-2</c:v>
                </c:pt>
                <c:pt idx="21">
                  <c:v>-4.1088900004979223E-2</c:v>
                </c:pt>
                <c:pt idx="22">
                  <c:v>-3.8655100004689302E-2</c:v>
                </c:pt>
                <c:pt idx="23">
                  <c:v>-4.9613399998634122E-2</c:v>
                </c:pt>
                <c:pt idx="24">
                  <c:v>-4.8913400001765694E-2</c:v>
                </c:pt>
                <c:pt idx="25">
                  <c:v>-5.6973599996126723E-2</c:v>
                </c:pt>
                <c:pt idx="26">
                  <c:v>-5.4973599995719269E-2</c:v>
                </c:pt>
                <c:pt idx="27">
                  <c:v>-5.3501300004427321E-2</c:v>
                </c:pt>
                <c:pt idx="28">
                  <c:v>-6.3690999995742459E-2</c:v>
                </c:pt>
                <c:pt idx="29">
                  <c:v>-0.1251886000027298</c:v>
                </c:pt>
                <c:pt idx="30">
                  <c:v>-0.1320622999992338</c:v>
                </c:pt>
                <c:pt idx="31">
                  <c:v>-0.14276350000000093</c:v>
                </c:pt>
                <c:pt idx="32">
                  <c:v>-0.14690110000083223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D2-4167-9FAB-62743EC752D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D2-4167-9FAB-62743EC752D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D2-4167-9FAB-62743EC752D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D2-4167-9FAB-62743EC752D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D2-4167-9FAB-62743EC752D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D2-4167-9FAB-62743EC752D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-21.5</c:v>
                </c:pt>
                <c:pt idx="2">
                  <c:v>-12.5</c:v>
                </c:pt>
                <c:pt idx="3">
                  <c:v>0</c:v>
                </c:pt>
                <c:pt idx="4">
                  <c:v>131.5</c:v>
                </c:pt>
                <c:pt idx="5">
                  <c:v>421.5</c:v>
                </c:pt>
                <c:pt idx="6">
                  <c:v>1009.5</c:v>
                </c:pt>
                <c:pt idx="7">
                  <c:v>1075</c:v>
                </c:pt>
                <c:pt idx="8">
                  <c:v>1100</c:v>
                </c:pt>
                <c:pt idx="9">
                  <c:v>1125</c:v>
                </c:pt>
                <c:pt idx="10">
                  <c:v>1306</c:v>
                </c:pt>
                <c:pt idx="11">
                  <c:v>1421.5</c:v>
                </c:pt>
                <c:pt idx="12">
                  <c:v>1421.5</c:v>
                </c:pt>
                <c:pt idx="13">
                  <c:v>1456</c:v>
                </c:pt>
                <c:pt idx="14">
                  <c:v>2150</c:v>
                </c:pt>
                <c:pt idx="15">
                  <c:v>2156.5</c:v>
                </c:pt>
                <c:pt idx="16">
                  <c:v>2247</c:v>
                </c:pt>
                <c:pt idx="17">
                  <c:v>2247</c:v>
                </c:pt>
                <c:pt idx="18">
                  <c:v>2337.5</c:v>
                </c:pt>
                <c:pt idx="19">
                  <c:v>2337.5</c:v>
                </c:pt>
                <c:pt idx="20">
                  <c:v>3178.5</c:v>
                </c:pt>
                <c:pt idx="21">
                  <c:v>3178.5</c:v>
                </c:pt>
                <c:pt idx="22">
                  <c:v>3181.5</c:v>
                </c:pt>
                <c:pt idx="23">
                  <c:v>3771</c:v>
                </c:pt>
                <c:pt idx="24">
                  <c:v>3771</c:v>
                </c:pt>
                <c:pt idx="25">
                  <c:v>4384</c:v>
                </c:pt>
                <c:pt idx="26">
                  <c:v>4384</c:v>
                </c:pt>
                <c:pt idx="27">
                  <c:v>4384.5</c:v>
                </c:pt>
                <c:pt idx="28">
                  <c:v>4915</c:v>
                </c:pt>
                <c:pt idx="29">
                  <c:v>10359</c:v>
                </c:pt>
                <c:pt idx="30">
                  <c:v>11349.5</c:v>
                </c:pt>
                <c:pt idx="31">
                  <c:v>12627.5</c:v>
                </c:pt>
                <c:pt idx="32">
                  <c:v>13671.5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-1.3706335889018886E-3</c:v>
                </c:pt>
                <c:pt idx="1">
                  <c:v>-1.1246285039354436E-3</c:v>
                </c:pt>
                <c:pt idx="2">
                  <c:v>-1.227607376712095E-3</c:v>
                </c:pt>
                <c:pt idx="3">
                  <c:v>-1.3706335889018886E-3</c:v>
                </c:pt>
                <c:pt idx="4">
                  <c:v>-2.8752693411385182E-3</c:v>
                </c:pt>
                <c:pt idx="5">
                  <c:v>-6.1934774639417307E-3</c:v>
                </c:pt>
                <c:pt idx="6">
                  <c:v>-1.2921430485349624E-2</c:v>
                </c:pt>
                <c:pt idx="7">
                  <c:v>-1.3670887837224144E-2</c:v>
                </c:pt>
                <c:pt idx="8">
                  <c:v>-1.3956940261603731E-2</c:v>
                </c:pt>
                <c:pt idx="9">
                  <c:v>-1.4242992685983318E-2</c:v>
                </c:pt>
                <c:pt idx="10">
                  <c:v>-1.6314012238491531E-2</c:v>
                </c:pt>
                <c:pt idx="11">
                  <c:v>-1.7635574439125223E-2</c:v>
                </c:pt>
                <c:pt idx="12">
                  <c:v>-1.7635574439125223E-2</c:v>
                </c:pt>
                <c:pt idx="13">
                  <c:v>-1.8030326784769055E-2</c:v>
                </c:pt>
                <c:pt idx="14">
                  <c:v>-2.5971142085546399E-2</c:v>
                </c:pt>
                <c:pt idx="15">
                  <c:v>-2.6045515715885093E-2</c:v>
                </c:pt>
                <c:pt idx="16">
                  <c:v>-2.7081025492139199E-2</c:v>
                </c:pt>
                <c:pt idx="17">
                  <c:v>-2.7081025492139199E-2</c:v>
                </c:pt>
                <c:pt idx="18">
                  <c:v>-2.8116535268393306E-2</c:v>
                </c:pt>
                <c:pt idx="19">
                  <c:v>-2.8116535268393306E-2</c:v>
                </c:pt>
                <c:pt idx="20">
                  <c:v>-3.7739338824522621E-2</c:v>
                </c:pt>
                <c:pt idx="21">
                  <c:v>-3.7739338824522621E-2</c:v>
                </c:pt>
                <c:pt idx="22">
                  <c:v>-3.777366511544817E-2</c:v>
                </c:pt>
                <c:pt idx="23">
                  <c:v>-4.4518781282318842E-2</c:v>
                </c:pt>
                <c:pt idx="24">
                  <c:v>-4.4518781282318842E-2</c:v>
                </c:pt>
                <c:pt idx="25">
                  <c:v>-5.1532786728106322E-2</c:v>
                </c:pt>
                <c:pt idx="26">
                  <c:v>-5.1532786728106322E-2</c:v>
                </c:pt>
                <c:pt idx="27">
                  <c:v>-5.1538507776593918E-2</c:v>
                </c:pt>
                <c:pt idx="28">
                  <c:v>-5.760854022192876E-2</c:v>
                </c:pt>
                <c:pt idx="29">
                  <c:v>-0.11989931615482768</c:v>
                </c:pt>
                <c:pt idx="30">
                  <c:v>-0.13123271320874694</c:v>
                </c:pt>
                <c:pt idx="31">
                  <c:v>-0.14585571314303145</c:v>
                </c:pt>
                <c:pt idx="32">
                  <c:v>-0.15780126238512301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D2-4167-9FAB-62743EC75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933304"/>
        <c:axId val="1"/>
      </c:scatterChart>
      <c:valAx>
        <c:axId val="522933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9288422280548"/>
              <c:y val="0.836422345354978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06240487062402E-2"/>
              <c:y val="0.36728492271799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933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34735155822416"/>
          <c:y val="0.91975600272188196"/>
          <c:w val="0.68188832560313517"/>
          <c:h val="6.17287190952983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16</xdr:col>
      <xdr:colOff>95250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4ED4B0-7121-C296-DA02-CB7314B11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602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www.konkoly.hu/cgi-bin/IBVS?5583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5287" TargetMode="External"/><Relationship Id="rId16" Type="http://schemas.openxmlformats.org/officeDocument/2006/relationships/hyperlink" Target="http://www.konkoly.hu/cgi-bin/IBVS?5583" TargetMode="External"/><Relationship Id="rId20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konkoly.hu/cgi-bin/IBVS?5583" TargetMode="External"/><Relationship Id="rId24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287" TargetMode="External"/><Relationship Id="rId15" Type="http://schemas.openxmlformats.org/officeDocument/2006/relationships/hyperlink" Target="http://www.konkoly.hu/cgi-bin/IBVS?5583" TargetMode="External"/><Relationship Id="rId23" Type="http://schemas.openxmlformats.org/officeDocument/2006/relationships/hyperlink" Target="http://www.konkoly.hu/cgi-bin/IBVS?5894" TargetMode="External"/><Relationship Id="rId10" Type="http://schemas.openxmlformats.org/officeDocument/2006/relationships/hyperlink" Target="http://www.konkoly.hu/cgi-bin/IBVS?5583" TargetMode="External"/><Relationship Id="rId19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www.konkoly.hu/cgi-bin/IBVS?5287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95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5" t="s">
        <v>153</v>
      </c>
    </row>
    <row r="2" spans="1:7" x14ac:dyDescent="0.2">
      <c r="A2" t="s">
        <v>24</v>
      </c>
      <c r="B2" t="s">
        <v>34</v>
      </c>
    </row>
    <row r="3" spans="1:7" ht="13.5" thickBot="1" x14ac:dyDescent="0.25">
      <c r="C3" t="s">
        <v>29</v>
      </c>
    </row>
    <row r="4" spans="1:7" ht="13.5" thickBot="1" x14ac:dyDescent="0.25">
      <c r="A4" s="3" t="s">
        <v>0</v>
      </c>
      <c r="C4" s="9">
        <v>51679.421900000001</v>
      </c>
      <c r="D4" s="10">
        <v>0.32005539999999999</v>
      </c>
    </row>
    <row r="6" spans="1:7" x14ac:dyDescent="0.2">
      <c r="A6" s="3" t="s">
        <v>1</v>
      </c>
    </row>
    <row r="7" spans="1:7" x14ac:dyDescent="0.2">
      <c r="A7" t="s">
        <v>2</v>
      </c>
      <c r="C7">
        <f>+C4</f>
        <v>51679.421900000001</v>
      </c>
    </row>
    <row r="8" spans="1:7" x14ac:dyDescent="0.2">
      <c r="A8" t="s">
        <v>3</v>
      </c>
      <c r="C8">
        <f>+D4</f>
        <v>0.32005539999999999</v>
      </c>
    </row>
    <row r="9" spans="1:7" x14ac:dyDescent="0.2">
      <c r="A9" s="13" t="s">
        <v>36</v>
      </c>
      <c r="B9" s="14"/>
      <c r="C9" s="15">
        <v>-9.5</v>
      </c>
      <c r="D9" s="14" t="s">
        <v>37</v>
      </c>
      <c r="E9" s="14"/>
    </row>
    <row r="10" spans="1:7" ht="13.5" thickBot="1" x14ac:dyDescent="0.25">
      <c r="A10" s="14"/>
      <c r="B10" s="14"/>
      <c r="C10" s="2" t="s">
        <v>20</v>
      </c>
      <c r="D10" s="2" t="s">
        <v>21</v>
      </c>
      <c r="E10" s="14"/>
    </row>
    <row r="11" spans="1:7" x14ac:dyDescent="0.2">
      <c r="A11" s="14" t="s">
        <v>16</v>
      </c>
      <c r="B11" s="14"/>
      <c r="C11" s="28">
        <f ca="1">INTERCEPT(INDIRECT($G$11):G990,INDIRECT($F$11):F990)</f>
        <v>-1.3706335889018886E-3</v>
      </c>
      <c r="D11" s="16"/>
      <c r="E11" s="14"/>
      <c r="F11" s="29" t="str">
        <f>"F"&amp;E19</f>
        <v>F21</v>
      </c>
      <c r="G11" s="30" t="str">
        <f>"G"&amp;E19</f>
        <v>G21</v>
      </c>
    </row>
    <row r="12" spans="1:7" x14ac:dyDescent="0.2">
      <c r="A12" s="14" t="s">
        <v>17</v>
      </c>
      <c r="B12" s="14"/>
      <c r="C12" s="28">
        <f ca="1">SLOPE(INDIRECT($G$11):G990,INDIRECT($F$11):F990)</f>
        <v>-1.1442096975183493E-5</v>
      </c>
      <c r="D12" s="16"/>
      <c r="E12" s="14"/>
    </row>
    <row r="13" spans="1:7" x14ac:dyDescent="0.2">
      <c r="A13" s="14" t="s">
        <v>19</v>
      </c>
      <c r="B13" s="14"/>
      <c r="C13" s="16" t="s">
        <v>14</v>
      </c>
      <c r="D13" s="19" t="s">
        <v>46</v>
      </c>
      <c r="E13" s="15">
        <v>1</v>
      </c>
    </row>
    <row r="14" spans="1:7" x14ac:dyDescent="0.2">
      <c r="A14" s="14"/>
      <c r="B14" s="14"/>
      <c r="C14" s="14"/>
      <c r="D14" s="19" t="s">
        <v>38</v>
      </c>
      <c r="E14" s="20">
        <f ca="1">NOW()+15018.5+$C$9/24</f>
        <v>60354.702452314814</v>
      </c>
    </row>
    <row r="15" spans="1:7" x14ac:dyDescent="0.2">
      <c r="A15" s="17" t="s">
        <v>18</v>
      </c>
      <c r="B15" s="14"/>
      <c r="C15" s="18">
        <f ca="1">(C7+C11)+(C8+C12)*INT(MAX(F21:F3531))</f>
        <v>56054.741477858668</v>
      </c>
      <c r="D15" s="19" t="s">
        <v>47</v>
      </c>
      <c r="E15" s="20">
        <f ca="1">ROUND(2*(E14-$C$7)/$C$8,0)/2+E13</f>
        <v>27106.5</v>
      </c>
    </row>
    <row r="16" spans="1:7" x14ac:dyDescent="0.2">
      <c r="A16" s="21" t="s">
        <v>4</v>
      </c>
      <c r="B16" s="14"/>
      <c r="C16" s="22">
        <f ca="1">+C8+C12</f>
        <v>0.32004395790302481</v>
      </c>
      <c r="D16" s="19" t="s">
        <v>39</v>
      </c>
      <c r="E16" s="30">
        <f ca="1">ROUND(2*(E14-$C$15)/$C$16,0)/2+E13</f>
        <v>13436.5</v>
      </c>
    </row>
    <row r="17" spans="1:17" ht="13.5" thickBot="1" x14ac:dyDescent="0.25">
      <c r="A17" s="19" t="s">
        <v>35</v>
      </c>
      <c r="B17" s="14"/>
      <c r="C17" s="14">
        <f>COUNT(C21:C2189)</f>
        <v>33</v>
      </c>
      <c r="D17" s="19" t="s">
        <v>40</v>
      </c>
      <c r="E17" s="23">
        <f ca="1">+$C$15+$C$16*E16-15018.5-$C$9/24</f>
        <v>45336.907951555993</v>
      </c>
    </row>
    <row r="18" spans="1:17" x14ac:dyDescent="0.2">
      <c r="A18" s="21" t="s">
        <v>5</v>
      </c>
      <c r="B18" s="14"/>
      <c r="C18" s="24">
        <f ca="1">+C15</f>
        <v>56054.741477858668</v>
      </c>
      <c r="D18" s="25">
        <f ca="1">+C16</f>
        <v>0.32004395790302481</v>
      </c>
      <c r="E18" s="26" t="s">
        <v>41</v>
      </c>
    </row>
    <row r="19" spans="1:17" ht="13.5" thickTop="1" x14ac:dyDescent="0.2">
      <c r="A19" s="31" t="s">
        <v>43</v>
      </c>
      <c r="E19" s="32">
        <v>21</v>
      </c>
    </row>
    <row r="20" spans="1:17" ht="13.5" thickBot="1" x14ac:dyDescent="0.25">
      <c r="A20" s="2" t="s">
        <v>6</v>
      </c>
      <c r="B20" s="2" t="s">
        <v>7</v>
      </c>
      <c r="C20" s="2" t="s">
        <v>8</v>
      </c>
      <c r="D20" s="2" t="s">
        <v>13</v>
      </c>
      <c r="E20" s="2" t="s">
        <v>9</v>
      </c>
      <c r="F20" s="2" t="s">
        <v>10</v>
      </c>
      <c r="G20" s="2" t="s">
        <v>11</v>
      </c>
      <c r="H20" s="5" t="s">
        <v>12</v>
      </c>
      <c r="I20" s="5" t="s">
        <v>33</v>
      </c>
      <c r="J20" s="5" t="s">
        <v>52</v>
      </c>
      <c r="K20" s="5" t="s">
        <v>25</v>
      </c>
      <c r="L20" s="5" t="s">
        <v>26</v>
      </c>
      <c r="M20" s="5" t="s">
        <v>27</v>
      </c>
      <c r="N20" s="5" t="s">
        <v>28</v>
      </c>
      <c r="O20" s="5" t="s">
        <v>23</v>
      </c>
      <c r="P20" s="4" t="s">
        <v>22</v>
      </c>
      <c r="Q20" s="2" t="s">
        <v>15</v>
      </c>
    </row>
    <row r="21" spans="1:17" x14ac:dyDescent="0.2">
      <c r="A21" t="s">
        <v>12</v>
      </c>
      <c r="C21" s="11">
        <f>+C4</f>
        <v>51679.421900000001</v>
      </c>
      <c r="D21" s="11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-1.3706335889018886E-3</v>
      </c>
      <c r="Q21" s="1">
        <f t="shared" ref="Q21:Q27" si="4">+C21-15018.5</f>
        <v>36660.921900000001</v>
      </c>
    </row>
    <row r="22" spans="1:17" x14ac:dyDescent="0.2">
      <c r="A22" s="6" t="s">
        <v>29</v>
      </c>
      <c r="B22" s="7" t="s">
        <v>30</v>
      </c>
      <c r="C22" s="8">
        <v>51672.541499999999</v>
      </c>
      <c r="D22" s="8">
        <v>1.6000000000000001E-3</v>
      </c>
      <c r="E22">
        <f t="shared" si="0"/>
        <v>-21.497528240429087</v>
      </c>
      <c r="F22">
        <f t="shared" si="1"/>
        <v>-21.5</v>
      </c>
      <c r="G22">
        <f t="shared" si="2"/>
        <v>7.9109999933280051E-4</v>
      </c>
      <c r="I22">
        <f t="shared" ref="I22:I27" si="5">+G22</f>
        <v>7.9109999933280051E-4</v>
      </c>
      <c r="O22">
        <f t="shared" ca="1" si="3"/>
        <v>-1.1246285039354436E-3</v>
      </c>
      <c r="Q22" s="1">
        <f t="shared" si="4"/>
        <v>36654.041499999999</v>
      </c>
    </row>
    <row r="23" spans="1:17" x14ac:dyDescent="0.2">
      <c r="A23" s="6" t="s">
        <v>29</v>
      </c>
      <c r="B23" s="7" t="s">
        <v>30</v>
      </c>
      <c r="C23" s="8">
        <v>51675.421399999999</v>
      </c>
      <c r="D23" s="8">
        <v>8.9999999999999993E-3</v>
      </c>
      <c r="E23">
        <f t="shared" si="0"/>
        <v>-12.499398541633482</v>
      </c>
      <c r="F23">
        <f t="shared" si="1"/>
        <v>-12.5</v>
      </c>
      <c r="G23">
        <f t="shared" si="2"/>
        <v>1.9249999604653567E-4</v>
      </c>
      <c r="I23">
        <f t="shared" si="5"/>
        <v>1.9249999604653567E-4</v>
      </c>
      <c r="O23">
        <f t="shared" ca="1" si="3"/>
        <v>-1.227607376712095E-3</v>
      </c>
      <c r="Q23" s="1">
        <f t="shared" si="4"/>
        <v>36656.921399999999</v>
      </c>
    </row>
    <row r="24" spans="1:17" x14ac:dyDescent="0.2">
      <c r="A24" s="6" t="s">
        <v>29</v>
      </c>
      <c r="B24" s="7" t="s">
        <v>31</v>
      </c>
      <c r="C24" s="8">
        <v>51679.423699999999</v>
      </c>
      <c r="D24" s="8">
        <v>1.9E-3</v>
      </c>
      <c r="E24">
        <f t="shared" si="0"/>
        <v>5.6240263347655467E-3</v>
      </c>
      <c r="F24">
        <f t="shared" si="1"/>
        <v>0</v>
      </c>
      <c r="G24">
        <f t="shared" si="2"/>
        <v>1.799999998183921E-3</v>
      </c>
      <c r="I24">
        <f t="shared" si="5"/>
        <v>1.799999998183921E-3</v>
      </c>
      <c r="O24">
        <f t="shared" ca="1" si="3"/>
        <v>-1.3706335889018886E-3</v>
      </c>
      <c r="Q24" s="1">
        <f t="shared" si="4"/>
        <v>36660.923699999999</v>
      </c>
    </row>
    <row r="25" spans="1:17" x14ac:dyDescent="0.2">
      <c r="A25" s="6" t="s">
        <v>29</v>
      </c>
      <c r="B25" s="7" t="s">
        <v>30</v>
      </c>
      <c r="C25" s="8">
        <v>51721.511599999998</v>
      </c>
      <c r="D25" s="8">
        <v>5.4999999999999997E-3</v>
      </c>
      <c r="E25">
        <f t="shared" si="0"/>
        <v>131.50754525621755</v>
      </c>
      <c r="F25">
        <f t="shared" si="1"/>
        <v>131.5</v>
      </c>
      <c r="G25">
        <f t="shared" si="2"/>
        <v>2.4148999946191907E-3</v>
      </c>
      <c r="I25">
        <f t="shared" si="5"/>
        <v>2.4148999946191907E-3</v>
      </c>
      <c r="O25">
        <f t="shared" ca="1" si="3"/>
        <v>-2.8752693411385182E-3</v>
      </c>
      <c r="Q25" s="1">
        <f t="shared" si="4"/>
        <v>36703.011599999998</v>
      </c>
    </row>
    <row r="26" spans="1:17" x14ac:dyDescent="0.2">
      <c r="A26" s="6" t="s">
        <v>29</v>
      </c>
      <c r="B26" s="7" t="s">
        <v>30</v>
      </c>
      <c r="C26" s="8">
        <v>51814.3217</v>
      </c>
      <c r="D26" s="8">
        <v>2.7000000000000001E-3</v>
      </c>
      <c r="E26">
        <f t="shared" si="0"/>
        <v>421.48890473336564</v>
      </c>
      <c r="F26">
        <f t="shared" si="1"/>
        <v>421.5</v>
      </c>
      <c r="G26">
        <f t="shared" si="2"/>
        <v>-3.5511000023689121E-3</v>
      </c>
      <c r="I26">
        <f t="shared" si="5"/>
        <v>-3.5511000023689121E-3</v>
      </c>
      <c r="O26">
        <f t="shared" ca="1" si="3"/>
        <v>-6.1934774639417307E-3</v>
      </c>
      <c r="Q26" s="1">
        <f t="shared" si="4"/>
        <v>36795.8217</v>
      </c>
    </row>
    <row r="27" spans="1:17" x14ac:dyDescent="0.2">
      <c r="A27" s="8" t="s">
        <v>32</v>
      </c>
      <c r="B27" s="7" t="s">
        <v>30</v>
      </c>
      <c r="C27" s="8">
        <v>52002.508199999997</v>
      </c>
      <c r="D27" s="12">
        <v>8.5000000000000006E-3</v>
      </c>
      <c r="E27">
        <f t="shared" si="0"/>
        <v>1009.4699230195629</v>
      </c>
      <c r="F27">
        <f t="shared" si="1"/>
        <v>1009.5</v>
      </c>
      <c r="G27">
        <f t="shared" si="2"/>
        <v>-9.6263000014005229E-3</v>
      </c>
      <c r="I27">
        <f t="shared" si="5"/>
        <v>-9.6263000014005229E-3</v>
      </c>
      <c r="O27">
        <f t="shared" ca="1" si="3"/>
        <v>-1.2921430485349624E-2</v>
      </c>
      <c r="Q27" s="1">
        <f t="shared" si="4"/>
        <v>36984.008199999997</v>
      </c>
    </row>
    <row r="28" spans="1:17" x14ac:dyDescent="0.2">
      <c r="A28" s="8" t="s">
        <v>32</v>
      </c>
      <c r="B28" s="7" t="s">
        <v>31</v>
      </c>
      <c r="C28" s="8">
        <v>52023.468099999998</v>
      </c>
      <c r="D28" s="12">
        <v>5.3E-3</v>
      </c>
      <c r="E28">
        <f t="shared" ref="E28:E53" si="6">+(C28-C$7)/C$8</f>
        <v>1074.9582728490038</v>
      </c>
      <c r="F28">
        <f t="shared" ref="F28:F49" si="7">ROUND(2*E28,0)/2</f>
        <v>1075</v>
      </c>
      <c r="G28">
        <f t="shared" ref="G28:G53" si="8">+C28-(C$7+F28*C$8)</f>
        <v>-1.3355000002775341E-2</v>
      </c>
      <c r="I28">
        <f t="shared" ref="I28:I53" si="9">+G28</f>
        <v>-1.3355000002775341E-2</v>
      </c>
      <c r="O28">
        <f t="shared" ref="O28:O53" ca="1" si="10">+C$11+C$12*$F28</f>
        <v>-1.3670887837224144E-2</v>
      </c>
      <c r="Q28" s="1">
        <f t="shared" ref="Q28:Q53" si="11">+C28-15018.5</f>
        <v>37004.968099999998</v>
      </c>
    </row>
    <row r="29" spans="1:17" x14ac:dyDescent="0.2">
      <c r="A29" s="8" t="s">
        <v>32</v>
      </c>
      <c r="B29" s="7" t="s">
        <v>31</v>
      </c>
      <c r="C29" s="8">
        <v>52031.472800000003</v>
      </c>
      <c r="D29" s="12">
        <v>2.0999999999999999E-3</v>
      </c>
      <c r="E29">
        <f t="shared" si="6"/>
        <v>1099.968630430863</v>
      </c>
      <c r="F29">
        <f t="shared" si="7"/>
        <v>1100</v>
      </c>
      <c r="G29">
        <f t="shared" si="8"/>
        <v>-1.0040000001026783E-2</v>
      </c>
      <c r="I29">
        <f t="shared" si="9"/>
        <v>-1.0040000001026783E-2</v>
      </c>
      <c r="O29">
        <f t="shared" ca="1" si="10"/>
        <v>-1.3956940261603731E-2</v>
      </c>
      <c r="Q29" s="1">
        <f t="shared" si="11"/>
        <v>37012.972800000003</v>
      </c>
    </row>
    <row r="30" spans="1:17" x14ac:dyDescent="0.2">
      <c r="A30" s="8" t="s">
        <v>32</v>
      </c>
      <c r="B30" s="7" t="s">
        <v>31</v>
      </c>
      <c r="C30" s="8">
        <v>52039.4715</v>
      </c>
      <c r="D30" s="12">
        <v>6.1999999999999998E-3</v>
      </c>
      <c r="E30">
        <f t="shared" si="6"/>
        <v>1124.9602412582274</v>
      </c>
      <c r="F30">
        <f t="shared" si="7"/>
        <v>1125</v>
      </c>
      <c r="G30">
        <f t="shared" si="8"/>
        <v>-1.2725000000500586E-2</v>
      </c>
      <c r="I30">
        <f t="shared" si="9"/>
        <v>-1.2725000000500586E-2</v>
      </c>
      <c r="O30">
        <f t="shared" ca="1" si="10"/>
        <v>-1.4242992685983318E-2</v>
      </c>
      <c r="Q30" s="1">
        <f t="shared" si="11"/>
        <v>37020.9715</v>
      </c>
    </row>
    <row r="31" spans="1:17" x14ac:dyDescent="0.2">
      <c r="A31" s="8" t="s">
        <v>32</v>
      </c>
      <c r="B31" s="7" t="s">
        <v>31</v>
      </c>
      <c r="C31" s="8">
        <v>52097.399599999997</v>
      </c>
      <c r="D31" s="12">
        <v>3.7000000000000002E-3</v>
      </c>
      <c r="E31">
        <f t="shared" si="6"/>
        <v>1305.9542191757921</v>
      </c>
      <c r="F31">
        <f t="shared" si="7"/>
        <v>1306</v>
      </c>
      <c r="G31">
        <f t="shared" si="8"/>
        <v>-1.46524000010686E-2</v>
      </c>
      <c r="I31">
        <f t="shared" si="9"/>
        <v>-1.46524000010686E-2</v>
      </c>
      <c r="O31">
        <f t="shared" ca="1" si="10"/>
        <v>-1.6314012238491531E-2</v>
      </c>
      <c r="Q31" s="1">
        <f t="shared" si="11"/>
        <v>37078.899599999997</v>
      </c>
    </row>
    <row r="32" spans="1:17" x14ac:dyDescent="0.2">
      <c r="A32" s="8" t="s">
        <v>32</v>
      </c>
      <c r="B32" s="7" t="s">
        <v>30</v>
      </c>
      <c r="C32" s="8">
        <v>52134.362699999998</v>
      </c>
      <c r="D32" s="12">
        <v>2.8999999999999998E-3</v>
      </c>
      <c r="E32">
        <f t="shared" si="6"/>
        <v>1421.4439125226343</v>
      </c>
      <c r="F32">
        <f t="shared" si="7"/>
        <v>1421.5</v>
      </c>
      <c r="G32">
        <f t="shared" si="8"/>
        <v>-1.7951100002392195E-2</v>
      </c>
      <c r="I32">
        <f t="shared" si="9"/>
        <v>-1.7951100002392195E-2</v>
      </c>
      <c r="O32">
        <f t="shared" ca="1" si="10"/>
        <v>-1.7635574439125223E-2</v>
      </c>
      <c r="Q32" s="1">
        <f t="shared" si="11"/>
        <v>37115.862699999998</v>
      </c>
    </row>
    <row r="33" spans="1:17" x14ac:dyDescent="0.2">
      <c r="A33" s="8" t="s">
        <v>32</v>
      </c>
      <c r="B33" s="7" t="s">
        <v>30</v>
      </c>
      <c r="C33" s="8">
        <v>52134.364099999999</v>
      </c>
      <c r="D33" s="12">
        <v>3.0000000000000001E-3</v>
      </c>
      <c r="E33">
        <f t="shared" si="6"/>
        <v>1421.4482867653467</v>
      </c>
      <c r="F33">
        <f t="shared" si="7"/>
        <v>1421.5</v>
      </c>
      <c r="G33">
        <f t="shared" si="8"/>
        <v>-1.6551100001379382E-2</v>
      </c>
      <c r="I33">
        <f t="shared" si="9"/>
        <v>-1.6551100001379382E-2</v>
      </c>
      <c r="O33">
        <f t="shared" ca="1" si="10"/>
        <v>-1.7635574439125223E-2</v>
      </c>
      <c r="Q33" s="1">
        <f t="shared" si="11"/>
        <v>37115.864099999999</v>
      </c>
    </row>
    <row r="34" spans="1:17" x14ac:dyDescent="0.2">
      <c r="A34" s="8" t="s">
        <v>32</v>
      </c>
      <c r="B34" s="7" t="s">
        <v>31</v>
      </c>
      <c r="C34" s="8">
        <v>52145.401299999998</v>
      </c>
      <c r="D34" s="12">
        <v>1.09E-2</v>
      </c>
      <c r="E34">
        <f t="shared" si="6"/>
        <v>1455.9335665012886</v>
      </c>
      <c r="F34">
        <f t="shared" si="7"/>
        <v>1456</v>
      </c>
      <c r="G34">
        <f t="shared" si="8"/>
        <v>-2.1262400005070958E-2</v>
      </c>
      <c r="I34">
        <f t="shared" si="9"/>
        <v>-2.1262400005070958E-2</v>
      </c>
      <c r="O34">
        <f t="shared" ca="1" si="10"/>
        <v>-1.8030326784769055E-2</v>
      </c>
      <c r="Q34" s="1">
        <f t="shared" si="11"/>
        <v>37126.901299999998</v>
      </c>
    </row>
    <row r="35" spans="1:17" x14ac:dyDescent="0.2">
      <c r="A35" s="8" t="s">
        <v>32</v>
      </c>
      <c r="B35" s="7" t="s">
        <v>31</v>
      </c>
      <c r="C35" s="8">
        <v>52367.518900000003</v>
      </c>
      <c r="D35" s="12">
        <v>3.5000000000000001E-3</v>
      </c>
      <c r="E35">
        <f t="shared" si="6"/>
        <v>2149.93091820979</v>
      </c>
      <c r="F35">
        <f t="shared" si="7"/>
        <v>2150</v>
      </c>
      <c r="G35">
        <f t="shared" si="8"/>
        <v>-2.2109999998065177E-2</v>
      </c>
      <c r="I35">
        <f t="shared" si="9"/>
        <v>-2.2109999998065177E-2</v>
      </c>
      <c r="O35">
        <f t="shared" ca="1" si="10"/>
        <v>-2.5971142085546399E-2</v>
      </c>
      <c r="Q35" s="1">
        <f t="shared" si="11"/>
        <v>37349.018900000003</v>
      </c>
    </row>
    <row r="36" spans="1:17" x14ac:dyDescent="0.2">
      <c r="A36" s="8" t="s">
        <v>32</v>
      </c>
      <c r="B36" s="7" t="s">
        <v>30</v>
      </c>
      <c r="C36" s="8">
        <v>52369.597099999999</v>
      </c>
      <c r="D36" s="12">
        <v>5.1999999999999998E-3</v>
      </c>
      <c r="E36">
        <f t="shared" si="6"/>
        <v>2156.4241690657241</v>
      </c>
      <c r="F36">
        <f t="shared" si="7"/>
        <v>2156.5</v>
      </c>
      <c r="G36">
        <f t="shared" si="8"/>
        <v>-2.4270100002468098E-2</v>
      </c>
      <c r="I36">
        <f t="shared" si="9"/>
        <v>-2.4270100002468098E-2</v>
      </c>
      <c r="O36">
        <f t="shared" ca="1" si="10"/>
        <v>-2.6045515715885093E-2</v>
      </c>
      <c r="Q36" s="1">
        <f t="shared" si="11"/>
        <v>37351.097099999999</v>
      </c>
    </row>
    <row r="37" spans="1:17" x14ac:dyDescent="0.2">
      <c r="A37" s="8" t="s">
        <v>32</v>
      </c>
      <c r="B37" s="7" t="s">
        <v>31</v>
      </c>
      <c r="C37" s="8">
        <v>52398.558100000002</v>
      </c>
      <c r="D37" s="12">
        <v>3.0000000000000001E-3</v>
      </c>
      <c r="E37">
        <f t="shared" si="6"/>
        <v>2246.9116284243319</v>
      </c>
      <c r="F37">
        <f t="shared" si="7"/>
        <v>2247</v>
      </c>
      <c r="G37">
        <f t="shared" si="8"/>
        <v>-2.82837999984622E-2</v>
      </c>
      <c r="I37">
        <f t="shared" si="9"/>
        <v>-2.82837999984622E-2</v>
      </c>
      <c r="O37">
        <f t="shared" ca="1" si="10"/>
        <v>-2.7081025492139199E-2</v>
      </c>
      <c r="Q37" s="1">
        <f t="shared" si="11"/>
        <v>37380.058100000002</v>
      </c>
    </row>
    <row r="38" spans="1:17" x14ac:dyDescent="0.2">
      <c r="A38" s="8" t="s">
        <v>32</v>
      </c>
      <c r="B38" s="7" t="s">
        <v>31</v>
      </c>
      <c r="C38" s="8">
        <v>52398.558499999999</v>
      </c>
      <c r="D38" s="12">
        <v>3.2000000000000002E-3</v>
      </c>
      <c r="E38">
        <f t="shared" si="6"/>
        <v>2246.9128782079542</v>
      </c>
      <c r="F38">
        <f t="shared" si="7"/>
        <v>2247</v>
      </c>
      <c r="G38">
        <f t="shared" si="8"/>
        <v>-2.7883800001291092E-2</v>
      </c>
      <c r="I38">
        <f t="shared" si="9"/>
        <v>-2.7883800001291092E-2</v>
      </c>
      <c r="O38">
        <f t="shared" ca="1" si="10"/>
        <v>-2.7081025492139199E-2</v>
      </c>
      <c r="Q38" s="1">
        <f t="shared" si="11"/>
        <v>37380.058499999999</v>
      </c>
    </row>
    <row r="39" spans="1:17" x14ac:dyDescent="0.2">
      <c r="A39" s="8" t="s">
        <v>32</v>
      </c>
      <c r="B39" s="7" t="s">
        <v>30</v>
      </c>
      <c r="C39" s="8">
        <v>52427.522400000002</v>
      </c>
      <c r="D39" s="12">
        <v>4.7999999999999996E-3</v>
      </c>
      <c r="E39">
        <f t="shared" si="6"/>
        <v>2337.4093984978867</v>
      </c>
      <c r="F39">
        <f t="shared" si="7"/>
        <v>2337.5</v>
      </c>
      <c r="G39">
        <f t="shared" si="8"/>
        <v>-2.8997499997785781E-2</v>
      </c>
      <c r="I39">
        <f t="shared" si="9"/>
        <v>-2.8997499997785781E-2</v>
      </c>
      <c r="O39">
        <f t="shared" ca="1" si="10"/>
        <v>-2.8116535268393306E-2</v>
      </c>
      <c r="Q39" s="1">
        <f t="shared" si="11"/>
        <v>37409.022400000002</v>
      </c>
    </row>
    <row r="40" spans="1:17" x14ac:dyDescent="0.2">
      <c r="A40" s="8" t="s">
        <v>32</v>
      </c>
      <c r="B40" s="7" t="s">
        <v>30</v>
      </c>
      <c r="C40" s="8">
        <v>52427.523200000003</v>
      </c>
      <c r="D40" s="12">
        <v>4.4999999999999997E-3</v>
      </c>
      <c r="E40">
        <f t="shared" si="6"/>
        <v>2337.4118980651542</v>
      </c>
      <c r="F40">
        <f t="shared" si="7"/>
        <v>2337.5</v>
      </c>
      <c r="G40">
        <f t="shared" si="8"/>
        <v>-2.8197499996167608E-2</v>
      </c>
      <c r="I40">
        <f t="shared" si="9"/>
        <v>-2.8197499996167608E-2</v>
      </c>
      <c r="O40">
        <f t="shared" ca="1" si="10"/>
        <v>-2.8116535268393306E-2</v>
      </c>
      <c r="Q40" s="1">
        <f t="shared" si="11"/>
        <v>37409.023200000003</v>
      </c>
    </row>
    <row r="41" spans="1:17" x14ac:dyDescent="0.2">
      <c r="A41" s="8" t="s">
        <v>32</v>
      </c>
      <c r="B41" s="7" t="s">
        <v>30</v>
      </c>
      <c r="C41" s="8">
        <v>52696.676299999999</v>
      </c>
      <c r="D41" s="12">
        <v>2E-3</v>
      </c>
      <c r="E41">
        <f t="shared" si="6"/>
        <v>3178.3697447379359</v>
      </c>
      <c r="F41">
        <f t="shared" si="7"/>
        <v>3178.5</v>
      </c>
      <c r="G41">
        <f t="shared" si="8"/>
        <v>-4.1688900004373863E-2</v>
      </c>
      <c r="I41">
        <f t="shared" si="9"/>
        <v>-4.1688900004373863E-2</v>
      </c>
      <c r="O41">
        <f t="shared" ca="1" si="10"/>
        <v>-3.7739338824522621E-2</v>
      </c>
      <c r="Q41" s="1">
        <f t="shared" si="11"/>
        <v>37678.176299999999</v>
      </c>
    </row>
    <row r="42" spans="1:17" x14ac:dyDescent="0.2">
      <c r="A42" s="8" t="s">
        <v>32</v>
      </c>
      <c r="B42" s="7" t="s">
        <v>30</v>
      </c>
      <c r="C42" s="8">
        <v>52696.676899999999</v>
      </c>
      <c r="D42" s="12">
        <v>1.6999999999999999E-3</v>
      </c>
      <c r="E42">
        <f t="shared" si="6"/>
        <v>3178.3716194133808</v>
      </c>
      <c r="F42">
        <f t="shared" si="7"/>
        <v>3178.5</v>
      </c>
      <c r="G42">
        <f t="shared" si="8"/>
        <v>-4.1088900004979223E-2</v>
      </c>
      <c r="I42">
        <f t="shared" si="9"/>
        <v>-4.1088900004979223E-2</v>
      </c>
      <c r="O42">
        <f t="shared" ca="1" si="10"/>
        <v>-3.7739338824522621E-2</v>
      </c>
      <c r="Q42" s="1">
        <f t="shared" si="11"/>
        <v>37678.176899999999</v>
      </c>
    </row>
    <row r="43" spans="1:17" x14ac:dyDescent="0.2">
      <c r="A43" s="8" t="s">
        <v>32</v>
      </c>
      <c r="B43" s="7" t="s">
        <v>30</v>
      </c>
      <c r="C43" s="8">
        <v>52697.639499999997</v>
      </c>
      <c r="D43" s="12">
        <v>4.1000000000000003E-3</v>
      </c>
      <c r="E43">
        <f t="shared" si="6"/>
        <v>3181.3792237218818</v>
      </c>
      <c r="F43">
        <f t="shared" si="7"/>
        <v>3181.5</v>
      </c>
      <c r="G43">
        <f t="shared" si="8"/>
        <v>-3.8655100004689302E-2</v>
      </c>
      <c r="I43">
        <f t="shared" si="9"/>
        <v>-3.8655100004689302E-2</v>
      </c>
      <c r="O43">
        <f t="shared" ca="1" si="10"/>
        <v>-3.777366511544817E-2</v>
      </c>
      <c r="Q43" s="1">
        <f t="shared" si="11"/>
        <v>37679.139499999997</v>
      </c>
    </row>
    <row r="44" spans="1:17" x14ac:dyDescent="0.2">
      <c r="A44" s="8" t="s">
        <v>32</v>
      </c>
      <c r="B44" s="7" t="s">
        <v>31</v>
      </c>
      <c r="C44" s="8">
        <v>52886.301200000002</v>
      </c>
      <c r="D44" s="12">
        <v>4.1000000000000003E-3</v>
      </c>
      <c r="E44">
        <f t="shared" si="6"/>
        <v>3770.8449849619801</v>
      </c>
      <c r="F44">
        <f t="shared" si="7"/>
        <v>3771</v>
      </c>
      <c r="G44">
        <f t="shared" si="8"/>
        <v>-4.9613399998634122E-2</v>
      </c>
      <c r="I44">
        <f t="shared" si="9"/>
        <v>-4.9613399998634122E-2</v>
      </c>
      <c r="O44">
        <f t="shared" ca="1" si="10"/>
        <v>-4.4518781282318842E-2</v>
      </c>
      <c r="Q44" s="1">
        <f t="shared" si="11"/>
        <v>37867.801200000002</v>
      </c>
    </row>
    <row r="45" spans="1:17" x14ac:dyDescent="0.2">
      <c r="A45" s="8" t="s">
        <v>32</v>
      </c>
      <c r="B45" s="7" t="s">
        <v>31</v>
      </c>
      <c r="C45" s="8">
        <v>52886.301899999999</v>
      </c>
      <c r="D45" s="12">
        <v>2.0999999999999999E-3</v>
      </c>
      <c r="E45">
        <f t="shared" si="6"/>
        <v>3770.8471720833249</v>
      </c>
      <c r="F45">
        <f t="shared" si="7"/>
        <v>3771</v>
      </c>
      <c r="G45">
        <f t="shared" si="8"/>
        <v>-4.8913400001765694E-2</v>
      </c>
      <c r="I45">
        <f t="shared" si="9"/>
        <v>-4.8913400001765694E-2</v>
      </c>
      <c r="O45">
        <f t="shared" ca="1" si="10"/>
        <v>-4.4518781282318842E-2</v>
      </c>
      <c r="Q45" s="1">
        <f t="shared" si="11"/>
        <v>37867.801899999999</v>
      </c>
    </row>
    <row r="46" spans="1:17" x14ac:dyDescent="0.2">
      <c r="A46" s="8" t="s">
        <v>32</v>
      </c>
      <c r="B46" s="7" t="s">
        <v>31</v>
      </c>
      <c r="C46" s="8">
        <v>53082.487800000003</v>
      </c>
      <c r="D46" s="12">
        <v>2.3999999999999998E-3</v>
      </c>
      <c r="E46">
        <f t="shared" si="6"/>
        <v>4383.8219883182774</v>
      </c>
      <c r="F46">
        <f t="shared" si="7"/>
        <v>4384</v>
      </c>
      <c r="G46">
        <f t="shared" si="8"/>
        <v>-5.6973599996126723E-2</v>
      </c>
      <c r="I46">
        <f t="shared" si="9"/>
        <v>-5.6973599996126723E-2</v>
      </c>
      <c r="O46">
        <f t="shared" ca="1" si="10"/>
        <v>-5.1532786728106322E-2</v>
      </c>
      <c r="Q46" s="1">
        <f t="shared" si="11"/>
        <v>38063.987800000003</v>
      </c>
    </row>
    <row r="47" spans="1:17" x14ac:dyDescent="0.2">
      <c r="A47" s="8" t="s">
        <v>32</v>
      </c>
      <c r="B47" s="7" t="s">
        <v>31</v>
      </c>
      <c r="C47" s="8">
        <v>53082.489800000003</v>
      </c>
      <c r="D47" s="12">
        <v>2.5000000000000001E-3</v>
      </c>
      <c r="E47">
        <f t="shared" si="6"/>
        <v>4383.8282372364347</v>
      </c>
      <c r="F47">
        <f t="shared" si="7"/>
        <v>4384</v>
      </c>
      <c r="G47">
        <f t="shared" si="8"/>
        <v>-5.4973599995719269E-2</v>
      </c>
      <c r="I47">
        <f t="shared" si="9"/>
        <v>-5.4973599995719269E-2</v>
      </c>
      <c r="O47">
        <f t="shared" ca="1" si="10"/>
        <v>-5.1532786728106322E-2</v>
      </c>
      <c r="Q47" s="1">
        <f t="shared" si="11"/>
        <v>38063.989800000003</v>
      </c>
    </row>
    <row r="48" spans="1:17" x14ac:dyDescent="0.2">
      <c r="A48" s="8" t="s">
        <v>32</v>
      </c>
      <c r="B48" s="7" t="s">
        <v>30</v>
      </c>
      <c r="C48" s="8">
        <v>53082.651299999998</v>
      </c>
      <c r="D48" s="12">
        <v>5.7999999999999996E-3</v>
      </c>
      <c r="E48">
        <f t="shared" si="6"/>
        <v>4384.3328373775184</v>
      </c>
      <c r="F48">
        <f t="shared" si="7"/>
        <v>4384.5</v>
      </c>
      <c r="G48">
        <f t="shared" si="8"/>
        <v>-5.3501300004427321E-2</v>
      </c>
      <c r="I48">
        <f t="shared" si="9"/>
        <v>-5.3501300004427321E-2</v>
      </c>
      <c r="O48">
        <f t="shared" ca="1" si="10"/>
        <v>-5.1538507776593918E-2</v>
      </c>
      <c r="Q48" s="1">
        <f t="shared" si="11"/>
        <v>38064.151299999998</v>
      </c>
    </row>
    <row r="49" spans="1:17" x14ac:dyDescent="0.2">
      <c r="A49" s="27" t="s">
        <v>42</v>
      </c>
      <c r="B49" s="34" t="s">
        <v>31</v>
      </c>
      <c r="C49" s="35">
        <v>53252.430500000002</v>
      </c>
      <c r="D49" s="35">
        <v>2.0999999999999999E-3</v>
      </c>
      <c r="E49" s="36">
        <f t="shared" si="6"/>
        <v>4914.8010000768654</v>
      </c>
      <c r="F49">
        <f t="shared" si="7"/>
        <v>4915</v>
      </c>
      <c r="G49">
        <f t="shared" si="8"/>
        <v>-6.3690999995742459E-2</v>
      </c>
      <c r="I49">
        <f t="shared" si="9"/>
        <v>-6.3690999995742459E-2</v>
      </c>
      <c r="O49">
        <f t="shared" ca="1" si="10"/>
        <v>-5.760854022192876E-2</v>
      </c>
      <c r="Q49" s="1">
        <f t="shared" si="11"/>
        <v>38233.930500000002</v>
      </c>
    </row>
    <row r="50" spans="1:17" x14ac:dyDescent="0.2">
      <c r="A50" s="37" t="s">
        <v>44</v>
      </c>
      <c r="B50" s="38" t="s">
        <v>31</v>
      </c>
      <c r="C50" s="37">
        <v>54994.750599999999</v>
      </c>
      <c r="D50" s="37">
        <v>5.9999999999999995E-4</v>
      </c>
      <c r="E50" s="36">
        <f t="shared" si="6"/>
        <v>10358.608853342259</v>
      </c>
      <c r="F50" s="33">
        <f>ROUND(2*E50,0)/2+0.5</f>
        <v>10359</v>
      </c>
      <c r="G50">
        <f t="shared" si="8"/>
        <v>-0.1251886000027298</v>
      </c>
      <c r="I50">
        <f t="shared" si="9"/>
        <v>-0.1251886000027298</v>
      </c>
      <c r="O50">
        <f t="shared" ca="1" si="10"/>
        <v>-0.11989931615482768</v>
      </c>
      <c r="Q50" s="1">
        <f t="shared" si="11"/>
        <v>39976.250599999999</v>
      </c>
    </row>
    <row r="51" spans="1:17" x14ac:dyDescent="0.2">
      <c r="A51" s="6" t="s">
        <v>45</v>
      </c>
      <c r="B51" s="39" t="s">
        <v>30</v>
      </c>
      <c r="C51" s="6">
        <v>55311.758600000001</v>
      </c>
      <c r="D51" s="6">
        <v>4.0000000000000002E-4</v>
      </c>
      <c r="E51" s="36">
        <f t="shared" si="6"/>
        <v>11349.087376747901</v>
      </c>
      <c r="F51" s="33">
        <f>ROUND(2*E51,0)/2+0.5</f>
        <v>11349.5</v>
      </c>
      <c r="G51">
        <f t="shared" si="8"/>
        <v>-0.1320622999992338</v>
      </c>
      <c r="I51">
        <f t="shared" si="9"/>
        <v>-0.1320622999992338</v>
      </c>
      <c r="O51">
        <f t="shared" ca="1" si="10"/>
        <v>-0.13123271320874694</v>
      </c>
      <c r="Q51" s="1">
        <f t="shared" si="11"/>
        <v>40293.258600000001</v>
      </c>
    </row>
    <row r="52" spans="1:17" x14ac:dyDescent="0.2">
      <c r="A52" s="6" t="s">
        <v>48</v>
      </c>
      <c r="B52" s="39" t="s">
        <v>30</v>
      </c>
      <c r="C52" s="6">
        <v>55720.778700000003</v>
      </c>
      <c r="D52" s="6">
        <v>5.9999999999999995E-4</v>
      </c>
      <c r="E52" s="36">
        <f t="shared" si="6"/>
        <v>12627.05394128642</v>
      </c>
      <c r="F52" s="33">
        <f>ROUND(2*E52,0)/2+0.5</f>
        <v>12627.5</v>
      </c>
      <c r="G52">
        <f t="shared" si="8"/>
        <v>-0.14276350000000093</v>
      </c>
      <c r="I52">
        <f t="shared" si="9"/>
        <v>-0.14276350000000093</v>
      </c>
      <c r="O52">
        <f t="shared" ca="1" si="10"/>
        <v>-0.14585571314303145</v>
      </c>
      <c r="Q52" s="1">
        <f t="shared" si="11"/>
        <v>40702.278700000003</v>
      </c>
    </row>
    <row r="53" spans="1:17" x14ac:dyDescent="0.2">
      <c r="A53" s="40" t="s">
        <v>49</v>
      </c>
      <c r="B53" s="41" t="s">
        <v>30</v>
      </c>
      <c r="C53" s="40">
        <v>56054.912400000001</v>
      </c>
      <c r="D53" s="40">
        <v>6.9999999999999999E-4</v>
      </c>
      <c r="E53" s="36">
        <f t="shared" si="6"/>
        <v>13671.041013524533</v>
      </c>
      <c r="F53" s="33">
        <f>ROUND(2*E53,0)/2+0.5</f>
        <v>13671.5</v>
      </c>
      <c r="G53">
        <f t="shared" si="8"/>
        <v>-0.14690110000083223</v>
      </c>
      <c r="I53">
        <f t="shared" si="9"/>
        <v>-0.14690110000083223</v>
      </c>
      <c r="O53">
        <f t="shared" ca="1" si="10"/>
        <v>-0.15780126238512301</v>
      </c>
      <c r="Q53" s="1">
        <f t="shared" si="11"/>
        <v>41036.412400000001</v>
      </c>
    </row>
    <row r="54" spans="1:17" x14ac:dyDescent="0.2">
      <c r="A54" s="8"/>
      <c r="B54" s="7"/>
      <c r="C54" s="8"/>
      <c r="D54" s="8"/>
      <c r="Q54" s="1"/>
    </row>
    <row r="55" spans="1:17" x14ac:dyDescent="0.2">
      <c r="A55" s="8"/>
      <c r="B55" s="7"/>
      <c r="C55" s="8"/>
      <c r="D55" s="8"/>
      <c r="Q55" s="1"/>
    </row>
    <row r="56" spans="1:17" x14ac:dyDescent="0.2">
      <c r="A56" s="8"/>
      <c r="B56" s="7"/>
      <c r="C56" s="8"/>
      <c r="D56" s="8"/>
      <c r="Q56" s="1"/>
    </row>
    <row r="57" spans="1:17" x14ac:dyDescent="0.2">
      <c r="A57" s="8"/>
      <c r="B57" s="7"/>
      <c r="C57" s="8"/>
      <c r="D57" s="8"/>
      <c r="Q57" s="1"/>
    </row>
    <row r="58" spans="1:17" x14ac:dyDescent="0.2">
      <c r="A58" s="8"/>
      <c r="B58" s="7"/>
      <c r="C58" s="8"/>
      <c r="D58" s="8"/>
      <c r="Q58" s="1"/>
    </row>
    <row r="59" spans="1:17" x14ac:dyDescent="0.2">
      <c r="A59" s="8"/>
      <c r="B59" s="7"/>
      <c r="C59" s="8"/>
      <c r="D59" s="8"/>
      <c r="Q59" s="1"/>
    </row>
    <row r="60" spans="1:17" x14ac:dyDescent="0.2">
      <c r="A60" s="8"/>
      <c r="B60" s="7"/>
      <c r="C60" s="8"/>
      <c r="D60" s="8"/>
      <c r="Q60" s="1"/>
    </row>
    <row r="61" spans="1:17" x14ac:dyDescent="0.2">
      <c r="A61" s="8"/>
      <c r="B61" s="7"/>
      <c r="C61" s="8"/>
      <c r="D61" s="8"/>
      <c r="Q61" s="1"/>
    </row>
    <row r="62" spans="1:17" x14ac:dyDescent="0.2">
      <c r="A62" s="8"/>
      <c r="B62" s="7"/>
      <c r="C62" s="8"/>
      <c r="D62" s="8"/>
      <c r="Q62" s="1"/>
    </row>
    <row r="63" spans="1:17" x14ac:dyDescent="0.2">
      <c r="A63" s="8"/>
      <c r="B63" s="7"/>
      <c r="C63" s="8"/>
      <c r="D63" s="12"/>
      <c r="Q63" s="1"/>
    </row>
    <row r="64" spans="1:17" x14ac:dyDescent="0.2">
      <c r="A64" s="8"/>
      <c r="B64" s="7"/>
      <c r="C64" s="8"/>
      <c r="D64" s="8"/>
      <c r="Q64" s="1"/>
    </row>
    <row r="65" spans="1:17" x14ac:dyDescent="0.2">
      <c r="A65" s="8"/>
      <c r="B65" s="7"/>
      <c r="C65" s="8"/>
      <c r="D65" s="8"/>
      <c r="Q65" s="1"/>
    </row>
    <row r="66" spans="1:17" x14ac:dyDescent="0.2">
      <c r="A66" s="8"/>
      <c r="B66" s="7"/>
      <c r="C66" s="8"/>
      <c r="D66" s="8"/>
      <c r="Q66" s="1"/>
    </row>
    <row r="67" spans="1:17" x14ac:dyDescent="0.2">
      <c r="A67" s="8"/>
      <c r="B67" s="7"/>
      <c r="C67" s="8"/>
      <c r="D67" s="8"/>
      <c r="Q67" s="1"/>
    </row>
    <row r="68" spans="1:17" x14ac:dyDescent="0.2">
      <c r="A68" s="8"/>
      <c r="B68" s="7"/>
      <c r="C68" s="8"/>
      <c r="D68" s="12"/>
      <c r="Q68" s="1"/>
    </row>
    <row r="69" spans="1:17" x14ac:dyDescent="0.2">
      <c r="A69" s="8"/>
      <c r="B69" s="7"/>
      <c r="C69" s="8"/>
      <c r="D69" s="8"/>
      <c r="Q69" s="1"/>
    </row>
    <row r="70" spans="1:17" x14ac:dyDescent="0.2">
      <c r="A70" s="8"/>
      <c r="B70" s="7"/>
      <c r="C70" s="8"/>
      <c r="D70" s="8"/>
      <c r="Q70" s="1"/>
    </row>
    <row r="71" spans="1:17" x14ac:dyDescent="0.2">
      <c r="A71" s="8"/>
      <c r="B71" s="7"/>
      <c r="C71" s="8"/>
      <c r="D71" s="12"/>
      <c r="Q71" s="1"/>
    </row>
    <row r="72" spans="1:17" x14ac:dyDescent="0.2">
      <c r="A72" s="8"/>
      <c r="B72" s="7"/>
      <c r="C72" s="8"/>
      <c r="D72" s="8"/>
      <c r="Q72" s="1"/>
    </row>
    <row r="73" spans="1:17" x14ac:dyDescent="0.2">
      <c r="A73" s="8"/>
      <c r="B73" s="7"/>
      <c r="C73" s="8"/>
      <c r="D73" s="8"/>
      <c r="Q73" s="1"/>
    </row>
    <row r="74" spans="1:17" x14ac:dyDescent="0.2">
      <c r="C74" s="11"/>
      <c r="D74" s="11"/>
    </row>
    <row r="75" spans="1:17" x14ac:dyDescent="0.2">
      <c r="C75" s="11"/>
      <c r="D75" s="11"/>
    </row>
    <row r="76" spans="1:17" x14ac:dyDescent="0.2">
      <c r="C76" s="11"/>
      <c r="D76" s="11"/>
    </row>
    <row r="77" spans="1:17" x14ac:dyDescent="0.2">
      <c r="C77" s="11"/>
      <c r="D77" s="11"/>
    </row>
    <row r="78" spans="1:17" x14ac:dyDescent="0.2">
      <c r="C78" s="11"/>
      <c r="D78" s="11"/>
    </row>
    <row r="79" spans="1:17" x14ac:dyDescent="0.2">
      <c r="C79" s="11"/>
      <c r="D79" s="11"/>
    </row>
    <row r="80" spans="1:17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8"/>
  <sheetViews>
    <sheetView workbookViewId="0">
      <selection activeCell="A35" sqref="A35:D36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2" t="s">
        <v>50</v>
      </c>
      <c r="I1" s="43" t="s">
        <v>51</v>
      </c>
      <c r="J1" s="44" t="s">
        <v>52</v>
      </c>
    </row>
    <row r="2" spans="1:16" x14ac:dyDescent="0.2">
      <c r="I2" s="45" t="s">
        <v>53</v>
      </c>
      <c r="J2" s="46" t="s">
        <v>54</v>
      </c>
    </row>
    <row r="3" spans="1:16" x14ac:dyDescent="0.2">
      <c r="A3" s="47" t="s">
        <v>55</v>
      </c>
      <c r="I3" s="45" t="s">
        <v>56</v>
      </c>
      <c r="J3" s="46" t="s">
        <v>57</v>
      </c>
    </row>
    <row r="4" spans="1:16" x14ac:dyDescent="0.2">
      <c r="I4" s="45" t="s">
        <v>58</v>
      </c>
      <c r="J4" s="46" t="s">
        <v>57</v>
      </c>
    </row>
    <row r="5" spans="1:16" ht="13.5" thickBot="1" x14ac:dyDescent="0.25">
      <c r="I5" s="48" t="s">
        <v>59</v>
      </c>
      <c r="J5" s="49" t="s">
        <v>60</v>
      </c>
    </row>
    <row r="10" spans="1:16" ht="13.5" thickBot="1" x14ac:dyDescent="0.25"/>
    <row r="11" spans="1:16" ht="12.75" customHeight="1" thickBot="1" x14ac:dyDescent="0.25">
      <c r="A11" s="11" t="str">
        <f t="shared" ref="A11:A36" si="0">P11</f>
        <v>IBVS 5287 </v>
      </c>
      <c r="B11" s="16" t="str">
        <f t="shared" ref="B11:B36" si="1">IF(H11=INT(H11),"I","II")</f>
        <v>II</v>
      </c>
      <c r="C11" s="11">
        <f t="shared" ref="C11:C36" si="2">1*G11</f>
        <v>51672.541499999999</v>
      </c>
      <c r="D11" s="14" t="str">
        <f t="shared" ref="D11:D36" si="3">VLOOKUP(F11,I$1:J$5,2,FALSE)</f>
        <v>vis</v>
      </c>
      <c r="E11" s="50">
        <f>VLOOKUP(C11,Active!C$21:E$971,3,FALSE)</f>
        <v>-21.497528240429087</v>
      </c>
      <c r="F11" s="16" t="s">
        <v>59</v>
      </c>
      <c r="G11" s="14" t="str">
        <f t="shared" ref="G11:G36" si="4">MID(I11,3,LEN(I11)-3)</f>
        <v>51672.5415</v>
      </c>
      <c r="H11" s="11">
        <f t="shared" ref="H11:H36" si="5">1*K11</f>
        <v>-2586.5</v>
      </c>
      <c r="I11" s="51" t="s">
        <v>61</v>
      </c>
      <c r="J11" s="52" t="s">
        <v>62</v>
      </c>
      <c r="K11" s="51">
        <v>-2586.5</v>
      </c>
      <c r="L11" s="51" t="s">
        <v>63</v>
      </c>
      <c r="M11" s="52" t="s">
        <v>64</v>
      </c>
      <c r="N11" s="52" t="s">
        <v>65</v>
      </c>
      <c r="O11" s="53" t="s">
        <v>66</v>
      </c>
      <c r="P11" s="54" t="s">
        <v>67</v>
      </c>
    </row>
    <row r="12" spans="1:16" ht="12.75" customHeight="1" thickBot="1" x14ac:dyDescent="0.25">
      <c r="A12" s="11" t="str">
        <f t="shared" si="0"/>
        <v>IBVS 5287 </v>
      </c>
      <c r="B12" s="16" t="str">
        <f t="shared" si="1"/>
        <v>II</v>
      </c>
      <c r="C12" s="11">
        <f t="shared" si="2"/>
        <v>51675.421399999999</v>
      </c>
      <c r="D12" s="14" t="str">
        <f t="shared" si="3"/>
        <v>vis</v>
      </c>
      <c r="E12" s="50">
        <f>VLOOKUP(C12,Active!C$21:E$971,3,FALSE)</f>
        <v>-12.499398541633482</v>
      </c>
      <c r="F12" s="16" t="s">
        <v>59</v>
      </c>
      <c r="G12" s="14" t="str">
        <f t="shared" si="4"/>
        <v>51675.4214</v>
      </c>
      <c r="H12" s="11">
        <f t="shared" si="5"/>
        <v>-2577.5</v>
      </c>
      <c r="I12" s="51" t="s">
        <v>68</v>
      </c>
      <c r="J12" s="52" t="s">
        <v>69</v>
      </c>
      <c r="K12" s="51">
        <v>-2577.5</v>
      </c>
      <c r="L12" s="51" t="s">
        <v>70</v>
      </c>
      <c r="M12" s="52" t="s">
        <v>64</v>
      </c>
      <c r="N12" s="52" t="s">
        <v>65</v>
      </c>
      <c r="O12" s="53" t="s">
        <v>66</v>
      </c>
      <c r="P12" s="54" t="s">
        <v>67</v>
      </c>
    </row>
    <row r="13" spans="1:16" ht="12.75" customHeight="1" thickBot="1" x14ac:dyDescent="0.25">
      <c r="A13" s="11" t="str">
        <f t="shared" si="0"/>
        <v>IBVS 5287 </v>
      </c>
      <c r="B13" s="16" t="str">
        <f t="shared" si="1"/>
        <v>I</v>
      </c>
      <c r="C13" s="11">
        <f t="shared" si="2"/>
        <v>51679.423699999999</v>
      </c>
      <c r="D13" s="14" t="str">
        <f t="shared" si="3"/>
        <v>vis</v>
      </c>
      <c r="E13" s="50">
        <f>VLOOKUP(C13,Active!C$21:E$971,3,FALSE)</f>
        <v>5.6240263347655467E-3</v>
      </c>
      <c r="F13" s="16" t="s">
        <v>59</v>
      </c>
      <c r="G13" s="14" t="str">
        <f t="shared" si="4"/>
        <v>51679.4237</v>
      </c>
      <c r="H13" s="11">
        <f t="shared" si="5"/>
        <v>-2565</v>
      </c>
      <c r="I13" s="51" t="s">
        <v>71</v>
      </c>
      <c r="J13" s="52" t="s">
        <v>72</v>
      </c>
      <c r="K13" s="51">
        <v>-2565</v>
      </c>
      <c r="L13" s="51" t="s">
        <v>73</v>
      </c>
      <c r="M13" s="52" t="s">
        <v>64</v>
      </c>
      <c r="N13" s="52" t="s">
        <v>65</v>
      </c>
      <c r="O13" s="53" t="s">
        <v>66</v>
      </c>
      <c r="P13" s="54" t="s">
        <v>67</v>
      </c>
    </row>
    <row r="14" spans="1:16" ht="12.75" customHeight="1" thickBot="1" x14ac:dyDescent="0.25">
      <c r="A14" s="11" t="str">
        <f t="shared" si="0"/>
        <v>IBVS 5287 </v>
      </c>
      <c r="B14" s="16" t="str">
        <f t="shared" si="1"/>
        <v>II</v>
      </c>
      <c r="C14" s="11">
        <f t="shared" si="2"/>
        <v>51721.511599999998</v>
      </c>
      <c r="D14" s="14" t="str">
        <f t="shared" si="3"/>
        <v>vis</v>
      </c>
      <c r="E14" s="50">
        <f>VLOOKUP(C14,Active!C$21:E$971,3,FALSE)</f>
        <v>131.50754525621755</v>
      </c>
      <c r="F14" s="16" t="s">
        <v>59</v>
      </c>
      <c r="G14" s="14" t="str">
        <f t="shared" si="4"/>
        <v>51721.5116</v>
      </c>
      <c r="H14" s="11">
        <f t="shared" si="5"/>
        <v>-2433.5</v>
      </c>
      <c r="I14" s="51" t="s">
        <v>74</v>
      </c>
      <c r="J14" s="52" t="s">
        <v>75</v>
      </c>
      <c r="K14" s="51">
        <v>-2433.5</v>
      </c>
      <c r="L14" s="51" t="s">
        <v>76</v>
      </c>
      <c r="M14" s="52" t="s">
        <v>64</v>
      </c>
      <c r="N14" s="52" t="s">
        <v>65</v>
      </c>
      <c r="O14" s="53" t="s">
        <v>66</v>
      </c>
      <c r="P14" s="54" t="s">
        <v>67</v>
      </c>
    </row>
    <row r="15" spans="1:16" ht="12.75" customHeight="1" thickBot="1" x14ac:dyDescent="0.25">
      <c r="A15" s="11" t="str">
        <f t="shared" si="0"/>
        <v>IBVS 5287 </v>
      </c>
      <c r="B15" s="16" t="str">
        <f t="shared" si="1"/>
        <v>II</v>
      </c>
      <c r="C15" s="11">
        <f t="shared" si="2"/>
        <v>51814.3217</v>
      </c>
      <c r="D15" s="14" t="str">
        <f t="shared" si="3"/>
        <v>vis</v>
      </c>
      <c r="E15" s="50">
        <f>VLOOKUP(C15,Active!C$21:E$971,3,FALSE)</f>
        <v>421.48890473336564</v>
      </c>
      <c r="F15" s="16" t="s">
        <v>59</v>
      </c>
      <c r="G15" s="14" t="str">
        <f t="shared" si="4"/>
        <v>51814.3217</v>
      </c>
      <c r="H15" s="11">
        <f t="shared" si="5"/>
        <v>-2143.5</v>
      </c>
      <c r="I15" s="51" t="s">
        <v>77</v>
      </c>
      <c r="J15" s="52" t="s">
        <v>78</v>
      </c>
      <c r="K15" s="51">
        <v>-2143.5</v>
      </c>
      <c r="L15" s="51" t="s">
        <v>79</v>
      </c>
      <c r="M15" s="52" t="s">
        <v>64</v>
      </c>
      <c r="N15" s="52" t="s">
        <v>65</v>
      </c>
      <c r="O15" s="53" t="s">
        <v>66</v>
      </c>
      <c r="P15" s="54" t="s">
        <v>67</v>
      </c>
    </row>
    <row r="16" spans="1:16" ht="12.75" customHeight="1" thickBot="1" x14ac:dyDescent="0.25">
      <c r="A16" s="11" t="str">
        <f t="shared" si="0"/>
        <v>IBVS 5583 </v>
      </c>
      <c r="B16" s="16" t="str">
        <f t="shared" si="1"/>
        <v>II</v>
      </c>
      <c r="C16" s="11">
        <f t="shared" si="2"/>
        <v>52002.508199999997</v>
      </c>
      <c r="D16" s="14" t="str">
        <f t="shared" si="3"/>
        <v>vis</v>
      </c>
      <c r="E16" s="50">
        <f>VLOOKUP(C16,Active!C$21:E$971,3,FALSE)</f>
        <v>1009.4699230195629</v>
      </c>
      <c r="F16" s="16" t="s">
        <v>59</v>
      </c>
      <c r="G16" s="14" t="str">
        <f t="shared" si="4"/>
        <v>52002.5082</v>
      </c>
      <c r="H16" s="11">
        <f t="shared" si="5"/>
        <v>-1555.5</v>
      </c>
      <c r="I16" s="51" t="s">
        <v>80</v>
      </c>
      <c r="J16" s="52" t="s">
        <v>81</v>
      </c>
      <c r="K16" s="51">
        <v>-1555.5</v>
      </c>
      <c r="L16" s="51" t="s">
        <v>82</v>
      </c>
      <c r="M16" s="52" t="s">
        <v>64</v>
      </c>
      <c r="N16" s="52" t="s">
        <v>65</v>
      </c>
      <c r="O16" s="53" t="s">
        <v>66</v>
      </c>
      <c r="P16" s="54" t="s">
        <v>83</v>
      </c>
    </row>
    <row r="17" spans="1:16" ht="12.75" customHeight="1" thickBot="1" x14ac:dyDescent="0.25">
      <c r="A17" s="11" t="str">
        <f t="shared" si="0"/>
        <v>IBVS 5583 </v>
      </c>
      <c r="B17" s="16" t="str">
        <f t="shared" si="1"/>
        <v>I</v>
      </c>
      <c r="C17" s="11">
        <f t="shared" si="2"/>
        <v>52023.468099999998</v>
      </c>
      <c r="D17" s="14" t="str">
        <f t="shared" si="3"/>
        <v>vis</v>
      </c>
      <c r="E17" s="50">
        <f>VLOOKUP(C17,Active!C$21:E$971,3,FALSE)</f>
        <v>1074.9582728490038</v>
      </c>
      <c r="F17" s="16" t="s">
        <v>59</v>
      </c>
      <c r="G17" s="14" t="str">
        <f t="shared" si="4"/>
        <v>52023.4681</v>
      </c>
      <c r="H17" s="11">
        <f t="shared" si="5"/>
        <v>-1490</v>
      </c>
      <c r="I17" s="51" t="s">
        <v>84</v>
      </c>
      <c r="J17" s="52" t="s">
        <v>85</v>
      </c>
      <c r="K17" s="51">
        <v>-1490</v>
      </c>
      <c r="L17" s="51" t="s">
        <v>86</v>
      </c>
      <c r="M17" s="52" t="s">
        <v>64</v>
      </c>
      <c r="N17" s="52" t="s">
        <v>65</v>
      </c>
      <c r="O17" s="53" t="s">
        <v>66</v>
      </c>
      <c r="P17" s="54" t="s">
        <v>83</v>
      </c>
    </row>
    <row r="18" spans="1:16" ht="12.75" customHeight="1" thickBot="1" x14ac:dyDescent="0.25">
      <c r="A18" s="11" t="str">
        <f t="shared" si="0"/>
        <v>IBVS 5583 </v>
      </c>
      <c r="B18" s="16" t="str">
        <f t="shared" si="1"/>
        <v>I</v>
      </c>
      <c r="C18" s="11">
        <f t="shared" si="2"/>
        <v>52031.472800000003</v>
      </c>
      <c r="D18" s="14" t="str">
        <f t="shared" si="3"/>
        <v>vis</v>
      </c>
      <c r="E18" s="50">
        <f>VLOOKUP(C18,Active!C$21:E$971,3,FALSE)</f>
        <v>1099.968630430863</v>
      </c>
      <c r="F18" s="16" t="s">
        <v>59</v>
      </c>
      <c r="G18" s="14" t="str">
        <f t="shared" si="4"/>
        <v>52031.4728</v>
      </c>
      <c r="H18" s="11">
        <f t="shared" si="5"/>
        <v>-1465</v>
      </c>
      <c r="I18" s="51" t="s">
        <v>87</v>
      </c>
      <c r="J18" s="52" t="s">
        <v>88</v>
      </c>
      <c r="K18" s="51">
        <v>-1465</v>
      </c>
      <c r="L18" s="51" t="s">
        <v>89</v>
      </c>
      <c r="M18" s="52" t="s">
        <v>64</v>
      </c>
      <c r="N18" s="52" t="s">
        <v>65</v>
      </c>
      <c r="O18" s="53" t="s">
        <v>66</v>
      </c>
      <c r="P18" s="54" t="s">
        <v>83</v>
      </c>
    </row>
    <row r="19" spans="1:16" ht="12.75" customHeight="1" thickBot="1" x14ac:dyDescent="0.25">
      <c r="A19" s="11" t="str">
        <f t="shared" si="0"/>
        <v>IBVS 5583 </v>
      </c>
      <c r="B19" s="16" t="str">
        <f t="shared" si="1"/>
        <v>I</v>
      </c>
      <c r="C19" s="11">
        <f t="shared" si="2"/>
        <v>52039.4715</v>
      </c>
      <c r="D19" s="14" t="str">
        <f t="shared" si="3"/>
        <v>vis</v>
      </c>
      <c r="E19" s="50">
        <f>VLOOKUP(C19,Active!C$21:E$971,3,FALSE)</f>
        <v>1124.9602412582274</v>
      </c>
      <c r="F19" s="16" t="s">
        <v>59</v>
      </c>
      <c r="G19" s="14" t="str">
        <f t="shared" si="4"/>
        <v>52039.4715</v>
      </c>
      <c r="H19" s="11">
        <f t="shared" si="5"/>
        <v>-1440</v>
      </c>
      <c r="I19" s="51" t="s">
        <v>90</v>
      </c>
      <c r="J19" s="52" t="s">
        <v>91</v>
      </c>
      <c r="K19" s="51">
        <v>-1440</v>
      </c>
      <c r="L19" s="51" t="s">
        <v>92</v>
      </c>
      <c r="M19" s="52" t="s">
        <v>64</v>
      </c>
      <c r="N19" s="52" t="s">
        <v>65</v>
      </c>
      <c r="O19" s="53" t="s">
        <v>66</v>
      </c>
      <c r="P19" s="54" t="s">
        <v>83</v>
      </c>
    </row>
    <row r="20" spans="1:16" ht="12.75" customHeight="1" thickBot="1" x14ac:dyDescent="0.25">
      <c r="A20" s="11" t="str">
        <f t="shared" si="0"/>
        <v>IBVS 5583 </v>
      </c>
      <c r="B20" s="16" t="str">
        <f t="shared" si="1"/>
        <v>I</v>
      </c>
      <c r="C20" s="11">
        <f t="shared" si="2"/>
        <v>52097.399599999997</v>
      </c>
      <c r="D20" s="14" t="str">
        <f t="shared" si="3"/>
        <v>vis</v>
      </c>
      <c r="E20" s="50">
        <f>VLOOKUP(C20,Active!C$21:E$971,3,FALSE)</f>
        <v>1305.9542191757921</v>
      </c>
      <c r="F20" s="16" t="s">
        <v>59</v>
      </c>
      <c r="G20" s="14" t="str">
        <f t="shared" si="4"/>
        <v>52097.3996</v>
      </c>
      <c r="H20" s="11">
        <f t="shared" si="5"/>
        <v>-1259</v>
      </c>
      <c r="I20" s="51" t="s">
        <v>93</v>
      </c>
      <c r="J20" s="52" t="s">
        <v>94</v>
      </c>
      <c r="K20" s="51">
        <v>-1259</v>
      </c>
      <c r="L20" s="51" t="s">
        <v>95</v>
      </c>
      <c r="M20" s="52" t="s">
        <v>64</v>
      </c>
      <c r="N20" s="52" t="s">
        <v>65</v>
      </c>
      <c r="O20" s="53" t="s">
        <v>66</v>
      </c>
      <c r="P20" s="54" t="s">
        <v>83</v>
      </c>
    </row>
    <row r="21" spans="1:16" ht="12.75" customHeight="1" thickBot="1" x14ac:dyDescent="0.25">
      <c r="A21" s="11" t="str">
        <f t="shared" si="0"/>
        <v>IBVS 5583 </v>
      </c>
      <c r="B21" s="16" t="str">
        <f t="shared" si="1"/>
        <v>II</v>
      </c>
      <c r="C21" s="11">
        <f t="shared" si="2"/>
        <v>52134.364099999999</v>
      </c>
      <c r="D21" s="14" t="str">
        <f t="shared" si="3"/>
        <v>vis</v>
      </c>
      <c r="E21" s="50">
        <f>VLOOKUP(C21,Active!C$21:E$971,3,FALSE)</f>
        <v>1421.4482867653467</v>
      </c>
      <c r="F21" s="16" t="s">
        <v>59</v>
      </c>
      <c r="G21" s="14" t="str">
        <f t="shared" si="4"/>
        <v>52134.3641</v>
      </c>
      <c r="H21" s="11">
        <f t="shared" si="5"/>
        <v>-1143.5</v>
      </c>
      <c r="I21" s="51" t="s">
        <v>96</v>
      </c>
      <c r="J21" s="52" t="s">
        <v>97</v>
      </c>
      <c r="K21" s="51">
        <v>-1143.5</v>
      </c>
      <c r="L21" s="51" t="s">
        <v>98</v>
      </c>
      <c r="M21" s="52" t="s">
        <v>64</v>
      </c>
      <c r="N21" s="52" t="s">
        <v>65</v>
      </c>
      <c r="O21" s="53" t="s">
        <v>66</v>
      </c>
      <c r="P21" s="54" t="s">
        <v>83</v>
      </c>
    </row>
    <row r="22" spans="1:16" ht="12.75" customHeight="1" thickBot="1" x14ac:dyDescent="0.25">
      <c r="A22" s="11" t="str">
        <f t="shared" si="0"/>
        <v>IBVS 5583 </v>
      </c>
      <c r="B22" s="16" t="str">
        <f t="shared" si="1"/>
        <v>I</v>
      </c>
      <c r="C22" s="11">
        <f t="shared" si="2"/>
        <v>52145.401299999998</v>
      </c>
      <c r="D22" s="14" t="str">
        <f t="shared" si="3"/>
        <v>vis</v>
      </c>
      <c r="E22" s="50">
        <f>VLOOKUP(C22,Active!C$21:E$971,3,FALSE)</f>
        <v>1455.9335665012886</v>
      </c>
      <c r="F22" s="16" t="s">
        <v>59</v>
      </c>
      <c r="G22" s="14" t="str">
        <f t="shared" si="4"/>
        <v>52145.4013</v>
      </c>
      <c r="H22" s="11">
        <f t="shared" si="5"/>
        <v>-1109</v>
      </c>
      <c r="I22" s="51" t="s">
        <v>99</v>
      </c>
      <c r="J22" s="52" t="s">
        <v>100</v>
      </c>
      <c r="K22" s="51">
        <v>-1109</v>
      </c>
      <c r="L22" s="51" t="s">
        <v>101</v>
      </c>
      <c r="M22" s="52" t="s">
        <v>64</v>
      </c>
      <c r="N22" s="52" t="s">
        <v>65</v>
      </c>
      <c r="O22" s="53" t="s">
        <v>66</v>
      </c>
      <c r="P22" s="54" t="s">
        <v>83</v>
      </c>
    </row>
    <row r="23" spans="1:16" ht="12.75" customHeight="1" thickBot="1" x14ac:dyDescent="0.25">
      <c r="A23" s="11" t="str">
        <f t="shared" si="0"/>
        <v>IBVS 5583 </v>
      </c>
      <c r="B23" s="16" t="str">
        <f t="shared" si="1"/>
        <v>I</v>
      </c>
      <c r="C23" s="11">
        <f t="shared" si="2"/>
        <v>52367.518900000003</v>
      </c>
      <c r="D23" s="14" t="str">
        <f t="shared" si="3"/>
        <v>vis</v>
      </c>
      <c r="E23" s="50">
        <f>VLOOKUP(C23,Active!C$21:E$971,3,FALSE)</f>
        <v>2149.93091820979</v>
      </c>
      <c r="F23" s="16" t="s">
        <v>59</v>
      </c>
      <c r="G23" s="14" t="str">
        <f t="shared" si="4"/>
        <v>52367.5189</v>
      </c>
      <c r="H23" s="11">
        <f t="shared" si="5"/>
        <v>-415</v>
      </c>
      <c r="I23" s="51" t="s">
        <v>102</v>
      </c>
      <c r="J23" s="52" t="s">
        <v>103</v>
      </c>
      <c r="K23" s="51">
        <v>-415</v>
      </c>
      <c r="L23" s="51" t="s">
        <v>104</v>
      </c>
      <c r="M23" s="52" t="s">
        <v>64</v>
      </c>
      <c r="N23" s="52" t="s">
        <v>65</v>
      </c>
      <c r="O23" s="53" t="s">
        <v>66</v>
      </c>
      <c r="P23" s="54" t="s">
        <v>83</v>
      </c>
    </row>
    <row r="24" spans="1:16" ht="12.75" customHeight="1" thickBot="1" x14ac:dyDescent="0.25">
      <c r="A24" s="11" t="str">
        <f t="shared" si="0"/>
        <v>IBVS 5583 </v>
      </c>
      <c r="B24" s="16" t="str">
        <f t="shared" si="1"/>
        <v>I</v>
      </c>
      <c r="C24" s="11">
        <f t="shared" si="2"/>
        <v>52398.558499999999</v>
      </c>
      <c r="D24" s="14" t="str">
        <f t="shared" si="3"/>
        <v>vis</v>
      </c>
      <c r="E24" s="50">
        <f>VLOOKUP(C24,Active!C$21:E$971,3,FALSE)</f>
        <v>2246.9128782079542</v>
      </c>
      <c r="F24" s="16" t="s">
        <v>59</v>
      </c>
      <c r="G24" s="14" t="str">
        <f t="shared" si="4"/>
        <v>52398.5585</v>
      </c>
      <c r="H24" s="11">
        <f t="shared" si="5"/>
        <v>-318</v>
      </c>
      <c r="I24" s="51" t="s">
        <v>109</v>
      </c>
      <c r="J24" s="52" t="s">
        <v>110</v>
      </c>
      <c r="K24" s="51">
        <v>-318</v>
      </c>
      <c r="L24" s="51" t="s">
        <v>111</v>
      </c>
      <c r="M24" s="52" t="s">
        <v>64</v>
      </c>
      <c r="N24" s="52" t="s">
        <v>65</v>
      </c>
      <c r="O24" s="53" t="s">
        <v>66</v>
      </c>
      <c r="P24" s="54" t="s">
        <v>83</v>
      </c>
    </row>
    <row r="25" spans="1:16" ht="12.75" customHeight="1" thickBot="1" x14ac:dyDescent="0.25">
      <c r="A25" s="11" t="str">
        <f t="shared" si="0"/>
        <v>IBVS 5583 </v>
      </c>
      <c r="B25" s="16" t="str">
        <f t="shared" si="1"/>
        <v>II</v>
      </c>
      <c r="C25" s="11">
        <f t="shared" si="2"/>
        <v>52427.522400000002</v>
      </c>
      <c r="D25" s="14" t="str">
        <f t="shared" si="3"/>
        <v>vis</v>
      </c>
      <c r="E25" s="50">
        <f>VLOOKUP(C25,Active!C$21:E$971,3,FALSE)</f>
        <v>2337.4093984978867</v>
      </c>
      <c r="F25" s="16" t="s">
        <v>59</v>
      </c>
      <c r="G25" s="14" t="str">
        <f t="shared" si="4"/>
        <v>52427.5224</v>
      </c>
      <c r="H25" s="11">
        <f t="shared" si="5"/>
        <v>-227.5</v>
      </c>
      <c r="I25" s="51" t="s">
        <v>112</v>
      </c>
      <c r="J25" s="52" t="s">
        <v>113</v>
      </c>
      <c r="K25" s="51">
        <v>-227.5</v>
      </c>
      <c r="L25" s="51" t="s">
        <v>114</v>
      </c>
      <c r="M25" s="52" t="s">
        <v>64</v>
      </c>
      <c r="N25" s="52" t="s">
        <v>65</v>
      </c>
      <c r="O25" s="53" t="s">
        <v>66</v>
      </c>
      <c r="P25" s="54" t="s">
        <v>83</v>
      </c>
    </row>
    <row r="26" spans="1:16" ht="12.75" customHeight="1" thickBot="1" x14ac:dyDescent="0.25">
      <c r="A26" s="11" t="str">
        <f t="shared" si="0"/>
        <v>IBVS 5583 </v>
      </c>
      <c r="B26" s="16" t="str">
        <f t="shared" si="1"/>
        <v>II</v>
      </c>
      <c r="C26" s="11">
        <f t="shared" si="2"/>
        <v>52696.676899999999</v>
      </c>
      <c r="D26" s="14" t="str">
        <f t="shared" si="3"/>
        <v>vis</v>
      </c>
      <c r="E26" s="50">
        <f>VLOOKUP(C26,Active!C$21:E$971,3,FALSE)</f>
        <v>3178.3716194133808</v>
      </c>
      <c r="F26" s="16" t="s">
        <v>59</v>
      </c>
      <c r="G26" s="14" t="str">
        <f t="shared" si="4"/>
        <v>52696.6769</v>
      </c>
      <c r="H26" s="11">
        <f t="shared" si="5"/>
        <v>613.5</v>
      </c>
      <c r="I26" s="51" t="s">
        <v>115</v>
      </c>
      <c r="J26" s="52" t="s">
        <v>116</v>
      </c>
      <c r="K26" s="51">
        <v>613.5</v>
      </c>
      <c r="L26" s="51" t="s">
        <v>117</v>
      </c>
      <c r="M26" s="52" t="s">
        <v>64</v>
      </c>
      <c r="N26" s="52" t="s">
        <v>65</v>
      </c>
      <c r="O26" s="53" t="s">
        <v>66</v>
      </c>
      <c r="P26" s="54" t="s">
        <v>83</v>
      </c>
    </row>
    <row r="27" spans="1:16" ht="12.75" customHeight="1" thickBot="1" x14ac:dyDescent="0.25">
      <c r="A27" s="11" t="str">
        <f t="shared" si="0"/>
        <v>IBVS 5583 </v>
      </c>
      <c r="B27" s="16" t="str">
        <f t="shared" si="1"/>
        <v>I</v>
      </c>
      <c r="C27" s="11">
        <f t="shared" si="2"/>
        <v>52886.301899999999</v>
      </c>
      <c r="D27" s="14" t="str">
        <f t="shared" si="3"/>
        <v>vis</v>
      </c>
      <c r="E27" s="50">
        <f>VLOOKUP(C27,Active!C$21:E$971,3,FALSE)</f>
        <v>3770.8471720833249</v>
      </c>
      <c r="F27" s="16" t="s">
        <v>59</v>
      </c>
      <c r="G27" s="14" t="str">
        <f t="shared" si="4"/>
        <v>52886.3019</v>
      </c>
      <c r="H27" s="11">
        <f t="shared" si="5"/>
        <v>1206</v>
      </c>
      <c r="I27" s="51" t="s">
        <v>121</v>
      </c>
      <c r="J27" s="52" t="s">
        <v>122</v>
      </c>
      <c r="K27" s="51">
        <v>1206</v>
      </c>
      <c r="L27" s="51" t="s">
        <v>123</v>
      </c>
      <c r="M27" s="52" t="s">
        <v>64</v>
      </c>
      <c r="N27" s="52" t="s">
        <v>65</v>
      </c>
      <c r="O27" s="53" t="s">
        <v>66</v>
      </c>
      <c r="P27" s="54" t="s">
        <v>83</v>
      </c>
    </row>
    <row r="28" spans="1:16" ht="12.75" customHeight="1" thickBot="1" x14ac:dyDescent="0.25">
      <c r="A28" s="11" t="str">
        <f t="shared" si="0"/>
        <v>IBVS 5583 </v>
      </c>
      <c r="B28" s="16" t="str">
        <f t="shared" si="1"/>
        <v>I</v>
      </c>
      <c r="C28" s="11">
        <f t="shared" si="2"/>
        <v>53082.487800000003</v>
      </c>
      <c r="D28" s="14" t="str">
        <f t="shared" si="3"/>
        <v>vis</v>
      </c>
      <c r="E28" s="50">
        <f>VLOOKUP(C28,Active!C$21:E$971,3,FALSE)</f>
        <v>4383.8219883182774</v>
      </c>
      <c r="F28" s="16" t="s">
        <v>59</v>
      </c>
      <c r="G28" s="14" t="str">
        <f t="shared" si="4"/>
        <v>53082.4878</v>
      </c>
      <c r="H28" s="11">
        <f t="shared" si="5"/>
        <v>1819</v>
      </c>
      <c r="I28" s="51" t="s">
        <v>124</v>
      </c>
      <c r="J28" s="52" t="s">
        <v>125</v>
      </c>
      <c r="K28" s="51">
        <v>1819</v>
      </c>
      <c r="L28" s="51" t="s">
        <v>126</v>
      </c>
      <c r="M28" s="52" t="s">
        <v>64</v>
      </c>
      <c r="N28" s="52" t="s">
        <v>65</v>
      </c>
      <c r="O28" s="53" t="s">
        <v>66</v>
      </c>
      <c r="P28" s="54" t="s">
        <v>83</v>
      </c>
    </row>
    <row r="29" spans="1:16" ht="12.75" customHeight="1" thickBot="1" x14ac:dyDescent="0.25">
      <c r="A29" s="11" t="str">
        <f t="shared" si="0"/>
        <v>IBVS 5583 </v>
      </c>
      <c r="B29" s="16" t="str">
        <f t="shared" si="1"/>
        <v>II</v>
      </c>
      <c r="C29" s="11">
        <f t="shared" si="2"/>
        <v>53082.651299999998</v>
      </c>
      <c r="D29" s="14" t="str">
        <f t="shared" si="3"/>
        <v>vis</v>
      </c>
      <c r="E29" s="50">
        <f>VLOOKUP(C29,Active!C$21:E$971,3,FALSE)</f>
        <v>4384.3328373775184</v>
      </c>
      <c r="F29" s="16" t="s">
        <v>59</v>
      </c>
      <c r="G29" s="14" t="str">
        <f t="shared" si="4"/>
        <v>53082.6513</v>
      </c>
      <c r="H29" s="11">
        <f t="shared" si="5"/>
        <v>1819.5</v>
      </c>
      <c r="I29" s="51" t="s">
        <v>127</v>
      </c>
      <c r="J29" s="52" t="s">
        <v>128</v>
      </c>
      <c r="K29" s="51">
        <v>1819.5</v>
      </c>
      <c r="L29" s="51" t="s">
        <v>129</v>
      </c>
      <c r="M29" s="52" t="s">
        <v>64</v>
      </c>
      <c r="N29" s="52" t="s">
        <v>65</v>
      </c>
      <c r="O29" s="53" t="s">
        <v>66</v>
      </c>
      <c r="P29" s="54" t="s">
        <v>83</v>
      </c>
    </row>
    <row r="30" spans="1:16" ht="12.75" customHeight="1" thickBot="1" x14ac:dyDescent="0.25">
      <c r="A30" s="11" t="str">
        <f t="shared" si="0"/>
        <v>IBVS 5741 </v>
      </c>
      <c r="B30" s="16" t="str">
        <f t="shared" si="1"/>
        <v>I</v>
      </c>
      <c r="C30" s="11">
        <f t="shared" si="2"/>
        <v>53252.430500000002</v>
      </c>
      <c r="D30" s="14" t="str">
        <f t="shared" si="3"/>
        <v>vis</v>
      </c>
      <c r="E30" s="50">
        <f>VLOOKUP(C30,Active!C$21:E$971,3,FALSE)</f>
        <v>4914.8010000768654</v>
      </c>
      <c r="F30" s="16" t="s">
        <v>59</v>
      </c>
      <c r="G30" s="14" t="str">
        <f t="shared" si="4"/>
        <v>53252.4305</v>
      </c>
      <c r="H30" s="11">
        <f t="shared" si="5"/>
        <v>2350</v>
      </c>
      <c r="I30" s="51" t="s">
        <v>130</v>
      </c>
      <c r="J30" s="52" t="s">
        <v>131</v>
      </c>
      <c r="K30" s="51">
        <v>2350</v>
      </c>
      <c r="L30" s="51" t="s">
        <v>132</v>
      </c>
      <c r="M30" s="52" t="s">
        <v>64</v>
      </c>
      <c r="N30" s="52" t="s">
        <v>108</v>
      </c>
      <c r="O30" s="53" t="s">
        <v>133</v>
      </c>
      <c r="P30" s="54" t="s">
        <v>134</v>
      </c>
    </row>
    <row r="31" spans="1:16" ht="12.75" customHeight="1" thickBot="1" x14ac:dyDescent="0.25">
      <c r="A31" s="11" t="str">
        <f t="shared" si="0"/>
        <v>IBVS 5894 </v>
      </c>
      <c r="B31" s="16" t="str">
        <f t="shared" si="1"/>
        <v>I</v>
      </c>
      <c r="C31" s="11">
        <f t="shared" si="2"/>
        <v>54994.750599999999</v>
      </c>
      <c r="D31" s="14" t="str">
        <f t="shared" si="3"/>
        <v>vis</v>
      </c>
      <c r="E31" s="50">
        <f>VLOOKUP(C31,Active!C$21:E$971,3,FALSE)</f>
        <v>10358.608853342259</v>
      </c>
      <c r="F31" s="16" t="s">
        <v>59</v>
      </c>
      <c r="G31" s="14" t="str">
        <f t="shared" si="4"/>
        <v>54994.7506</v>
      </c>
      <c r="H31" s="11">
        <f t="shared" si="5"/>
        <v>7794</v>
      </c>
      <c r="I31" s="51" t="s">
        <v>135</v>
      </c>
      <c r="J31" s="52" t="s">
        <v>136</v>
      </c>
      <c r="K31" s="51">
        <v>7794</v>
      </c>
      <c r="L31" s="51" t="s">
        <v>137</v>
      </c>
      <c r="M31" s="52" t="s">
        <v>138</v>
      </c>
      <c r="N31" s="52" t="s">
        <v>59</v>
      </c>
      <c r="O31" s="53" t="s">
        <v>139</v>
      </c>
      <c r="P31" s="54" t="s">
        <v>140</v>
      </c>
    </row>
    <row r="32" spans="1:16" ht="12.75" customHeight="1" thickBot="1" x14ac:dyDescent="0.25">
      <c r="A32" s="11" t="str">
        <f t="shared" si="0"/>
        <v>IBVS 5945 </v>
      </c>
      <c r="B32" s="16" t="str">
        <f t="shared" si="1"/>
        <v>II</v>
      </c>
      <c r="C32" s="11">
        <f t="shared" si="2"/>
        <v>55311.758600000001</v>
      </c>
      <c r="D32" s="14" t="str">
        <f t="shared" si="3"/>
        <v>vis</v>
      </c>
      <c r="E32" s="50">
        <f>VLOOKUP(C32,Active!C$21:E$971,3,FALSE)</f>
        <v>11349.087376747901</v>
      </c>
      <c r="F32" s="16" t="s">
        <v>59</v>
      </c>
      <c r="G32" s="14" t="str">
        <f t="shared" si="4"/>
        <v>55311.7586</v>
      </c>
      <c r="H32" s="11">
        <f t="shared" si="5"/>
        <v>8784.5</v>
      </c>
      <c r="I32" s="51" t="s">
        <v>141</v>
      </c>
      <c r="J32" s="52" t="s">
        <v>142</v>
      </c>
      <c r="K32" s="51">
        <v>8784.5</v>
      </c>
      <c r="L32" s="51" t="s">
        <v>143</v>
      </c>
      <c r="M32" s="52" t="s">
        <v>138</v>
      </c>
      <c r="N32" s="52" t="s">
        <v>59</v>
      </c>
      <c r="O32" s="53" t="s">
        <v>139</v>
      </c>
      <c r="P32" s="54" t="s">
        <v>144</v>
      </c>
    </row>
    <row r="33" spans="1:16" ht="12.75" customHeight="1" thickBot="1" x14ac:dyDescent="0.25">
      <c r="A33" s="11" t="str">
        <f t="shared" si="0"/>
        <v>IBVS 5992 </v>
      </c>
      <c r="B33" s="16" t="str">
        <f t="shared" si="1"/>
        <v>II</v>
      </c>
      <c r="C33" s="11">
        <f t="shared" si="2"/>
        <v>55720.778700000003</v>
      </c>
      <c r="D33" s="14" t="str">
        <f t="shared" si="3"/>
        <v>vis</v>
      </c>
      <c r="E33" s="50">
        <f>VLOOKUP(C33,Active!C$21:E$971,3,FALSE)</f>
        <v>12627.05394128642</v>
      </c>
      <c r="F33" s="16" t="s">
        <v>59</v>
      </c>
      <c r="G33" s="14" t="str">
        <f t="shared" si="4"/>
        <v>55720.7787</v>
      </c>
      <c r="H33" s="11">
        <f t="shared" si="5"/>
        <v>10062.5</v>
      </c>
      <c r="I33" s="51" t="s">
        <v>145</v>
      </c>
      <c r="J33" s="52" t="s">
        <v>146</v>
      </c>
      <c r="K33" s="51">
        <v>10062.5</v>
      </c>
      <c r="L33" s="51" t="s">
        <v>147</v>
      </c>
      <c r="M33" s="52" t="s">
        <v>138</v>
      </c>
      <c r="N33" s="52" t="s">
        <v>59</v>
      </c>
      <c r="O33" s="53" t="s">
        <v>139</v>
      </c>
      <c r="P33" s="54" t="s">
        <v>148</v>
      </c>
    </row>
    <row r="34" spans="1:16" ht="12.75" customHeight="1" thickBot="1" x14ac:dyDescent="0.25">
      <c r="A34" s="11" t="str">
        <f t="shared" si="0"/>
        <v>IBVS 6029 </v>
      </c>
      <c r="B34" s="16" t="str">
        <f t="shared" si="1"/>
        <v>II</v>
      </c>
      <c r="C34" s="11">
        <f t="shared" si="2"/>
        <v>56054.912400000001</v>
      </c>
      <c r="D34" s="14" t="str">
        <f t="shared" si="3"/>
        <v>vis</v>
      </c>
      <c r="E34" s="50">
        <f>VLOOKUP(C34,Active!C$21:E$971,3,FALSE)</f>
        <v>13671.041013524533</v>
      </c>
      <c r="F34" s="16" t="s">
        <v>59</v>
      </c>
      <c r="G34" s="14" t="str">
        <f t="shared" si="4"/>
        <v>56054.9124</v>
      </c>
      <c r="H34" s="11">
        <f t="shared" si="5"/>
        <v>11106.5</v>
      </c>
      <c r="I34" s="51" t="s">
        <v>149</v>
      </c>
      <c r="J34" s="52" t="s">
        <v>150</v>
      </c>
      <c r="K34" s="51">
        <v>11106.5</v>
      </c>
      <c r="L34" s="51" t="s">
        <v>151</v>
      </c>
      <c r="M34" s="52" t="s">
        <v>138</v>
      </c>
      <c r="N34" s="52" t="s">
        <v>59</v>
      </c>
      <c r="O34" s="53" t="s">
        <v>139</v>
      </c>
      <c r="P34" s="54" t="s">
        <v>152</v>
      </c>
    </row>
    <row r="35" spans="1:16" ht="12.75" customHeight="1" thickBot="1" x14ac:dyDescent="0.25">
      <c r="A35" s="11" t="str">
        <f t="shared" si="0"/>
        <v>IBVS 5583 </v>
      </c>
      <c r="B35" s="16" t="str">
        <f t="shared" si="1"/>
        <v>II</v>
      </c>
      <c r="C35" s="11">
        <f t="shared" si="2"/>
        <v>52369.587099999997</v>
      </c>
      <c r="D35" s="14" t="str">
        <f t="shared" si="3"/>
        <v>vis</v>
      </c>
      <c r="E35" s="50" t="e">
        <f>VLOOKUP(C35,Active!C$21:E$971,3,FALSE)</f>
        <v>#N/A</v>
      </c>
      <c r="F35" s="16" t="s">
        <v>59</v>
      </c>
      <c r="G35" s="14" t="str">
        <f t="shared" si="4"/>
        <v>52369.5871</v>
      </c>
      <c r="H35" s="11">
        <f t="shared" si="5"/>
        <v>-408.5</v>
      </c>
      <c r="I35" s="51" t="s">
        <v>105</v>
      </c>
      <c r="J35" s="52" t="s">
        <v>106</v>
      </c>
      <c r="K35" s="51">
        <v>-408.5</v>
      </c>
      <c r="L35" s="51" t="s">
        <v>107</v>
      </c>
      <c r="M35" s="52" t="s">
        <v>64</v>
      </c>
      <c r="N35" s="52" t="s">
        <v>108</v>
      </c>
      <c r="O35" s="53" t="s">
        <v>66</v>
      </c>
      <c r="P35" s="54" t="s">
        <v>83</v>
      </c>
    </row>
    <row r="36" spans="1:16" ht="12.75" customHeight="1" thickBot="1" x14ac:dyDescent="0.25">
      <c r="A36" s="11" t="str">
        <f t="shared" si="0"/>
        <v>IBVS 5583 </v>
      </c>
      <c r="B36" s="16" t="str">
        <f t="shared" si="1"/>
        <v>II</v>
      </c>
      <c r="C36" s="11">
        <f t="shared" si="2"/>
        <v>52697.637900000002</v>
      </c>
      <c r="D36" s="14" t="str">
        <f t="shared" si="3"/>
        <v>vis</v>
      </c>
      <c r="E36" s="50" t="e">
        <f>VLOOKUP(C36,Active!C$21:E$971,3,FALSE)</f>
        <v>#N/A</v>
      </c>
      <c r="F36" s="16" t="s">
        <v>59</v>
      </c>
      <c r="G36" s="14" t="str">
        <f t="shared" si="4"/>
        <v>52697.6379</v>
      </c>
      <c r="H36" s="11">
        <f t="shared" si="5"/>
        <v>616.5</v>
      </c>
      <c r="I36" s="51" t="s">
        <v>118</v>
      </c>
      <c r="J36" s="52" t="s">
        <v>119</v>
      </c>
      <c r="K36" s="51">
        <v>616.5</v>
      </c>
      <c r="L36" s="51" t="s">
        <v>120</v>
      </c>
      <c r="M36" s="52" t="s">
        <v>64</v>
      </c>
      <c r="N36" s="52" t="s">
        <v>65</v>
      </c>
      <c r="O36" s="53" t="s">
        <v>66</v>
      </c>
      <c r="P36" s="54" t="s">
        <v>83</v>
      </c>
    </row>
    <row r="37" spans="1:16" x14ac:dyDescent="0.2">
      <c r="B37" s="16"/>
      <c r="E37" s="50"/>
      <c r="F37" s="16"/>
    </row>
    <row r="38" spans="1:16" x14ac:dyDescent="0.2">
      <c r="B38" s="16"/>
      <c r="E38" s="50"/>
      <c r="F38" s="16"/>
    </row>
    <row r="39" spans="1:16" x14ac:dyDescent="0.2">
      <c r="B39" s="16"/>
      <c r="E39" s="50"/>
      <c r="F39" s="16"/>
    </row>
    <row r="40" spans="1:16" x14ac:dyDescent="0.2">
      <c r="B40" s="16"/>
      <c r="E40" s="50"/>
      <c r="F40" s="16"/>
    </row>
    <row r="41" spans="1:16" x14ac:dyDescent="0.2">
      <c r="B41" s="16"/>
      <c r="E41" s="50"/>
      <c r="F41" s="16"/>
    </row>
    <row r="42" spans="1:16" x14ac:dyDescent="0.2">
      <c r="B42" s="16"/>
      <c r="E42" s="50"/>
      <c r="F42" s="16"/>
    </row>
    <row r="43" spans="1:16" x14ac:dyDescent="0.2">
      <c r="B43" s="16"/>
      <c r="E43" s="50"/>
      <c r="F43" s="16"/>
    </row>
    <row r="44" spans="1:16" x14ac:dyDescent="0.2">
      <c r="B44" s="16"/>
      <c r="E44" s="50"/>
      <c r="F44" s="16"/>
    </row>
    <row r="45" spans="1:16" x14ac:dyDescent="0.2">
      <c r="B45" s="16"/>
      <c r="E45" s="50"/>
      <c r="F45" s="16"/>
    </row>
    <row r="46" spans="1:16" x14ac:dyDescent="0.2">
      <c r="B46" s="16"/>
      <c r="E46" s="50"/>
      <c r="F46" s="16"/>
    </row>
    <row r="47" spans="1:16" x14ac:dyDescent="0.2">
      <c r="B47" s="16"/>
      <c r="E47" s="50"/>
      <c r="F47" s="16"/>
    </row>
    <row r="48" spans="1:16" x14ac:dyDescent="0.2">
      <c r="B48" s="16"/>
      <c r="E48" s="50"/>
      <c r="F48" s="16"/>
    </row>
    <row r="49" spans="2:6" x14ac:dyDescent="0.2">
      <c r="B49" s="16"/>
      <c r="E49" s="50"/>
      <c r="F49" s="16"/>
    </row>
    <row r="50" spans="2:6" x14ac:dyDescent="0.2">
      <c r="B50" s="16"/>
      <c r="E50" s="50"/>
      <c r="F50" s="16"/>
    </row>
    <row r="51" spans="2:6" x14ac:dyDescent="0.2">
      <c r="B51" s="16"/>
      <c r="E51" s="50"/>
      <c r="F51" s="16"/>
    </row>
    <row r="52" spans="2:6" x14ac:dyDescent="0.2">
      <c r="B52" s="16"/>
      <c r="E52" s="50"/>
      <c r="F52" s="16"/>
    </row>
    <row r="53" spans="2:6" x14ac:dyDescent="0.2">
      <c r="B53" s="16"/>
      <c r="E53" s="50"/>
      <c r="F53" s="16"/>
    </row>
    <row r="54" spans="2:6" x14ac:dyDescent="0.2">
      <c r="B54" s="16"/>
      <c r="E54" s="50"/>
      <c r="F54" s="16"/>
    </row>
    <row r="55" spans="2:6" x14ac:dyDescent="0.2">
      <c r="B55" s="16"/>
      <c r="E55" s="50"/>
      <c r="F55" s="16"/>
    </row>
    <row r="56" spans="2:6" x14ac:dyDescent="0.2">
      <c r="B56" s="16"/>
      <c r="E56" s="50"/>
      <c r="F56" s="16"/>
    </row>
    <row r="57" spans="2:6" x14ac:dyDescent="0.2">
      <c r="B57" s="16"/>
      <c r="E57" s="50"/>
      <c r="F57" s="16"/>
    </row>
    <row r="58" spans="2:6" x14ac:dyDescent="0.2">
      <c r="B58" s="16"/>
      <c r="E58" s="50"/>
      <c r="F58" s="16"/>
    </row>
    <row r="59" spans="2:6" x14ac:dyDescent="0.2">
      <c r="B59" s="16"/>
      <c r="E59" s="50"/>
      <c r="F59" s="16"/>
    </row>
    <row r="60" spans="2:6" x14ac:dyDescent="0.2">
      <c r="B60" s="16"/>
      <c r="E60" s="50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  <row r="833" spans="2:6" x14ac:dyDescent="0.2">
      <c r="B833" s="16"/>
      <c r="F833" s="16"/>
    </row>
    <row r="834" spans="2:6" x14ac:dyDescent="0.2">
      <c r="B834" s="16"/>
      <c r="F834" s="16"/>
    </row>
    <row r="835" spans="2:6" x14ac:dyDescent="0.2">
      <c r="B835" s="16"/>
      <c r="F835" s="16"/>
    </row>
    <row r="836" spans="2:6" x14ac:dyDescent="0.2">
      <c r="B836" s="16"/>
      <c r="F836" s="16"/>
    </row>
    <row r="837" spans="2:6" x14ac:dyDescent="0.2">
      <c r="B837" s="16"/>
      <c r="F837" s="16"/>
    </row>
    <row r="838" spans="2:6" x14ac:dyDescent="0.2">
      <c r="B838" s="16"/>
      <c r="F838" s="16"/>
    </row>
    <row r="839" spans="2:6" x14ac:dyDescent="0.2">
      <c r="B839" s="16"/>
      <c r="F839" s="16"/>
    </row>
    <row r="840" spans="2:6" x14ac:dyDescent="0.2">
      <c r="B840" s="16"/>
      <c r="F840" s="16"/>
    </row>
    <row r="841" spans="2:6" x14ac:dyDescent="0.2">
      <c r="B841" s="16"/>
      <c r="F841" s="16"/>
    </row>
    <row r="842" spans="2:6" x14ac:dyDescent="0.2">
      <c r="B842" s="16"/>
      <c r="F842" s="16"/>
    </row>
    <row r="843" spans="2:6" x14ac:dyDescent="0.2">
      <c r="B843" s="16"/>
      <c r="F843" s="16"/>
    </row>
    <row r="844" spans="2:6" x14ac:dyDescent="0.2">
      <c r="B844" s="16"/>
      <c r="F844" s="16"/>
    </row>
    <row r="845" spans="2:6" x14ac:dyDescent="0.2">
      <c r="B845" s="16"/>
      <c r="F845" s="16"/>
    </row>
    <row r="846" spans="2:6" x14ac:dyDescent="0.2">
      <c r="B846" s="16"/>
      <c r="F846" s="16"/>
    </row>
    <row r="847" spans="2:6" x14ac:dyDescent="0.2">
      <c r="B847" s="16"/>
      <c r="F847" s="16"/>
    </row>
    <row r="848" spans="2:6" x14ac:dyDescent="0.2">
      <c r="B848" s="16"/>
      <c r="F848" s="16"/>
    </row>
  </sheetData>
  <phoneticPr fontId="6" type="noConversion"/>
  <hyperlinks>
    <hyperlink ref="P11" r:id="rId1" display="http://www.konkoly.hu/cgi-bin/IBVS?5287"/>
    <hyperlink ref="P12" r:id="rId2" display="http://www.konkoly.hu/cgi-bin/IBVS?5287"/>
    <hyperlink ref="P13" r:id="rId3" display="http://www.konkoly.hu/cgi-bin/IBVS?5287"/>
    <hyperlink ref="P14" r:id="rId4" display="http://www.konkoly.hu/cgi-bin/IBVS?5287"/>
    <hyperlink ref="P15" r:id="rId5" display="http://www.konkoly.hu/cgi-bin/IBVS?5287"/>
    <hyperlink ref="P16" r:id="rId6" display="http://www.konkoly.hu/cgi-bin/IBVS?5583"/>
    <hyperlink ref="P17" r:id="rId7" display="http://www.konkoly.hu/cgi-bin/IBVS?5583"/>
    <hyperlink ref="P18" r:id="rId8" display="http://www.konkoly.hu/cgi-bin/IBVS?5583"/>
    <hyperlink ref="P19" r:id="rId9" display="http://www.konkoly.hu/cgi-bin/IBVS?5583"/>
    <hyperlink ref="P20" r:id="rId10" display="http://www.konkoly.hu/cgi-bin/IBVS?5583"/>
    <hyperlink ref="P21" r:id="rId11" display="http://www.konkoly.hu/cgi-bin/IBVS?5583"/>
    <hyperlink ref="P22" r:id="rId12" display="http://www.konkoly.hu/cgi-bin/IBVS?5583"/>
    <hyperlink ref="P23" r:id="rId13" display="http://www.konkoly.hu/cgi-bin/IBVS?5583"/>
    <hyperlink ref="P35" r:id="rId14" display="http://www.konkoly.hu/cgi-bin/IBVS?5583"/>
    <hyperlink ref="P24" r:id="rId15" display="http://www.konkoly.hu/cgi-bin/IBVS?5583"/>
    <hyperlink ref="P25" r:id="rId16" display="http://www.konkoly.hu/cgi-bin/IBVS?5583"/>
    <hyperlink ref="P26" r:id="rId17" display="http://www.konkoly.hu/cgi-bin/IBVS?5583"/>
    <hyperlink ref="P36" r:id="rId18" display="http://www.konkoly.hu/cgi-bin/IBVS?5583"/>
    <hyperlink ref="P27" r:id="rId19" display="http://www.konkoly.hu/cgi-bin/IBVS?5583"/>
    <hyperlink ref="P28" r:id="rId20" display="http://www.konkoly.hu/cgi-bin/IBVS?5583"/>
    <hyperlink ref="P29" r:id="rId21" display="http://www.konkoly.hu/cgi-bin/IBVS?5583"/>
    <hyperlink ref="P30" r:id="rId22" display="http://www.konkoly.hu/cgi-bin/IBVS?5741"/>
    <hyperlink ref="P31" r:id="rId23" display="http://www.konkoly.hu/cgi-bin/IBVS?5894"/>
    <hyperlink ref="P32" r:id="rId24" display="http://www.konkoly.hu/cgi-bin/IBVS?5945"/>
    <hyperlink ref="P33" r:id="rId25" display="http://www.konkoly.hu/cgi-bin/IBVS?5992"/>
    <hyperlink ref="P34" r:id="rId26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2024-02-14T03:51:31Z</dcterms:modified>
</cp:coreProperties>
</file>