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B2C170-2822-4176-8F00-DC612F9EA4D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 s="1"/>
  <c r="U45" i="1" s="1"/>
  <c r="E46" i="1"/>
  <c r="F46" i="1" s="1"/>
  <c r="G46" i="1" s="1"/>
  <c r="I46" i="1" s="1"/>
  <c r="E26" i="1"/>
  <c r="F26" i="1" s="1"/>
  <c r="G26" i="1" s="1"/>
  <c r="H26" i="1" s="1"/>
  <c r="E27" i="1"/>
  <c r="F27" i="1" s="1"/>
  <c r="G27" i="1" s="1"/>
  <c r="H27" i="1" s="1"/>
  <c r="E28" i="1"/>
  <c r="F28" i="1" s="1"/>
  <c r="G28" i="1" s="1"/>
  <c r="H28" i="1" s="1"/>
  <c r="E29" i="1"/>
  <c r="F29" i="1" s="1"/>
  <c r="G29" i="1" s="1"/>
  <c r="H29" i="1" s="1"/>
  <c r="E30" i="1"/>
  <c r="F30" i="1" s="1"/>
  <c r="G30" i="1" s="1"/>
  <c r="H30" i="1" s="1"/>
  <c r="E31" i="1"/>
  <c r="F31" i="1" s="1"/>
  <c r="G31" i="1" s="1"/>
  <c r="H31" i="1" s="1"/>
  <c r="E32" i="1"/>
  <c r="F32" i="1" s="1"/>
  <c r="G32" i="1" s="1"/>
  <c r="H32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E36" i="1"/>
  <c r="F36" i="1" s="1"/>
  <c r="G36" i="1" s="1"/>
  <c r="H36" i="1" s="1"/>
  <c r="E37" i="1"/>
  <c r="F37" i="1" s="1"/>
  <c r="G37" i="1" s="1"/>
  <c r="H37" i="1" s="1"/>
  <c r="E38" i="1"/>
  <c r="F38" i="1" s="1"/>
  <c r="G38" i="1" s="1"/>
  <c r="H38" i="1" s="1"/>
  <c r="E39" i="1"/>
  <c r="F39" i="1" s="1"/>
  <c r="G39" i="1" s="1"/>
  <c r="H39" i="1" s="1"/>
  <c r="E40" i="1"/>
  <c r="F40" i="1" s="1"/>
  <c r="G40" i="1" s="1"/>
  <c r="H40" i="1" s="1"/>
  <c r="E41" i="1"/>
  <c r="F41" i="1" s="1"/>
  <c r="G41" i="1" s="1"/>
  <c r="H41" i="1" s="1"/>
  <c r="E42" i="1"/>
  <c r="F42" i="1" s="1"/>
  <c r="G42" i="1" s="1"/>
  <c r="H42" i="1" s="1"/>
  <c r="E43" i="1"/>
  <c r="F43" i="1" s="1"/>
  <c r="G43" i="1" s="1"/>
  <c r="H43" i="1" s="1"/>
  <c r="E44" i="1"/>
  <c r="F44" i="1" s="1"/>
  <c r="G44" i="1" s="1"/>
  <c r="H44" i="1" s="1"/>
  <c r="E47" i="1"/>
  <c r="F47" i="1" s="1"/>
  <c r="G47" i="1" s="1"/>
  <c r="J47" i="1" s="1"/>
  <c r="E48" i="1"/>
  <c r="F48" i="1" s="1"/>
  <c r="G48" i="1" s="1"/>
  <c r="J48" i="1" s="1"/>
  <c r="E49" i="1"/>
  <c r="F49" i="1" s="1"/>
  <c r="G49" i="1" s="1"/>
  <c r="J49" i="1" s="1"/>
  <c r="E50" i="1"/>
  <c r="F50" i="1" s="1"/>
  <c r="G50" i="1" s="1"/>
  <c r="J50" i="1" s="1"/>
  <c r="Q45" i="1"/>
  <c r="Q46" i="1"/>
  <c r="G36" i="2"/>
  <c r="C36" i="2"/>
  <c r="E36" i="2"/>
  <c r="G35" i="2"/>
  <c r="C35" i="2"/>
  <c r="E35" i="2"/>
  <c r="G34" i="2"/>
  <c r="C34" i="2"/>
  <c r="E34" i="2"/>
  <c r="G38" i="2"/>
  <c r="C38" i="2"/>
  <c r="E38" i="2"/>
  <c r="G37" i="2"/>
  <c r="C37" i="2"/>
  <c r="E37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G12" i="2"/>
  <c r="C12" i="2"/>
  <c r="G11" i="2"/>
  <c r="C11" i="2"/>
  <c r="H36" i="2"/>
  <c r="B36" i="2"/>
  <c r="D36" i="2"/>
  <c r="A36" i="2"/>
  <c r="H35" i="2"/>
  <c r="D35" i="2"/>
  <c r="B35" i="2"/>
  <c r="A35" i="2"/>
  <c r="H34" i="2"/>
  <c r="B34" i="2"/>
  <c r="D34" i="2"/>
  <c r="A34" i="2"/>
  <c r="H38" i="2"/>
  <c r="D38" i="2"/>
  <c r="B38" i="2"/>
  <c r="A38" i="2"/>
  <c r="H37" i="2"/>
  <c r="B37" i="2"/>
  <c r="D37" i="2"/>
  <c r="A37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F11" i="1"/>
  <c r="Q50" i="1"/>
  <c r="Q48" i="1"/>
  <c r="Q49" i="1"/>
  <c r="Q47" i="1"/>
  <c r="E22" i="1"/>
  <c r="E11" i="2" s="1"/>
  <c r="E23" i="1"/>
  <c r="F23" i="1" s="1"/>
  <c r="G23" i="1" s="1"/>
  <c r="H23" i="1" s="1"/>
  <c r="E24" i="1"/>
  <c r="E13" i="2" s="1"/>
  <c r="E25" i="1"/>
  <c r="F25" i="1" s="1"/>
  <c r="G25" i="1" s="1"/>
  <c r="H25" i="1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R22" i="1"/>
  <c r="G11" i="1"/>
  <c r="E21" i="1"/>
  <c r="F21" i="1" s="1"/>
  <c r="G21" i="1" s="1"/>
  <c r="H21" i="1" s="1"/>
  <c r="E15" i="1"/>
  <c r="C17" i="1"/>
  <c r="Q21" i="1"/>
  <c r="F24" i="1" l="1"/>
  <c r="G24" i="1" s="1"/>
  <c r="H24" i="1" s="1"/>
  <c r="F22" i="1"/>
  <c r="G22" i="1" s="1"/>
  <c r="E14" i="2"/>
  <c r="E12" i="2"/>
  <c r="C11" i="1"/>
  <c r="C12" i="1"/>
  <c r="C16" i="1" l="1"/>
  <c r="D18" i="1" s="1"/>
  <c r="O49" i="1"/>
  <c r="O45" i="1"/>
  <c r="O30" i="1"/>
  <c r="O39" i="1"/>
  <c r="O43" i="1"/>
  <c r="O46" i="1"/>
  <c r="C15" i="1"/>
  <c r="C18" i="1" s="1"/>
  <c r="O37" i="1"/>
  <c r="O47" i="1"/>
  <c r="O41" i="1"/>
  <c r="O31" i="1"/>
  <c r="O36" i="1"/>
  <c r="O33" i="1"/>
  <c r="O22" i="1"/>
  <c r="O29" i="1"/>
  <c r="O48" i="1"/>
  <c r="O42" i="1"/>
  <c r="O27" i="1"/>
  <c r="O23" i="1"/>
  <c r="O26" i="1"/>
  <c r="O44" i="1"/>
  <c r="O28" i="1"/>
  <c r="O50" i="1"/>
  <c r="O32" i="1"/>
  <c r="O40" i="1"/>
  <c r="O34" i="1"/>
  <c r="O35" i="1"/>
  <c r="O21" i="1"/>
  <c r="O25" i="1"/>
  <c r="O38" i="1"/>
  <c r="O24" i="1"/>
  <c r="H22" i="1"/>
  <c r="E16" i="1" l="1"/>
  <c r="E17" i="1" s="1"/>
</calcChain>
</file>

<file path=xl/sharedStrings.xml><?xml version="1.0" encoding="utf-8"?>
<sst xmlns="http://schemas.openxmlformats.org/spreadsheetml/2006/main" count="293" uniqueCount="155">
  <si>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</si>
  <si>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</si>
  <si>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</si>
  <si>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</si>
  <si>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</si>
  <si>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</si>
  <si>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</si>
  <si>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</si>
  <si>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</si>
  <si>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</si>
  <si>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</si>
  <si>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</si>
  <si>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</si>
  <si>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</si>
  <si>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</si>
  <si>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</si>
  <si>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</si>
  <si>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</si>
  <si>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</si>
  <si>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</si>
  <si>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</si>
  <si>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</si>
  <si>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</si>
  <si>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</si>
  <si>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</si>
  <si>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</si>
  <si>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</si>
  <si>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</si>
  <si>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</si>
  <si>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</si>
  <si>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</si>
  <si>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</si>
  <si>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</si>
  <si>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</si>
  <si>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</si>
  <si>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</si>
  <si>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4125</t>
  </si>
  <si>
    <t>EA</t>
  </si>
  <si>
    <t>IBVS 4125 Eph.</t>
  </si>
  <si>
    <t>OEJV 107</t>
  </si>
  <si>
    <t>IBVS 6070</t>
  </si>
  <si>
    <t>I</t>
  </si>
  <si>
    <t>V0865 Her / GSC 3079-0534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</si>
  <si>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</si>
  <si>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</si>
  <si>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</si>
  <si>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</si>
  <si>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</si>
  <si>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</si>
  <si>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</si>
  <si>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</si>
  <si>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</si>
  <si>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</si>
  <si>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</si>
  <si>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</si>
  <si>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</si>
  <si>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2441565.28 </t>
  </si>
  <si>
    <t> 04.09.1972 18:43 </t>
  </si>
  <si>
    <t> 0.02 </t>
  </si>
  <si>
    <t>P </t>
  </si>
  <si>
    <t> S.V.Antipin </t>
  </si>
  <si>
    <t>IBVS 4125 </t>
  </si>
  <si>
    <t>2441570.28 </t>
  </si>
  <si>
    <t> 09.09.1972 18:43 </t>
  </si>
  <si>
    <t> -0.07 </t>
  </si>
  <si>
    <t>2441840.42 </t>
  </si>
  <si>
    <t> 06.06.1973 22:04 </t>
  </si>
  <si>
    <t>2441947.33 </t>
  </si>
  <si>
    <t> 21.09.1973 19:55 </t>
  </si>
  <si>
    <t>2441952.36 </t>
  </si>
  <si>
    <t> 26.09.1973 20:38 </t>
  </si>
  <si>
    <t> -0.13 </t>
  </si>
  <si>
    <t>2442212.43 </t>
  </si>
  <si>
    <t> 13.06.1974 22:19 </t>
  </si>
  <si>
    <t> 0.08 </t>
  </si>
  <si>
    <t>2442217.43 </t>
  </si>
  <si>
    <t> 18.06.1974 22:19 </t>
  </si>
  <si>
    <t> -0.01 </t>
  </si>
  <si>
    <t>2442309.24 </t>
  </si>
  <si>
    <t> 18.09.1974 17:45 </t>
  </si>
  <si>
    <t> 0.09 </t>
  </si>
  <si>
    <t>2442365.16 </t>
  </si>
  <si>
    <t> 13.11.1974 15:50 </t>
  </si>
  <si>
    <t> -0.04 </t>
  </si>
  <si>
    <t>2442686.28 </t>
  </si>
  <si>
    <t> 30.09.1975 18:43 </t>
  </si>
  <si>
    <t>2442869.47 </t>
  </si>
  <si>
    <t> 31.03.1976 23:16 </t>
  </si>
  <si>
    <t> -0.16 </t>
  </si>
  <si>
    <t>2442920.50 </t>
  </si>
  <si>
    <t> 22.05.1976 00:00 </t>
  </si>
  <si>
    <t> -0.08 </t>
  </si>
  <si>
    <t>2443017.38 </t>
  </si>
  <si>
    <t> 26.08.1976 21:07 </t>
  </si>
  <si>
    <t>2443659.43 </t>
  </si>
  <si>
    <t> 30.05.1978 22:19 </t>
  </si>
  <si>
    <t> 0.05 </t>
  </si>
  <si>
    <t>2443807.20 </t>
  </si>
  <si>
    <t> 25.10.1978 16:48 </t>
  </si>
  <si>
    <t> 0.06 </t>
  </si>
  <si>
    <t>2443934.54 </t>
  </si>
  <si>
    <t> 02.03.1979 00:57 </t>
  </si>
  <si>
    <t>2445524.36 </t>
  </si>
  <si>
    <t> 08.07.1983 20:38 </t>
  </si>
  <si>
    <t> 0.13 </t>
  </si>
  <si>
    <t>2445529.39 </t>
  </si>
  <si>
    <t> 13.07.1983 21:21 </t>
  </si>
  <si>
    <t> 0.07 </t>
  </si>
  <si>
    <t>2445580.30 </t>
  </si>
  <si>
    <t> 02.09.1983 19:12 </t>
  </si>
  <si>
    <t> 0.03 </t>
  </si>
  <si>
    <t>2445585.34 </t>
  </si>
  <si>
    <t> 07.09.1983 20:09 </t>
  </si>
  <si>
    <t> -0.03 </t>
  </si>
  <si>
    <t>2445911.39 </t>
  </si>
  <si>
    <t> 29.07.1984 21:21 </t>
  </si>
  <si>
    <t>2447027.32 </t>
  </si>
  <si>
    <t> 19.08.1987 19:40 </t>
  </si>
  <si>
    <t> 0.01 </t>
  </si>
  <si>
    <t>2447679.44 </t>
  </si>
  <si>
    <t> 01.06.1989 22:33 </t>
  </si>
  <si>
    <t> -0.06 </t>
  </si>
  <si>
    <t>2451698.47 </t>
  </si>
  <si>
    <t> 02.06.2000 23:16 </t>
  </si>
  <si>
    <t> -1.14 </t>
  </si>
  <si>
    <t>E </t>
  </si>
  <si>
    <t>?</t>
  </si>
  <si>
    <t> A.Paschke </t>
  </si>
  <si>
    <t> BBS 123 </t>
  </si>
  <si>
    <t>2454206.4319 </t>
  </si>
  <si>
    <t> 15.04.2007 22:21 </t>
  </si>
  <si>
    <t> -0.0149 </t>
  </si>
  <si>
    <t>C </t>
  </si>
  <si>
    <t>R</t>
  </si>
  <si>
    <t> M.Lehky </t>
  </si>
  <si>
    <t>OEJV 0107 </t>
  </si>
  <si>
    <t>2455388.5064 </t>
  </si>
  <si>
    <t> 11.07.2010 00:09 </t>
  </si>
  <si>
    <t> -0.0268 </t>
  </si>
  <si>
    <t>-I</t>
  </si>
  <si>
    <t> F.Agerer </t>
  </si>
  <si>
    <t>BAVM 215 </t>
  </si>
  <si>
    <t>2456132.4249 </t>
  </si>
  <si>
    <t> 23.07.2012 22:11 </t>
  </si>
  <si>
    <t>712</t>
  </si>
  <si>
    <t> -0.0075 </t>
  </si>
  <si>
    <t>BAVM 231 </t>
  </si>
  <si>
    <t>2456728.5843 </t>
  </si>
  <si>
    <t> 12.03.2014 02:01 </t>
  </si>
  <si>
    <t>829</t>
  </si>
  <si>
    <t> 0.0135 </t>
  </si>
  <si>
    <t>o</t>
  </si>
  <si>
    <t> W.Moschner &amp; P.Frank </t>
  </si>
  <si>
    <t>BAVM 239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</si>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</sst>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V0865 Her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4.559999999764841E-2</c:v>
                </c:pt>
                <c:pt idx="2">
                  <c:v>-4.9599999998463318E-2</c:v>
                </c:pt>
                <c:pt idx="3">
                  <c:v>4.4800000003306195E-2</c:v>
                </c:pt>
                <c:pt idx="4">
                  <c:v>-4.439999999885913E-2</c:v>
                </c:pt>
                <c:pt idx="5">
                  <c:v>-0.10959999999613501</c:v>
                </c:pt>
                <c:pt idx="6">
                  <c:v>0.10520000000542495</c:v>
                </c:pt>
                <c:pt idx="7">
                  <c:v>1.0000000002037268E-2</c:v>
                </c:pt>
                <c:pt idx="8">
                  <c:v>0.10639999999693828</c:v>
                </c:pt>
                <c:pt idx="9">
                  <c:v>-2.0799999998416752E-2</c:v>
                </c:pt>
                <c:pt idx="10">
                  <c:v>0.10160000000178115</c:v>
                </c:pt>
                <c:pt idx="11">
                  <c:v>-0.13559999999415595</c:v>
                </c:pt>
                <c:pt idx="12">
                  <c:v>-5.7600000000093132E-2</c:v>
                </c:pt>
                <c:pt idx="13">
                  <c:v>1.359999999840511E-2</c:v>
                </c:pt>
                <c:pt idx="14">
                  <c:v>6.8400000003748573E-2</c:v>
                </c:pt>
                <c:pt idx="15">
                  <c:v>7.7599999996891711E-2</c:v>
                </c:pt>
                <c:pt idx="16">
                  <c:v>3.7600000003294554E-2</c:v>
                </c:pt>
                <c:pt idx="17">
                  <c:v>0.15520000000105938</c:v>
                </c:pt>
                <c:pt idx="18">
                  <c:v>9.0000000003783498E-2</c:v>
                </c:pt>
                <c:pt idx="19">
                  <c:v>4.8000000002502929E-2</c:v>
                </c:pt>
                <c:pt idx="20">
                  <c:v>-7.2000000000116415E-3</c:v>
                </c:pt>
                <c:pt idx="21">
                  <c:v>-4.9999999995634425E-2</c:v>
                </c:pt>
                <c:pt idx="22">
                  <c:v>3.1200000004901085E-2</c:v>
                </c:pt>
                <c:pt idx="23">
                  <c:v>-3.4399999996821862E-2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DA-40E9-B9C5-942DCDDFE7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5">
                  <c:v>6.300000000919681E-3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DA-40E9-B9C5-942DCDDFE7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6">
                  <c:v>6.389999995008111E-3</c:v>
                </c:pt>
                <c:pt idx="27">
                  <c:v>-5.6000000040512532E-3</c:v>
                </c:pt>
                <c:pt idx="28">
                  <c:v>1.3699999995878898E-2</c:v>
                </c:pt>
                <c:pt idx="29">
                  <c:v>3.4700000003795139E-2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DA-40E9-B9C5-942DCDDFE7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DA-40E9-B9C5-942DCDDFE7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DA-40E9-B9C5-942DCDDFE7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DA-40E9-B9C5-942DCDDFE7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1E-3</c:v>
                  </c:pt>
                  <c:pt idx="27">
                    <c:v>1.46E-2</c:v>
                  </c:pt>
                  <c:pt idx="28">
                    <c:v>1.2500000000000001E-2</c:v>
                  </c:pt>
                  <c:pt idx="2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DA-40E9-B9C5-942DCDDFE7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1.6004915709672263E-2</c:v>
                </c:pt>
                <c:pt idx="1">
                  <c:v>1.588980565834329E-2</c:v>
                </c:pt>
                <c:pt idx="2">
                  <c:v>1.5890704955619298E-2</c:v>
                </c:pt>
                <c:pt idx="3">
                  <c:v>1.5938367711247702E-2</c:v>
                </c:pt>
                <c:pt idx="4">
                  <c:v>1.5957252954043859E-2</c:v>
                </c:pt>
                <c:pt idx="5">
                  <c:v>1.5958152251319867E-2</c:v>
                </c:pt>
                <c:pt idx="6">
                  <c:v>1.6004016412396255E-2</c:v>
                </c:pt>
                <c:pt idx="7">
                  <c:v>1.6004915709672263E-2</c:v>
                </c:pt>
                <c:pt idx="8">
                  <c:v>1.6021103060640401E-2</c:v>
                </c:pt>
                <c:pt idx="9">
                  <c:v>1.6030995330676485E-2</c:v>
                </c:pt>
                <c:pt idx="10">
                  <c:v>1.6087651059064963E-2</c:v>
                </c:pt>
                <c:pt idx="11">
                  <c:v>1.6120025761001237E-2</c:v>
                </c:pt>
                <c:pt idx="12">
                  <c:v>1.6129018733761314E-2</c:v>
                </c:pt>
                <c:pt idx="13">
                  <c:v>1.6146105382005459E-2</c:v>
                </c:pt>
                <c:pt idx="14">
                  <c:v>1.6259416838782417E-2</c:v>
                </c:pt>
                <c:pt idx="15">
                  <c:v>1.6285496459786639E-2</c:v>
                </c:pt>
                <c:pt idx="16">
                  <c:v>1.6307978891686829E-2</c:v>
                </c:pt>
                <c:pt idx="17">
                  <c:v>1.6588559641801202E-2</c:v>
                </c:pt>
                <c:pt idx="18">
                  <c:v>1.658945893907721E-2</c:v>
                </c:pt>
                <c:pt idx="19">
                  <c:v>1.6598451911837286E-2</c:v>
                </c:pt>
                <c:pt idx="20">
                  <c:v>1.6599351209113294E-2</c:v>
                </c:pt>
                <c:pt idx="21">
                  <c:v>1.665690623477778E-2</c:v>
                </c:pt>
                <c:pt idx="22">
                  <c:v>1.6853852338223448E-2</c:v>
                </c:pt>
                <c:pt idx="23">
                  <c:v>1.6968962389552422E-2</c:v>
                </c:pt>
                <c:pt idx="24">
                  <c:v>1.7678507940322427E-2</c:v>
                </c:pt>
                <c:pt idx="25">
                  <c:v>1.8120962200118169E-2</c:v>
                </c:pt>
                <c:pt idx="26">
                  <c:v>1.8120962200118169E-2</c:v>
                </c:pt>
                <c:pt idx="27">
                  <c:v>1.8329599168151935E-2</c:v>
                </c:pt>
                <c:pt idx="28">
                  <c:v>1.8460896570449047E-2</c:v>
                </c:pt>
                <c:pt idx="29">
                  <c:v>1.8566114351741936E-2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DA-40E9-B9C5-942DCDDFE71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-128</c:v>
                </c:pt>
                <c:pt idx="2">
                  <c:v>-127</c:v>
                </c:pt>
                <c:pt idx="3">
                  <c:v>-74</c:v>
                </c:pt>
                <c:pt idx="4">
                  <c:v>-53</c:v>
                </c:pt>
                <c:pt idx="5">
                  <c:v>-52</c:v>
                </c:pt>
                <c:pt idx="6">
                  <c:v>-1</c:v>
                </c:pt>
                <c:pt idx="7">
                  <c:v>0</c:v>
                </c:pt>
                <c:pt idx="8">
                  <c:v>18</c:v>
                </c:pt>
                <c:pt idx="9">
                  <c:v>29</c:v>
                </c:pt>
                <c:pt idx="10">
                  <c:v>92</c:v>
                </c:pt>
                <c:pt idx="11">
                  <c:v>128</c:v>
                </c:pt>
                <c:pt idx="12">
                  <c:v>138</c:v>
                </c:pt>
                <c:pt idx="13">
                  <c:v>157</c:v>
                </c:pt>
                <c:pt idx="14">
                  <c:v>283</c:v>
                </c:pt>
                <c:pt idx="15">
                  <c:v>312</c:v>
                </c:pt>
                <c:pt idx="16">
                  <c:v>337</c:v>
                </c:pt>
                <c:pt idx="17">
                  <c:v>649</c:v>
                </c:pt>
                <c:pt idx="18">
                  <c:v>650</c:v>
                </c:pt>
                <c:pt idx="19">
                  <c:v>660</c:v>
                </c:pt>
                <c:pt idx="20">
                  <c:v>661</c:v>
                </c:pt>
                <c:pt idx="21">
                  <c:v>725</c:v>
                </c:pt>
                <c:pt idx="22">
                  <c:v>944</c:v>
                </c:pt>
                <c:pt idx="23">
                  <c:v>1072</c:v>
                </c:pt>
                <c:pt idx="24">
                  <c:v>1861</c:v>
                </c:pt>
                <c:pt idx="25">
                  <c:v>2353</c:v>
                </c:pt>
                <c:pt idx="26">
                  <c:v>2353</c:v>
                </c:pt>
                <c:pt idx="27">
                  <c:v>2585</c:v>
                </c:pt>
                <c:pt idx="28">
                  <c:v>2731</c:v>
                </c:pt>
                <c:pt idx="29">
                  <c:v>2848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4">
                  <c:v>-1.1171999999933178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DA-40E9-B9C5-942DCDDF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424744"/>
        <c:axId val="1"/>
      </c:scatterChart>
      <c:valAx>
        <c:axId val="688424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424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D365CB-A19D-FAD4-9C80-8FE48CB95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125" TargetMode="External"/><Relationship Id="rId13" Type="http://schemas.openxmlformats.org/officeDocument/2006/relationships/hyperlink" Target="http://www.konkoly.hu/cgi-bin/IBVS?4125" TargetMode="External"/><Relationship Id="rId18" Type="http://schemas.openxmlformats.org/officeDocument/2006/relationships/hyperlink" Target="http://www.konkoly.hu/cgi-bin/IBVS?4125" TargetMode="External"/><Relationship Id="rId26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konkoly.hu/cgi-bin/IBVS?4125" TargetMode="External"/><Relationship Id="rId21" Type="http://schemas.openxmlformats.org/officeDocument/2006/relationships/hyperlink" Target="http://www.konkoly.hu/cgi-bin/IBVS?4125" TargetMode="External"/><Relationship Id="rId7" Type="http://schemas.openxmlformats.org/officeDocument/2006/relationships/hyperlink" Target="http://www.konkoly.hu/cgi-bin/IBVS?4125" TargetMode="External"/><Relationship Id="rId12" Type="http://schemas.openxmlformats.org/officeDocument/2006/relationships/hyperlink" Target="http://www.konkoly.hu/cgi-bin/IBVS?4125" TargetMode="External"/><Relationship Id="rId17" Type="http://schemas.openxmlformats.org/officeDocument/2006/relationships/hyperlink" Target="http://www.konkoly.hu/cgi-bin/IBVS?4125" TargetMode="External"/><Relationship Id="rId25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4125" TargetMode="External"/><Relationship Id="rId16" Type="http://schemas.openxmlformats.org/officeDocument/2006/relationships/hyperlink" Target="http://www.konkoly.hu/cgi-bin/IBVS?4125" TargetMode="External"/><Relationship Id="rId20" Type="http://schemas.openxmlformats.org/officeDocument/2006/relationships/hyperlink" Target="http://www.konkoly.hu/cgi-bin/IBVS?4125" TargetMode="External"/><Relationship Id="rId1" Type="http://schemas.openxmlformats.org/officeDocument/2006/relationships/hyperlink" Target="http://www.konkoly.hu/cgi-bin/IBVS?4125" TargetMode="External"/><Relationship Id="rId6" Type="http://schemas.openxmlformats.org/officeDocument/2006/relationships/hyperlink" Target="http://www.konkoly.hu/cgi-bin/IBVS?4125" TargetMode="External"/><Relationship Id="rId11" Type="http://schemas.openxmlformats.org/officeDocument/2006/relationships/hyperlink" Target="http://www.konkoly.hu/cgi-bin/IBVS?4125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4125" TargetMode="External"/><Relationship Id="rId15" Type="http://schemas.openxmlformats.org/officeDocument/2006/relationships/hyperlink" Target="http://www.konkoly.hu/cgi-bin/IBVS?4125" TargetMode="External"/><Relationship Id="rId23" Type="http://schemas.openxmlformats.org/officeDocument/2006/relationships/hyperlink" Target="http://www.konkoly.hu/cgi-bin/IBVS?4125" TargetMode="External"/><Relationship Id="rId10" Type="http://schemas.openxmlformats.org/officeDocument/2006/relationships/hyperlink" Target="http://www.konkoly.hu/cgi-bin/IBVS?4125" TargetMode="External"/><Relationship Id="rId19" Type="http://schemas.openxmlformats.org/officeDocument/2006/relationships/hyperlink" Target="http://www.konkoly.hu/cgi-bin/IBVS?4125" TargetMode="External"/><Relationship Id="rId4" Type="http://schemas.openxmlformats.org/officeDocument/2006/relationships/hyperlink" Target="http://www.konkoly.hu/cgi-bin/IBVS?4125" TargetMode="External"/><Relationship Id="rId9" Type="http://schemas.openxmlformats.org/officeDocument/2006/relationships/hyperlink" Target="http://www.konkoly.hu/cgi-bin/IBVS?4125" TargetMode="External"/><Relationship Id="rId14" Type="http://schemas.openxmlformats.org/officeDocument/2006/relationships/hyperlink" Target="http://www.konkoly.hu/cgi-bin/IBVS?4125" TargetMode="External"/><Relationship Id="rId22" Type="http://schemas.openxmlformats.org/officeDocument/2006/relationships/hyperlink" Target="http://www.konkoly.hu/cgi-bin/IBVS?4125" TargetMode="External"/><Relationship Id="rId27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22</v>
      </c>
      <c r="B2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38</v>
      </c>
      <c r="C4" s="8">
        <v>42217.42</v>
      </c>
      <c r="D4" s="9">
        <v>5.0952000000000002</v>
      </c>
    </row>
    <row r="6" spans="1:7" x14ac:dyDescent="0.2">
      <c r="A6" s="5" t="s">
        <v>0</v>
      </c>
    </row>
    <row r="7" spans="1:7" x14ac:dyDescent="0.2">
      <c r="A7" t="s">
        <v>1</v>
      </c>
      <c r="C7">
        <v>42217.42</v>
      </c>
    </row>
    <row r="8" spans="1:7" x14ac:dyDescent="0.2">
      <c r="A8" t="s">
        <v>2</v>
      </c>
      <c r="C8">
        <v>5.0952000000000002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1.6004915709672263E-2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8.9929727600761025E-7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(C7+C11)+(C8+C12)*INT(MAX(F21:F3533))</f>
        <v>56728.568166114354</v>
      </c>
      <c r="D15" s="16" t="s">
        <v>31</v>
      </c>
      <c r="E15" s="17">
        <f ca="1">TODAY()+15018.5-B9/24</f>
        <v>60354.5</v>
      </c>
    </row>
    <row r="16" spans="1:7" x14ac:dyDescent="0.2">
      <c r="A16" s="18" t="s">
        <v>3</v>
      </c>
      <c r="B16" s="12"/>
      <c r="C16" s="19">
        <f ca="1">+C8+C12</f>
        <v>5.0952008992972759</v>
      </c>
      <c r="D16" s="16" t="s">
        <v>32</v>
      </c>
      <c r="E16" s="17">
        <f ca="1">ROUND(2*(E15-C15)/C16,0)/2+1</f>
        <v>712.5</v>
      </c>
    </row>
    <row r="17" spans="1:21" ht="13.5" thickBot="1" x14ac:dyDescent="0.25">
      <c r="A17" s="16" t="s">
        <v>28</v>
      </c>
      <c r="B17" s="12"/>
      <c r="C17" s="12">
        <f>COUNT(C21:C2191)</f>
        <v>30</v>
      </c>
      <c r="D17" s="16" t="s">
        <v>33</v>
      </c>
      <c r="E17" s="20">
        <f ca="1">+C15+C16*E16-15018.5-C9/24</f>
        <v>45340.794640196997</v>
      </c>
    </row>
    <row r="18" spans="1:21" ht="14.25" thickTop="1" thickBot="1" x14ac:dyDescent="0.25">
      <c r="A18" s="18" t="s">
        <v>4</v>
      </c>
      <c r="B18" s="12"/>
      <c r="C18" s="21">
        <f ca="1">+C15</f>
        <v>56728.568166114354</v>
      </c>
      <c r="D18" s="22">
        <f ca="1">+C16</f>
        <v>5.0952008992972759</v>
      </c>
      <c r="E18" s="23" t="s">
        <v>34</v>
      </c>
    </row>
    <row r="19" spans="1:21" ht="13.5" thickTop="1" x14ac:dyDescent="0.2">
      <c r="A19" s="27" t="s">
        <v>35</v>
      </c>
      <c r="E19" s="28">
        <v>21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27</v>
      </c>
      <c r="I20" s="7" t="s">
        <v>55</v>
      </c>
      <c r="J20" s="7" t="s">
        <v>47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  <c r="U20" s="52" t="s">
        <v>154</v>
      </c>
    </row>
    <row r="21" spans="1:21" x14ac:dyDescent="0.2">
      <c r="A21" t="s">
        <v>36</v>
      </c>
      <c r="C21" s="10">
        <v>42217.42</v>
      </c>
      <c r="D21" s="10" t="s">
        <v>12</v>
      </c>
      <c r="E21">
        <f t="shared" ref="E21:E50" si="0">+(C21-C$7)/C$8</f>
        <v>0</v>
      </c>
      <c r="F21">
        <f t="shared" ref="F21:F50" si="1">ROUND(2*E21,0)/2</f>
        <v>0</v>
      </c>
      <c r="G21">
        <f t="shared" ref="G21:G44" si="2">+C21-(C$7+F21*C$8)</f>
        <v>0</v>
      </c>
      <c r="H21">
        <f t="shared" ref="H21:H44" si="3">+G21</f>
        <v>0</v>
      </c>
      <c r="O21">
        <f t="shared" ref="O21:O50" ca="1" si="4">+C$11+C$12*$F21</f>
        <v>1.6004915709672263E-2</v>
      </c>
      <c r="Q21" s="2">
        <f t="shared" ref="Q21:Q50" si="5">+C21-15018.5</f>
        <v>27198.92</v>
      </c>
    </row>
    <row r="22" spans="1:21" x14ac:dyDescent="0.2">
      <c r="A22" t="s">
        <v>36</v>
      </c>
      <c r="C22" s="10">
        <v>41565.279999999999</v>
      </c>
      <c r="D22" s="10"/>
      <c r="E22">
        <f t="shared" si="0"/>
        <v>-127.99105040037671</v>
      </c>
      <c r="F22">
        <f t="shared" si="1"/>
        <v>-128</v>
      </c>
      <c r="G22">
        <f t="shared" si="2"/>
        <v>4.559999999764841E-2</v>
      </c>
      <c r="H22">
        <f t="shared" si="3"/>
        <v>4.559999999764841E-2</v>
      </c>
      <c r="O22">
        <f t="shared" ca="1" si="4"/>
        <v>1.588980565834329E-2</v>
      </c>
      <c r="Q22" s="2">
        <f t="shared" si="5"/>
        <v>26546.78</v>
      </c>
      <c r="R22" t="str">
        <f>IF(ABS(C22-C21)&lt;0.00001,1,"")</f>
        <v/>
      </c>
    </row>
    <row r="23" spans="1:21" x14ac:dyDescent="0.2">
      <c r="A23" t="s">
        <v>36</v>
      </c>
      <c r="C23" s="10">
        <v>41570.28</v>
      </c>
      <c r="D23" s="10"/>
      <c r="E23">
        <f t="shared" si="0"/>
        <v>-127.00973465222158</v>
      </c>
      <c r="F23">
        <f t="shared" si="1"/>
        <v>-127</v>
      </c>
      <c r="G23">
        <f t="shared" si="2"/>
        <v>-4.9599999998463318E-2</v>
      </c>
      <c r="H23">
        <f t="shared" si="3"/>
        <v>-4.9599999998463318E-2</v>
      </c>
      <c r="O23">
        <f t="shared" ca="1" si="4"/>
        <v>1.5890704955619298E-2</v>
      </c>
      <c r="Q23" s="2">
        <f t="shared" si="5"/>
        <v>26551.78</v>
      </c>
    </row>
    <row r="24" spans="1:21" x14ac:dyDescent="0.2">
      <c r="A24" t="s">
        <v>36</v>
      </c>
      <c r="C24" s="10">
        <v>41840.42</v>
      </c>
      <c r="D24" s="10"/>
      <c r="E24">
        <f t="shared" si="0"/>
        <v>-73.991207410896521</v>
      </c>
      <c r="F24">
        <f t="shared" si="1"/>
        <v>-74</v>
      </c>
      <c r="G24">
        <f t="shared" si="2"/>
        <v>4.4800000003306195E-2</v>
      </c>
      <c r="H24">
        <f t="shared" si="3"/>
        <v>4.4800000003306195E-2</v>
      </c>
      <c r="O24">
        <f t="shared" ca="1" si="4"/>
        <v>1.5938367711247702E-2</v>
      </c>
      <c r="Q24" s="2">
        <f t="shared" si="5"/>
        <v>26821.919999999998</v>
      </c>
    </row>
    <row r="25" spans="1:21" x14ac:dyDescent="0.2">
      <c r="A25" t="s">
        <v>36</v>
      </c>
      <c r="C25" s="10">
        <v>41947.33</v>
      </c>
      <c r="D25" s="10"/>
      <c r="E25">
        <f t="shared" si="0"/>
        <v>-53.008714083842932</v>
      </c>
      <c r="F25">
        <f t="shared" si="1"/>
        <v>-53</v>
      </c>
      <c r="G25">
        <f t="shared" si="2"/>
        <v>-4.439999999885913E-2</v>
      </c>
      <c r="H25">
        <f t="shared" si="3"/>
        <v>-4.439999999885913E-2</v>
      </c>
      <c r="O25">
        <f t="shared" ca="1" si="4"/>
        <v>1.5957252954043859E-2</v>
      </c>
      <c r="Q25" s="2">
        <f t="shared" si="5"/>
        <v>26928.83</v>
      </c>
    </row>
    <row r="26" spans="1:21" x14ac:dyDescent="0.2">
      <c r="A26" t="s">
        <v>36</v>
      </c>
      <c r="C26" s="10">
        <v>41952.36</v>
      </c>
      <c r="D26" s="10"/>
      <c r="E26">
        <f t="shared" si="0"/>
        <v>-52.021510441199105</v>
      </c>
      <c r="F26">
        <f t="shared" si="1"/>
        <v>-52</v>
      </c>
      <c r="G26">
        <f t="shared" si="2"/>
        <v>-0.10959999999613501</v>
      </c>
      <c r="H26">
        <f t="shared" si="3"/>
        <v>-0.10959999999613501</v>
      </c>
      <c r="O26">
        <f t="shared" ca="1" si="4"/>
        <v>1.5958152251319867E-2</v>
      </c>
      <c r="Q26" s="2">
        <f t="shared" si="5"/>
        <v>26933.86</v>
      </c>
    </row>
    <row r="27" spans="1:21" x14ac:dyDescent="0.2">
      <c r="A27" t="s">
        <v>36</v>
      </c>
      <c r="C27" s="10">
        <v>42212.43</v>
      </c>
      <c r="D27" s="10"/>
      <c r="E27">
        <f t="shared" si="0"/>
        <v>-0.97935311665841629</v>
      </c>
      <c r="F27">
        <f t="shared" si="1"/>
        <v>-1</v>
      </c>
      <c r="G27">
        <f t="shared" si="2"/>
        <v>0.10520000000542495</v>
      </c>
      <c r="H27">
        <f t="shared" si="3"/>
        <v>0.10520000000542495</v>
      </c>
      <c r="O27">
        <f t="shared" ca="1" si="4"/>
        <v>1.6004016412396255E-2</v>
      </c>
      <c r="Q27" s="2">
        <f t="shared" si="5"/>
        <v>27193.93</v>
      </c>
    </row>
    <row r="28" spans="1:21" x14ac:dyDescent="0.2">
      <c r="A28" t="s">
        <v>36</v>
      </c>
      <c r="C28" s="10">
        <v>42217.43</v>
      </c>
      <c r="D28" s="10"/>
      <c r="E28">
        <f t="shared" si="0"/>
        <v>1.9626314967100935E-3</v>
      </c>
      <c r="F28">
        <f t="shared" si="1"/>
        <v>0</v>
      </c>
      <c r="G28">
        <f t="shared" si="2"/>
        <v>1.0000000002037268E-2</v>
      </c>
      <c r="H28">
        <f t="shared" si="3"/>
        <v>1.0000000002037268E-2</v>
      </c>
      <c r="O28">
        <f t="shared" ca="1" si="4"/>
        <v>1.6004915709672263E-2</v>
      </c>
      <c r="Q28" s="2">
        <f t="shared" si="5"/>
        <v>27198.93</v>
      </c>
    </row>
    <row r="29" spans="1:21" x14ac:dyDescent="0.2">
      <c r="A29" t="s">
        <v>36</v>
      </c>
      <c r="C29" s="10">
        <v>42309.24</v>
      </c>
      <c r="D29" s="10"/>
      <c r="E29">
        <f t="shared" si="0"/>
        <v>18.020882399120683</v>
      </c>
      <c r="F29">
        <f t="shared" si="1"/>
        <v>18</v>
      </c>
      <c r="G29">
        <f t="shared" si="2"/>
        <v>0.10639999999693828</v>
      </c>
      <c r="H29">
        <f t="shared" si="3"/>
        <v>0.10639999999693828</v>
      </c>
      <c r="O29">
        <f t="shared" ca="1" si="4"/>
        <v>1.6021103060640401E-2</v>
      </c>
      <c r="Q29" s="2">
        <f t="shared" si="5"/>
        <v>27290.739999999998</v>
      </c>
    </row>
    <row r="30" spans="1:21" x14ac:dyDescent="0.2">
      <c r="A30" t="s">
        <v>36</v>
      </c>
      <c r="C30" s="10">
        <v>42365.16</v>
      </c>
      <c r="D30" s="10"/>
      <c r="E30">
        <f t="shared" si="0"/>
        <v>28.995917726488702</v>
      </c>
      <c r="F30">
        <f t="shared" si="1"/>
        <v>29</v>
      </c>
      <c r="G30">
        <f t="shared" si="2"/>
        <v>-2.0799999998416752E-2</v>
      </c>
      <c r="H30">
        <f t="shared" si="3"/>
        <v>-2.0799999998416752E-2</v>
      </c>
      <c r="O30">
        <f t="shared" ca="1" si="4"/>
        <v>1.6030995330676485E-2</v>
      </c>
      <c r="Q30" s="2">
        <f t="shared" si="5"/>
        <v>27346.660000000003</v>
      </c>
    </row>
    <row r="31" spans="1:21" x14ac:dyDescent="0.2">
      <c r="A31" t="s">
        <v>36</v>
      </c>
      <c r="C31" s="10">
        <v>42686.28</v>
      </c>
      <c r="D31" s="10"/>
      <c r="E31">
        <f t="shared" si="0"/>
        <v>92.01994033600262</v>
      </c>
      <c r="F31">
        <f t="shared" si="1"/>
        <v>92</v>
      </c>
      <c r="G31">
        <f t="shared" si="2"/>
        <v>0.10160000000178115</v>
      </c>
      <c r="H31">
        <f t="shared" si="3"/>
        <v>0.10160000000178115</v>
      </c>
      <c r="O31">
        <f t="shared" ca="1" si="4"/>
        <v>1.6087651059064963E-2</v>
      </c>
      <c r="Q31" s="2">
        <f t="shared" si="5"/>
        <v>27667.78</v>
      </c>
    </row>
    <row r="32" spans="1:21" x14ac:dyDescent="0.2">
      <c r="A32" t="s">
        <v>36</v>
      </c>
      <c r="C32" s="10">
        <v>42869.47</v>
      </c>
      <c r="D32" s="10"/>
      <c r="E32">
        <f t="shared" si="0"/>
        <v>127.9733867169106</v>
      </c>
      <c r="F32">
        <f t="shared" si="1"/>
        <v>128</v>
      </c>
      <c r="G32">
        <f t="shared" si="2"/>
        <v>-0.13559999999415595</v>
      </c>
      <c r="H32">
        <f t="shared" si="3"/>
        <v>-0.13559999999415595</v>
      </c>
      <c r="O32">
        <f t="shared" ca="1" si="4"/>
        <v>1.6120025761001237E-2</v>
      </c>
      <c r="Q32" s="2">
        <f t="shared" si="5"/>
        <v>27850.97</v>
      </c>
    </row>
    <row r="33" spans="1:21" x14ac:dyDescent="0.2">
      <c r="A33" t="s">
        <v>36</v>
      </c>
      <c r="C33" s="10">
        <v>42920.5</v>
      </c>
      <c r="D33" s="10"/>
      <c r="E33">
        <f t="shared" si="0"/>
        <v>137.9886952425816</v>
      </c>
      <c r="F33">
        <f t="shared" si="1"/>
        <v>138</v>
      </c>
      <c r="G33">
        <f t="shared" si="2"/>
        <v>-5.7600000000093132E-2</v>
      </c>
      <c r="H33">
        <f t="shared" si="3"/>
        <v>-5.7600000000093132E-2</v>
      </c>
      <c r="O33">
        <f t="shared" ca="1" si="4"/>
        <v>1.6129018733761314E-2</v>
      </c>
      <c r="Q33" s="2">
        <f t="shared" si="5"/>
        <v>27902</v>
      </c>
    </row>
    <row r="34" spans="1:21" x14ac:dyDescent="0.2">
      <c r="A34" t="s">
        <v>36</v>
      </c>
      <c r="C34" s="10">
        <v>43017.38</v>
      </c>
      <c r="D34" s="10"/>
      <c r="E34">
        <f t="shared" si="0"/>
        <v>157.00266917883479</v>
      </c>
      <c r="F34">
        <f t="shared" si="1"/>
        <v>157</v>
      </c>
      <c r="G34">
        <f t="shared" si="2"/>
        <v>1.359999999840511E-2</v>
      </c>
      <c r="H34">
        <f t="shared" si="3"/>
        <v>1.359999999840511E-2</v>
      </c>
      <c r="O34">
        <f t="shared" ca="1" si="4"/>
        <v>1.6146105382005459E-2</v>
      </c>
      <c r="Q34" s="2">
        <f t="shared" si="5"/>
        <v>27998.879999999997</v>
      </c>
    </row>
    <row r="35" spans="1:21" x14ac:dyDescent="0.2">
      <c r="A35" t="s">
        <v>36</v>
      </c>
      <c r="C35" s="10">
        <v>43659.43</v>
      </c>
      <c r="D35" s="10"/>
      <c r="E35">
        <f t="shared" si="0"/>
        <v>283.01342439943517</v>
      </c>
      <c r="F35">
        <f t="shared" si="1"/>
        <v>283</v>
      </c>
      <c r="G35">
        <f t="shared" si="2"/>
        <v>6.8400000003748573E-2</v>
      </c>
      <c r="H35">
        <f t="shared" si="3"/>
        <v>6.8400000003748573E-2</v>
      </c>
      <c r="O35">
        <f t="shared" ca="1" si="4"/>
        <v>1.6259416838782417E-2</v>
      </c>
      <c r="Q35" s="2">
        <f t="shared" si="5"/>
        <v>28640.93</v>
      </c>
    </row>
    <row r="36" spans="1:21" x14ac:dyDescent="0.2">
      <c r="A36" t="s">
        <v>36</v>
      </c>
      <c r="C36" s="10">
        <v>43807.199999999997</v>
      </c>
      <c r="D36" s="10"/>
      <c r="E36">
        <f t="shared" si="0"/>
        <v>312.01523002041114</v>
      </c>
      <c r="F36">
        <f t="shared" si="1"/>
        <v>312</v>
      </c>
      <c r="G36">
        <f t="shared" si="2"/>
        <v>7.7599999996891711E-2</v>
      </c>
      <c r="H36">
        <f t="shared" si="3"/>
        <v>7.7599999996891711E-2</v>
      </c>
      <c r="O36">
        <f t="shared" ca="1" si="4"/>
        <v>1.6285496459786639E-2</v>
      </c>
      <c r="Q36" s="2">
        <f t="shared" si="5"/>
        <v>28788.699999999997</v>
      </c>
    </row>
    <row r="37" spans="1:21" x14ac:dyDescent="0.2">
      <c r="A37" t="s">
        <v>36</v>
      </c>
      <c r="C37" s="10">
        <v>43934.54</v>
      </c>
      <c r="D37" s="10"/>
      <c r="E37">
        <f t="shared" si="0"/>
        <v>337.00737949442663</v>
      </c>
      <c r="F37">
        <f t="shared" si="1"/>
        <v>337</v>
      </c>
      <c r="G37">
        <f t="shared" si="2"/>
        <v>3.7600000003294554E-2</v>
      </c>
      <c r="H37">
        <f t="shared" si="3"/>
        <v>3.7600000003294554E-2</v>
      </c>
      <c r="O37">
        <f t="shared" ca="1" si="4"/>
        <v>1.6307978891686829E-2</v>
      </c>
      <c r="Q37" s="2">
        <f t="shared" si="5"/>
        <v>28916.04</v>
      </c>
    </row>
    <row r="38" spans="1:21" x14ac:dyDescent="0.2">
      <c r="A38" t="s">
        <v>36</v>
      </c>
      <c r="C38" s="10">
        <v>45524.36</v>
      </c>
      <c r="D38" s="10"/>
      <c r="E38">
        <f t="shared" si="0"/>
        <v>649.03046004082319</v>
      </c>
      <c r="F38">
        <f t="shared" si="1"/>
        <v>649</v>
      </c>
      <c r="G38">
        <f t="shared" si="2"/>
        <v>0.15520000000105938</v>
      </c>
      <c r="H38">
        <f t="shared" si="3"/>
        <v>0.15520000000105938</v>
      </c>
      <c r="O38">
        <f t="shared" ca="1" si="4"/>
        <v>1.6588559641801202E-2</v>
      </c>
      <c r="Q38" s="2">
        <f t="shared" si="5"/>
        <v>30505.86</v>
      </c>
    </row>
    <row r="39" spans="1:21" x14ac:dyDescent="0.2">
      <c r="A39" t="s">
        <v>36</v>
      </c>
      <c r="C39" s="10">
        <v>45529.39</v>
      </c>
      <c r="D39" s="10"/>
      <c r="E39">
        <f t="shared" si="0"/>
        <v>650.01766368346705</v>
      </c>
      <c r="F39">
        <f t="shared" si="1"/>
        <v>650</v>
      </c>
      <c r="G39">
        <f t="shared" si="2"/>
        <v>9.0000000003783498E-2</v>
      </c>
      <c r="H39">
        <f t="shared" si="3"/>
        <v>9.0000000003783498E-2</v>
      </c>
      <c r="O39">
        <f t="shared" ca="1" si="4"/>
        <v>1.658945893907721E-2</v>
      </c>
      <c r="Q39" s="2">
        <f t="shared" si="5"/>
        <v>30510.89</v>
      </c>
    </row>
    <row r="40" spans="1:21" x14ac:dyDescent="0.2">
      <c r="A40" t="s">
        <v>36</v>
      </c>
      <c r="C40" s="10">
        <v>45580.3</v>
      </c>
      <c r="D40" s="10"/>
      <c r="E40">
        <f t="shared" si="0"/>
        <v>660.00942063118316</v>
      </c>
      <c r="F40">
        <f t="shared" si="1"/>
        <v>660</v>
      </c>
      <c r="G40">
        <f t="shared" si="2"/>
        <v>4.8000000002502929E-2</v>
      </c>
      <c r="H40">
        <f t="shared" si="3"/>
        <v>4.8000000002502929E-2</v>
      </c>
      <c r="O40">
        <f t="shared" ca="1" si="4"/>
        <v>1.6598451911837286E-2</v>
      </c>
      <c r="Q40" s="2">
        <f t="shared" si="5"/>
        <v>30561.800000000003</v>
      </c>
    </row>
    <row r="41" spans="1:21" x14ac:dyDescent="0.2">
      <c r="A41" t="s">
        <v>36</v>
      </c>
      <c r="C41" s="10">
        <v>45585.34</v>
      </c>
      <c r="D41" s="10"/>
      <c r="E41">
        <f t="shared" si="0"/>
        <v>660.99858690532233</v>
      </c>
      <c r="F41">
        <f t="shared" si="1"/>
        <v>661</v>
      </c>
      <c r="G41">
        <f t="shared" si="2"/>
        <v>-7.2000000000116415E-3</v>
      </c>
      <c r="H41">
        <f t="shared" si="3"/>
        <v>-7.2000000000116415E-3</v>
      </c>
      <c r="O41">
        <f t="shared" ca="1" si="4"/>
        <v>1.6599351209113294E-2</v>
      </c>
      <c r="Q41" s="2">
        <f t="shared" si="5"/>
        <v>30566.839999999997</v>
      </c>
    </row>
    <row r="42" spans="1:21" x14ac:dyDescent="0.2">
      <c r="A42" t="s">
        <v>36</v>
      </c>
      <c r="C42" s="10">
        <v>45911.39</v>
      </c>
      <c r="D42" s="10"/>
      <c r="E42">
        <f t="shared" si="0"/>
        <v>724.9901868425186</v>
      </c>
      <c r="F42">
        <f t="shared" si="1"/>
        <v>725</v>
      </c>
      <c r="G42">
        <f t="shared" si="2"/>
        <v>-4.9999999995634425E-2</v>
      </c>
      <c r="H42">
        <f t="shared" si="3"/>
        <v>-4.9999999995634425E-2</v>
      </c>
      <c r="O42">
        <f t="shared" ca="1" si="4"/>
        <v>1.665690623477778E-2</v>
      </c>
      <c r="Q42" s="2">
        <f t="shared" si="5"/>
        <v>30892.89</v>
      </c>
    </row>
    <row r="43" spans="1:21" x14ac:dyDescent="0.2">
      <c r="A43" t="s">
        <v>36</v>
      </c>
      <c r="C43" s="10">
        <v>47027.32</v>
      </c>
      <c r="D43" s="10"/>
      <c r="E43">
        <f t="shared" si="0"/>
        <v>944.00612341026874</v>
      </c>
      <c r="F43">
        <f t="shared" si="1"/>
        <v>944</v>
      </c>
      <c r="G43">
        <f t="shared" si="2"/>
        <v>3.1200000004901085E-2</v>
      </c>
      <c r="H43">
        <f t="shared" si="3"/>
        <v>3.1200000004901085E-2</v>
      </c>
      <c r="O43">
        <f t="shared" ca="1" si="4"/>
        <v>1.6853852338223448E-2</v>
      </c>
      <c r="Q43" s="2">
        <f t="shared" si="5"/>
        <v>32008.82</v>
      </c>
    </row>
    <row r="44" spans="1:21" x14ac:dyDescent="0.2">
      <c r="A44" t="s">
        <v>36</v>
      </c>
      <c r="C44" s="10">
        <v>47679.44</v>
      </c>
      <c r="D44" s="10"/>
      <c r="E44">
        <f t="shared" si="0"/>
        <v>1071.9932485476534</v>
      </c>
      <c r="F44">
        <f t="shared" si="1"/>
        <v>1072</v>
      </c>
      <c r="G44">
        <f t="shared" si="2"/>
        <v>-3.4399999996821862E-2</v>
      </c>
      <c r="H44">
        <f t="shared" si="3"/>
        <v>-3.4399999996821862E-2</v>
      </c>
      <c r="O44">
        <f t="shared" ca="1" si="4"/>
        <v>1.6968962389552422E-2</v>
      </c>
      <c r="Q44" s="2">
        <f t="shared" si="5"/>
        <v>32660.940000000002</v>
      </c>
    </row>
    <row r="45" spans="1:21" x14ac:dyDescent="0.2">
      <c r="A45" s="50" t="s">
        <v>128</v>
      </c>
      <c r="B45" s="51" t="s">
        <v>41</v>
      </c>
      <c r="C45" s="50">
        <v>51698.47</v>
      </c>
      <c r="D45" s="50" t="s">
        <v>55</v>
      </c>
      <c r="E45">
        <f t="shared" si="0"/>
        <v>1860.7807348092326</v>
      </c>
      <c r="F45">
        <f t="shared" si="1"/>
        <v>1861</v>
      </c>
      <c r="O45">
        <f t="shared" ca="1" si="4"/>
        <v>1.7678507940322427E-2</v>
      </c>
      <c r="Q45" s="2">
        <f t="shared" si="5"/>
        <v>36679.97</v>
      </c>
      <c r="U45">
        <f>+C45-(C$7+F45*C$8)</f>
        <v>-1.1171999999933178</v>
      </c>
    </row>
    <row r="46" spans="1:21" x14ac:dyDescent="0.2">
      <c r="A46" s="50" t="s">
        <v>135</v>
      </c>
      <c r="B46" s="51" t="s">
        <v>41</v>
      </c>
      <c r="C46" s="50">
        <v>54206.431900000003</v>
      </c>
      <c r="D46" s="50" t="s">
        <v>55</v>
      </c>
      <c r="E46">
        <f t="shared" si="0"/>
        <v>2353.0012364578438</v>
      </c>
      <c r="F46">
        <f t="shared" si="1"/>
        <v>2353</v>
      </c>
      <c r="G46">
        <f>+C46-(C$7+F46*C$8)</f>
        <v>6.300000000919681E-3</v>
      </c>
      <c r="I46">
        <f>+G46</f>
        <v>6.300000000919681E-3</v>
      </c>
      <c r="O46">
        <f t="shared" ca="1" si="4"/>
        <v>1.8120962200118169E-2</v>
      </c>
      <c r="Q46" s="2">
        <f t="shared" si="5"/>
        <v>39187.931900000003</v>
      </c>
    </row>
    <row r="47" spans="1:21" x14ac:dyDescent="0.2">
      <c r="A47" t="s">
        <v>39</v>
      </c>
      <c r="C47" s="29">
        <v>54206.431989999997</v>
      </c>
      <c r="D47" s="29">
        <v>1E-3</v>
      </c>
      <c r="E47">
        <f t="shared" si="0"/>
        <v>2353.001254121526</v>
      </c>
      <c r="F47">
        <f t="shared" si="1"/>
        <v>2353</v>
      </c>
      <c r="G47">
        <f>+C47-(C$7+F47*C$8)</f>
        <v>6.389999995008111E-3</v>
      </c>
      <c r="J47">
        <f>+G47</f>
        <v>6.389999995008111E-3</v>
      </c>
      <c r="O47">
        <f t="shared" ca="1" si="4"/>
        <v>1.8120962200118169E-2</v>
      </c>
      <c r="Q47" s="2">
        <f t="shared" si="5"/>
        <v>39187.931989999997</v>
      </c>
    </row>
    <row r="48" spans="1:21" x14ac:dyDescent="0.2">
      <c r="A48" s="33" t="s">
        <v>43</v>
      </c>
      <c r="B48" s="33"/>
      <c r="C48" s="34">
        <v>55388.506399999998</v>
      </c>
      <c r="D48" s="34">
        <v>1.46E-2</v>
      </c>
      <c r="E48">
        <f t="shared" si="0"/>
        <v>2584.9989009263618</v>
      </c>
      <c r="F48">
        <f t="shared" si="1"/>
        <v>2585</v>
      </c>
      <c r="G48">
        <f>+C48-(C$7+F48*C$8)</f>
        <v>-5.6000000040512532E-3</v>
      </c>
      <c r="J48">
        <f>+G48</f>
        <v>-5.6000000040512532E-3</v>
      </c>
      <c r="O48">
        <f t="shared" ca="1" si="4"/>
        <v>1.8329599168151935E-2</v>
      </c>
      <c r="Q48" s="2">
        <f t="shared" si="5"/>
        <v>40370.006399999998</v>
      </c>
    </row>
    <row r="49" spans="1:17" x14ac:dyDescent="0.2">
      <c r="A49" s="30" t="s">
        <v>40</v>
      </c>
      <c r="B49" s="31" t="s">
        <v>41</v>
      </c>
      <c r="C49" s="32">
        <v>56132.424899999998</v>
      </c>
      <c r="D49" s="32">
        <v>1.2500000000000001E-2</v>
      </c>
      <c r="E49">
        <f t="shared" si="0"/>
        <v>2731.0026888051498</v>
      </c>
      <c r="F49">
        <f t="shared" si="1"/>
        <v>2731</v>
      </c>
      <c r="G49">
        <f>+C49-(C$7+F49*C$8)</f>
        <v>1.3699999995878898E-2</v>
      </c>
      <c r="J49">
        <f>+G49</f>
        <v>1.3699999995878898E-2</v>
      </c>
      <c r="O49">
        <f t="shared" ca="1" si="4"/>
        <v>1.8460896570449047E-2</v>
      </c>
      <c r="Q49" s="2">
        <f t="shared" si="5"/>
        <v>41113.924899999998</v>
      </c>
    </row>
    <row r="50" spans="1:17" x14ac:dyDescent="0.2">
      <c r="A50" s="35" t="s">
        <v>44</v>
      </c>
      <c r="B50" s="36"/>
      <c r="C50" s="35">
        <v>56728.584300000002</v>
      </c>
      <c r="D50" s="35">
        <v>1.8E-3</v>
      </c>
      <c r="E50">
        <f t="shared" si="0"/>
        <v>2848.0068103312929</v>
      </c>
      <c r="F50">
        <f t="shared" si="1"/>
        <v>2848</v>
      </c>
      <c r="G50">
        <f>+C50-(C$7+F50*C$8)</f>
        <v>3.4700000003795139E-2</v>
      </c>
      <c r="J50">
        <f>+G50</f>
        <v>3.4700000003795139E-2</v>
      </c>
      <c r="O50">
        <f t="shared" ca="1" si="4"/>
        <v>1.8566114351741936E-2</v>
      </c>
      <c r="Q50" s="2">
        <f t="shared" si="5"/>
        <v>41710.084300000002</v>
      </c>
    </row>
    <row r="51" spans="1:17" x14ac:dyDescent="0.2">
      <c r="C51" s="10"/>
      <c r="D51" s="10"/>
    </row>
    <row r="52" spans="1:17" x14ac:dyDescent="0.2">
      <c r="C52" s="10"/>
      <c r="D52" s="10"/>
    </row>
    <row r="53" spans="1:17" x14ac:dyDescent="0.2">
      <c r="C53" s="10"/>
      <c r="D53" s="10"/>
    </row>
    <row r="54" spans="1:17" x14ac:dyDescent="0.2">
      <c r="C54" s="10"/>
      <c r="D54" s="10"/>
    </row>
    <row r="55" spans="1:17" x14ac:dyDescent="0.2">
      <c r="C55" s="10"/>
      <c r="D55" s="10"/>
    </row>
    <row r="56" spans="1:17" x14ac:dyDescent="0.2">
      <c r="C56" s="10"/>
      <c r="D56" s="10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0"/>
  <sheetViews>
    <sheetView workbookViewId="0">
      <selection activeCell="A37" sqref="A37:D3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45</v>
      </c>
      <c r="I1" s="38" t="s">
        <v>46</v>
      </c>
      <c r="J1" s="39" t="s">
        <v>47</v>
      </c>
    </row>
    <row r="2" spans="1:16" x14ac:dyDescent="0.2">
      <c r="I2" s="40" t="s">
        <v>48</v>
      </c>
      <c r="J2" s="41" t="s">
        <v>49</v>
      </c>
    </row>
    <row r="3" spans="1:16" x14ac:dyDescent="0.2">
      <c r="A3" s="42" t="s">
        <v>50</v>
      </c>
      <c r="I3" s="40" t="s">
        <v>51</v>
      </c>
      <c r="J3" s="41" t="s">
        <v>52</v>
      </c>
    </row>
    <row r="4" spans="1:16" x14ac:dyDescent="0.2">
      <c r="I4" s="40" t="s">
        <v>53</v>
      </c>
      <c r="J4" s="41" t="s">
        <v>52</v>
      </c>
    </row>
    <row r="5" spans="1:16" ht="13.5" thickBot="1" x14ac:dyDescent="0.25">
      <c r="I5" s="43" t="s">
        <v>54</v>
      </c>
      <c r="J5" s="44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38" si="0">P11</f>
        <v>IBVS 4125 </v>
      </c>
      <c r="B11" s="3" t="str">
        <f t="shared" ref="B11:B38" si="1">IF(H11=INT(H11),"I","II")</f>
        <v>I</v>
      </c>
      <c r="C11" s="10">
        <f t="shared" ref="C11:C38" si="2">1*G11</f>
        <v>41565.279999999999</v>
      </c>
      <c r="D11" s="12" t="str">
        <f t="shared" ref="D11:D38" si="3">VLOOKUP(F11,I$1:J$5,2,FALSE)</f>
        <v>vis</v>
      </c>
      <c r="E11" s="45">
        <f>VLOOKUP(C11,Active!C$21:E$973,3,FALSE)</f>
        <v>-127.99105040037671</v>
      </c>
      <c r="F11" s="3" t="s">
        <v>54</v>
      </c>
      <c r="G11" s="12" t="str">
        <f t="shared" ref="G11:G38" si="4">MID(I11,3,LEN(I11)-3)</f>
        <v>41565.28</v>
      </c>
      <c r="H11" s="10">
        <f t="shared" ref="H11:H38" si="5">1*K11</f>
        <v>-2147</v>
      </c>
      <c r="I11" s="46" t="s">
        <v>56</v>
      </c>
      <c r="J11" s="47" t="s">
        <v>57</v>
      </c>
      <c r="K11" s="46">
        <v>-2147</v>
      </c>
      <c r="L11" s="46" t="s">
        <v>58</v>
      </c>
      <c r="M11" s="47" t="s">
        <v>59</v>
      </c>
      <c r="N11" s="47"/>
      <c r="O11" s="48" t="s">
        <v>60</v>
      </c>
      <c r="P11" s="49" t="s">
        <v>61</v>
      </c>
    </row>
    <row r="12" spans="1:16" ht="12.75" customHeight="1" thickBot="1" x14ac:dyDescent="0.25">
      <c r="A12" s="10" t="str">
        <f t="shared" si="0"/>
        <v>IBVS 4125 </v>
      </c>
      <c r="B12" s="3" t="str">
        <f t="shared" si="1"/>
        <v>I</v>
      </c>
      <c r="C12" s="10">
        <f t="shared" si="2"/>
        <v>41570.28</v>
      </c>
      <c r="D12" s="12" t="str">
        <f t="shared" si="3"/>
        <v>vis</v>
      </c>
      <c r="E12" s="45">
        <f>VLOOKUP(C12,Active!C$21:E$973,3,FALSE)</f>
        <v>-127.00973465222158</v>
      </c>
      <c r="F12" s="3" t="s">
        <v>54</v>
      </c>
      <c r="G12" s="12" t="str">
        <f t="shared" si="4"/>
        <v>41570.28</v>
      </c>
      <c r="H12" s="10">
        <f t="shared" si="5"/>
        <v>-2146</v>
      </c>
      <c r="I12" s="46" t="s">
        <v>62</v>
      </c>
      <c r="J12" s="47" t="s">
        <v>63</v>
      </c>
      <c r="K12" s="46">
        <v>-2146</v>
      </c>
      <c r="L12" s="46" t="s">
        <v>64</v>
      </c>
      <c r="M12" s="47" t="s">
        <v>59</v>
      </c>
      <c r="N12" s="47"/>
      <c r="O12" s="48" t="s">
        <v>60</v>
      </c>
      <c r="P12" s="49" t="s">
        <v>61</v>
      </c>
    </row>
    <row r="13" spans="1:16" ht="12.75" customHeight="1" thickBot="1" x14ac:dyDescent="0.25">
      <c r="A13" s="10" t="str">
        <f t="shared" si="0"/>
        <v>IBVS 4125 </v>
      </c>
      <c r="B13" s="3" t="str">
        <f t="shared" si="1"/>
        <v>I</v>
      </c>
      <c r="C13" s="10">
        <f t="shared" si="2"/>
        <v>41840.42</v>
      </c>
      <c r="D13" s="12" t="str">
        <f t="shared" si="3"/>
        <v>vis</v>
      </c>
      <c r="E13" s="45">
        <f>VLOOKUP(C13,Active!C$21:E$973,3,FALSE)</f>
        <v>-73.991207410896521</v>
      </c>
      <c r="F13" s="3" t="s">
        <v>54</v>
      </c>
      <c r="G13" s="12" t="str">
        <f t="shared" si="4"/>
        <v>41840.42</v>
      </c>
      <c r="H13" s="10">
        <f t="shared" si="5"/>
        <v>-2093</v>
      </c>
      <c r="I13" s="46" t="s">
        <v>65</v>
      </c>
      <c r="J13" s="47" t="s">
        <v>66</v>
      </c>
      <c r="K13" s="46">
        <v>-2093</v>
      </c>
      <c r="L13" s="46" t="s">
        <v>58</v>
      </c>
      <c r="M13" s="47" t="s">
        <v>59</v>
      </c>
      <c r="N13" s="47"/>
      <c r="O13" s="48" t="s">
        <v>60</v>
      </c>
      <c r="P13" s="49" t="s">
        <v>61</v>
      </c>
    </row>
    <row r="14" spans="1:16" ht="12.75" customHeight="1" thickBot="1" x14ac:dyDescent="0.25">
      <c r="A14" s="10" t="str">
        <f t="shared" si="0"/>
        <v>IBVS 4125 </v>
      </c>
      <c r="B14" s="3" t="str">
        <f t="shared" si="1"/>
        <v>I</v>
      </c>
      <c r="C14" s="10">
        <f t="shared" si="2"/>
        <v>41947.33</v>
      </c>
      <c r="D14" s="12" t="str">
        <f t="shared" si="3"/>
        <v>vis</v>
      </c>
      <c r="E14" s="45">
        <f>VLOOKUP(C14,Active!C$21:E$973,3,FALSE)</f>
        <v>-53.008714083842932</v>
      </c>
      <c r="F14" s="3" t="s">
        <v>54</v>
      </c>
      <c r="G14" s="12" t="str">
        <f t="shared" si="4"/>
        <v>41947.33</v>
      </c>
      <c r="H14" s="10">
        <f t="shared" si="5"/>
        <v>-2072</v>
      </c>
      <c r="I14" s="46" t="s">
        <v>67</v>
      </c>
      <c r="J14" s="47" t="s">
        <v>68</v>
      </c>
      <c r="K14" s="46">
        <v>-2072</v>
      </c>
      <c r="L14" s="46" t="s">
        <v>64</v>
      </c>
      <c r="M14" s="47" t="s">
        <v>59</v>
      </c>
      <c r="N14" s="47"/>
      <c r="O14" s="48" t="s">
        <v>60</v>
      </c>
      <c r="P14" s="49" t="s">
        <v>61</v>
      </c>
    </row>
    <row r="15" spans="1:16" ht="12.75" customHeight="1" thickBot="1" x14ac:dyDescent="0.25">
      <c r="A15" s="10" t="str">
        <f t="shared" si="0"/>
        <v>IBVS 4125 </v>
      </c>
      <c r="B15" s="3" t="str">
        <f t="shared" si="1"/>
        <v>I</v>
      </c>
      <c r="C15" s="10">
        <f t="shared" si="2"/>
        <v>41952.36</v>
      </c>
      <c r="D15" s="12" t="str">
        <f t="shared" si="3"/>
        <v>vis</v>
      </c>
      <c r="E15" s="45">
        <f>VLOOKUP(C15,Active!C$21:E$973,3,FALSE)</f>
        <v>-52.021510441199105</v>
      </c>
      <c r="F15" s="3" t="s">
        <v>54</v>
      </c>
      <c r="G15" s="12" t="str">
        <f t="shared" si="4"/>
        <v>41952.36</v>
      </c>
      <c r="H15" s="10">
        <f t="shared" si="5"/>
        <v>-2071</v>
      </c>
      <c r="I15" s="46" t="s">
        <v>69</v>
      </c>
      <c r="J15" s="47" t="s">
        <v>70</v>
      </c>
      <c r="K15" s="46">
        <v>-2071</v>
      </c>
      <c r="L15" s="46" t="s">
        <v>71</v>
      </c>
      <c r="M15" s="47" t="s">
        <v>59</v>
      </c>
      <c r="N15" s="47"/>
      <c r="O15" s="48" t="s">
        <v>60</v>
      </c>
      <c r="P15" s="49" t="s">
        <v>61</v>
      </c>
    </row>
    <row r="16" spans="1:16" ht="12.75" customHeight="1" thickBot="1" x14ac:dyDescent="0.25">
      <c r="A16" s="10" t="str">
        <f t="shared" si="0"/>
        <v>IBVS 4125 </v>
      </c>
      <c r="B16" s="3" t="str">
        <f t="shared" si="1"/>
        <v>I</v>
      </c>
      <c r="C16" s="10">
        <f t="shared" si="2"/>
        <v>42212.43</v>
      </c>
      <c r="D16" s="12" t="str">
        <f t="shared" si="3"/>
        <v>vis</v>
      </c>
      <c r="E16" s="45">
        <f>VLOOKUP(C16,Active!C$21:E$973,3,FALSE)</f>
        <v>-0.97935311665841629</v>
      </c>
      <c r="F16" s="3" t="s">
        <v>54</v>
      </c>
      <c r="G16" s="12" t="str">
        <f t="shared" si="4"/>
        <v>42212.43</v>
      </c>
      <c r="H16" s="10">
        <f t="shared" si="5"/>
        <v>-2020</v>
      </c>
      <c r="I16" s="46" t="s">
        <v>72</v>
      </c>
      <c r="J16" s="47" t="s">
        <v>73</v>
      </c>
      <c r="K16" s="46">
        <v>-2020</v>
      </c>
      <c r="L16" s="46" t="s">
        <v>74</v>
      </c>
      <c r="M16" s="47" t="s">
        <v>59</v>
      </c>
      <c r="N16" s="47"/>
      <c r="O16" s="48" t="s">
        <v>60</v>
      </c>
      <c r="P16" s="49" t="s">
        <v>61</v>
      </c>
    </row>
    <row r="17" spans="1:16" ht="12.75" customHeight="1" thickBot="1" x14ac:dyDescent="0.25">
      <c r="A17" s="10" t="str">
        <f t="shared" si="0"/>
        <v>IBVS 4125 </v>
      </c>
      <c r="B17" s="3" t="str">
        <f t="shared" si="1"/>
        <v>I</v>
      </c>
      <c r="C17" s="10">
        <f t="shared" si="2"/>
        <v>42217.43</v>
      </c>
      <c r="D17" s="12" t="str">
        <f t="shared" si="3"/>
        <v>vis</v>
      </c>
      <c r="E17" s="45">
        <f>VLOOKUP(C17,Active!C$21:E$973,3,FALSE)</f>
        <v>1.9626314967100935E-3</v>
      </c>
      <c r="F17" s="3" t="s">
        <v>54</v>
      </c>
      <c r="G17" s="12" t="str">
        <f t="shared" si="4"/>
        <v>42217.43</v>
      </c>
      <c r="H17" s="10">
        <f t="shared" si="5"/>
        <v>-2019</v>
      </c>
      <c r="I17" s="46" t="s">
        <v>75</v>
      </c>
      <c r="J17" s="47" t="s">
        <v>76</v>
      </c>
      <c r="K17" s="46">
        <v>-2019</v>
      </c>
      <c r="L17" s="46" t="s">
        <v>77</v>
      </c>
      <c r="M17" s="47" t="s">
        <v>59</v>
      </c>
      <c r="N17" s="47"/>
      <c r="O17" s="48" t="s">
        <v>60</v>
      </c>
      <c r="P17" s="49" t="s">
        <v>61</v>
      </c>
    </row>
    <row r="18" spans="1:16" ht="12.75" customHeight="1" thickBot="1" x14ac:dyDescent="0.25">
      <c r="A18" s="10" t="str">
        <f t="shared" si="0"/>
        <v>IBVS 4125 </v>
      </c>
      <c r="B18" s="3" t="str">
        <f t="shared" si="1"/>
        <v>I</v>
      </c>
      <c r="C18" s="10">
        <f t="shared" si="2"/>
        <v>42309.24</v>
      </c>
      <c r="D18" s="12" t="str">
        <f t="shared" si="3"/>
        <v>vis</v>
      </c>
      <c r="E18" s="45">
        <f>VLOOKUP(C18,Active!C$21:E$973,3,FALSE)</f>
        <v>18.020882399120683</v>
      </c>
      <c r="F18" s="3" t="s">
        <v>54</v>
      </c>
      <c r="G18" s="12" t="str">
        <f t="shared" si="4"/>
        <v>42309.24</v>
      </c>
      <c r="H18" s="10">
        <f t="shared" si="5"/>
        <v>-2001</v>
      </c>
      <c r="I18" s="46" t="s">
        <v>78</v>
      </c>
      <c r="J18" s="47" t="s">
        <v>79</v>
      </c>
      <c r="K18" s="46">
        <v>-2001</v>
      </c>
      <c r="L18" s="46" t="s">
        <v>80</v>
      </c>
      <c r="M18" s="47" t="s">
        <v>59</v>
      </c>
      <c r="N18" s="47"/>
      <c r="O18" s="48" t="s">
        <v>60</v>
      </c>
      <c r="P18" s="49" t="s">
        <v>61</v>
      </c>
    </row>
    <row r="19" spans="1:16" ht="12.75" customHeight="1" thickBot="1" x14ac:dyDescent="0.25">
      <c r="A19" s="10" t="str">
        <f t="shared" si="0"/>
        <v>IBVS 4125 </v>
      </c>
      <c r="B19" s="3" t="str">
        <f t="shared" si="1"/>
        <v>I</v>
      </c>
      <c r="C19" s="10">
        <f t="shared" si="2"/>
        <v>42365.16</v>
      </c>
      <c r="D19" s="12" t="str">
        <f t="shared" si="3"/>
        <v>vis</v>
      </c>
      <c r="E19" s="45">
        <f>VLOOKUP(C19,Active!C$21:E$973,3,FALSE)</f>
        <v>28.995917726488702</v>
      </c>
      <c r="F19" s="3" t="s">
        <v>54</v>
      </c>
      <c r="G19" s="12" t="str">
        <f t="shared" si="4"/>
        <v>42365.16</v>
      </c>
      <c r="H19" s="10">
        <f t="shared" si="5"/>
        <v>-1990</v>
      </c>
      <c r="I19" s="46" t="s">
        <v>81</v>
      </c>
      <c r="J19" s="47" t="s">
        <v>82</v>
      </c>
      <c r="K19" s="46">
        <v>-1990</v>
      </c>
      <c r="L19" s="46" t="s">
        <v>83</v>
      </c>
      <c r="M19" s="47" t="s">
        <v>59</v>
      </c>
      <c r="N19" s="47"/>
      <c r="O19" s="48" t="s">
        <v>60</v>
      </c>
      <c r="P19" s="49" t="s">
        <v>61</v>
      </c>
    </row>
    <row r="20" spans="1:16" ht="12.75" customHeight="1" thickBot="1" x14ac:dyDescent="0.25">
      <c r="A20" s="10" t="str">
        <f t="shared" si="0"/>
        <v>IBVS 4125 </v>
      </c>
      <c r="B20" s="3" t="str">
        <f t="shared" si="1"/>
        <v>I</v>
      </c>
      <c r="C20" s="10">
        <f t="shared" si="2"/>
        <v>42686.28</v>
      </c>
      <c r="D20" s="12" t="str">
        <f t="shared" si="3"/>
        <v>vis</v>
      </c>
      <c r="E20" s="45">
        <f>VLOOKUP(C20,Active!C$21:E$973,3,FALSE)</f>
        <v>92.01994033600262</v>
      </c>
      <c r="F20" s="3" t="s">
        <v>54</v>
      </c>
      <c r="G20" s="12" t="str">
        <f t="shared" si="4"/>
        <v>42686.28</v>
      </c>
      <c r="H20" s="10">
        <f t="shared" si="5"/>
        <v>-1927</v>
      </c>
      <c r="I20" s="46" t="s">
        <v>84</v>
      </c>
      <c r="J20" s="47" t="s">
        <v>85</v>
      </c>
      <c r="K20" s="46">
        <v>-1927</v>
      </c>
      <c r="L20" s="46" t="s">
        <v>74</v>
      </c>
      <c r="M20" s="47" t="s">
        <v>59</v>
      </c>
      <c r="N20" s="47"/>
      <c r="O20" s="48" t="s">
        <v>60</v>
      </c>
      <c r="P20" s="49" t="s">
        <v>61</v>
      </c>
    </row>
    <row r="21" spans="1:16" ht="12.75" customHeight="1" thickBot="1" x14ac:dyDescent="0.25">
      <c r="A21" s="10" t="str">
        <f t="shared" si="0"/>
        <v>IBVS 4125 </v>
      </c>
      <c r="B21" s="3" t="str">
        <f t="shared" si="1"/>
        <v>I</v>
      </c>
      <c r="C21" s="10">
        <f t="shared" si="2"/>
        <v>42869.47</v>
      </c>
      <c r="D21" s="12" t="str">
        <f t="shared" si="3"/>
        <v>vis</v>
      </c>
      <c r="E21" s="45">
        <f>VLOOKUP(C21,Active!C$21:E$973,3,FALSE)</f>
        <v>127.9733867169106</v>
      </c>
      <c r="F21" s="3" t="s">
        <v>54</v>
      </c>
      <c r="G21" s="12" t="str">
        <f t="shared" si="4"/>
        <v>42869.47</v>
      </c>
      <c r="H21" s="10">
        <f t="shared" si="5"/>
        <v>-1891</v>
      </c>
      <c r="I21" s="46" t="s">
        <v>86</v>
      </c>
      <c r="J21" s="47" t="s">
        <v>87</v>
      </c>
      <c r="K21" s="46">
        <v>-1891</v>
      </c>
      <c r="L21" s="46" t="s">
        <v>88</v>
      </c>
      <c r="M21" s="47" t="s">
        <v>59</v>
      </c>
      <c r="N21" s="47"/>
      <c r="O21" s="48" t="s">
        <v>60</v>
      </c>
      <c r="P21" s="49" t="s">
        <v>61</v>
      </c>
    </row>
    <row r="22" spans="1:16" ht="12.75" customHeight="1" thickBot="1" x14ac:dyDescent="0.25">
      <c r="A22" s="10" t="str">
        <f t="shared" si="0"/>
        <v>IBVS 4125 </v>
      </c>
      <c r="B22" s="3" t="str">
        <f t="shared" si="1"/>
        <v>I</v>
      </c>
      <c r="C22" s="10">
        <f t="shared" si="2"/>
        <v>42920.5</v>
      </c>
      <c r="D22" s="12" t="str">
        <f t="shared" si="3"/>
        <v>vis</v>
      </c>
      <c r="E22" s="45">
        <f>VLOOKUP(C22,Active!C$21:E$973,3,FALSE)</f>
        <v>137.9886952425816</v>
      </c>
      <c r="F22" s="3" t="s">
        <v>54</v>
      </c>
      <c r="G22" s="12" t="str">
        <f t="shared" si="4"/>
        <v>42920.50</v>
      </c>
      <c r="H22" s="10">
        <f t="shared" si="5"/>
        <v>-1881</v>
      </c>
      <c r="I22" s="46" t="s">
        <v>89</v>
      </c>
      <c r="J22" s="47" t="s">
        <v>90</v>
      </c>
      <c r="K22" s="46">
        <v>-1881</v>
      </c>
      <c r="L22" s="46" t="s">
        <v>91</v>
      </c>
      <c r="M22" s="47" t="s">
        <v>59</v>
      </c>
      <c r="N22" s="47"/>
      <c r="O22" s="48" t="s">
        <v>60</v>
      </c>
      <c r="P22" s="49" t="s">
        <v>61</v>
      </c>
    </row>
    <row r="23" spans="1:16" ht="12.75" customHeight="1" thickBot="1" x14ac:dyDescent="0.25">
      <c r="A23" s="10" t="str">
        <f t="shared" si="0"/>
        <v>IBVS 4125 </v>
      </c>
      <c r="B23" s="3" t="str">
        <f t="shared" si="1"/>
        <v>I</v>
      </c>
      <c r="C23" s="10">
        <f t="shared" si="2"/>
        <v>43017.38</v>
      </c>
      <c r="D23" s="12" t="str">
        <f t="shared" si="3"/>
        <v>vis</v>
      </c>
      <c r="E23" s="45">
        <f>VLOOKUP(C23,Active!C$21:E$973,3,FALSE)</f>
        <v>157.00266917883479</v>
      </c>
      <c r="F23" s="3" t="s">
        <v>54</v>
      </c>
      <c r="G23" s="12" t="str">
        <f t="shared" si="4"/>
        <v>43017.38</v>
      </c>
      <c r="H23" s="10">
        <f t="shared" si="5"/>
        <v>-1862</v>
      </c>
      <c r="I23" s="46" t="s">
        <v>92</v>
      </c>
      <c r="J23" s="47" t="s">
        <v>93</v>
      </c>
      <c r="K23" s="46">
        <v>-1862</v>
      </c>
      <c r="L23" s="46" t="s">
        <v>77</v>
      </c>
      <c r="M23" s="47" t="s">
        <v>59</v>
      </c>
      <c r="N23" s="47"/>
      <c r="O23" s="48" t="s">
        <v>60</v>
      </c>
      <c r="P23" s="49" t="s">
        <v>61</v>
      </c>
    </row>
    <row r="24" spans="1:16" ht="12.75" customHeight="1" thickBot="1" x14ac:dyDescent="0.25">
      <c r="A24" s="10" t="str">
        <f t="shared" si="0"/>
        <v>IBVS 4125 </v>
      </c>
      <c r="B24" s="3" t="str">
        <f t="shared" si="1"/>
        <v>I</v>
      </c>
      <c r="C24" s="10">
        <f t="shared" si="2"/>
        <v>43659.43</v>
      </c>
      <c r="D24" s="12" t="str">
        <f t="shared" si="3"/>
        <v>vis</v>
      </c>
      <c r="E24" s="45">
        <f>VLOOKUP(C24,Active!C$21:E$973,3,FALSE)</f>
        <v>283.01342439943517</v>
      </c>
      <c r="F24" s="3" t="s">
        <v>54</v>
      </c>
      <c r="G24" s="12" t="str">
        <f t="shared" si="4"/>
        <v>43659.43</v>
      </c>
      <c r="H24" s="10">
        <f t="shared" si="5"/>
        <v>-1736</v>
      </c>
      <c r="I24" s="46" t="s">
        <v>94</v>
      </c>
      <c r="J24" s="47" t="s">
        <v>95</v>
      </c>
      <c r="K24" s="46">
        <v>-1736</v>
      </c>
      <c r="L24" s="46" t="s">
        <v>96</v>
      </c>
      <c r="M24" s="47" t="s">
        <v>59</v>
      </c>
      <c r="N24" s="47"/>
      <c r="O24" s="48" t="s">
        <v>60</v>
      </c>
      <c r="P24" s="49" t="s">
        <v>61</v>
      </c>
    </row>
    <row r="25" spans="1:16" ht="12.75" customHeight="1" thickBot="1" x14ac:dyDescent="0.25">
      <c r="A25" s="10" t="str">
        <f t="shared" si="0"/>
        <v>IBVS 4125 </v>
      </c>
      <c r="B25" s="3" t="str">
        <f t="shared" si="1"/>
        <v>I</v>
      </c>
      <c r="C25" s="10">
        <f t="shared" si="2"/>
        <v>43807.199999999997</v>
      </c>
      <c r="D25" s="12" t="str">
        <f t="shared" si="3"/>
        <v>vis</v>
      </c>
      <c r="E25" s="45">
        <f>VLOOKUP(C25,Active!C$21:E$973,3,FALSE)</f>
        <v>312.01523002041114</v>
      </c>
      <c r="F25" s="3" t="s">
        <v>54</v>
      </c>
      <c r="G25" s="12" t="str">
        <f t="shared" si="4"/>
        <v>43807.20</v>
      </c>
      <c r="H25" s="10">
        <f t="shared" si="5"/>
        <v>-1707</v>
      </c>
      <c r="I25" s="46" t="s">
        <v>97</v>
      </c>
      <c r="J25" s="47" t="s">
        <v>98</v>
      </c>
      <c r="K25" s="46">
        <v>-1707</v>
      </c>
      <c r="L25" s="46" t="s">
        <v>99</v>
      </c>
      <c r="M25" s="47" t="s">
        <v>59</v>
      </c>
      <c r="N25" s="47"/>
      <c r="O25" s="48" t="s">
        <v>60</v>
      </c>
      <c r="P25" s="49" t="s">
        <v>61</v>
      </c>
    </row>
    <row r="26" spans="1:16" ht="12.75" customHeight="1" thickBot="1" x14ac:dyDescent="0.25">
      <c r="A26" s="10" t="str">
        <f t="shared" si="0"/>
        <v>IBVS 4125 </v>
      </c>
      <c r="B26" s="3" t="str">
        <f t="shared" si="1"/>
        <v>I</v>
      </c>
      <c r="C26" s="10">
        <f t="shared" si="2"/>
        <v>43934.54</v>
      </c>
      <c r="D26" s="12" t="str">
        <f t="shared" si="3"/>
        <v>vis</v>
      </c>
      <c r="E26" s="45">
        <f>VLOOKUP(C26,Active!C$21:E$973,3,FALSE)</f>
        <v>337.00737949442663</v>
      </c>
      <c r="F26" s="3" t="s">
        <v>54</v>
      </c>
      <c r="G26" s="12" t="str">
        <f t="shared" si="4"/>
        <v>43934.54</v>
      </c>
      <c r="H26" s="10">
        <f t="shared" si="5"/>
        <v>-1682</v>
      </c>
      <c r="I26" s="46" t="s">
        <v>100</v>
      </c>
      <c r="J26" s="47" t="s">
        <v>101</v>
      </c>
      <c r="K26" s="46">
        <v>-1682</v>
      </c>
      <c r="L26" s="46" t="s">
        <v>58</v>
      </c>
      <c r="M26" s="47" t="s">
        <v>59</v>
      </c>
      <c r="N26" s="47"/>
      <c r="O26" s="48" t="s">
        <v>60</v>
      </c>
      <c r="P26" s="49" t="s">
        <v>61</v>
      </c>
    </row>
    <row r="27" spans="1:16" ht="12.75" customHeight="1" thickBot="1" x14ac:dyDescent="0.25">
      <c r="A27" s="10" t="str">
        <f t="shared" si="0"/>
        <v>IBVS 4125 </v>
      </c>
      <c r="B27" s="3" t="str">
        <f t="shared" si="1"/>
        <v>I</v>
      </c>
      <c r="C27" s="10">
        <f t="shared" si="2"/>
        <v>45524.36</v>
      </c>
      <c r="D27" s="12" t="str">
        <f t="shared" si="3"/>
        <v>vis</v>
      </c>
      <c r="E27" s="45">
        <f>VLOOKUP(C27,Active!C$21:E$973,3,FALSE)</f>
        <v>649.03046004082319</v>
      </c>
      <c r="F27" s="3" t="s">
        <v>54</v>
      </c>
      <c r="G27" s="12" t="str">
        <f t="shared" si="4"/>
        <v>45524.36</v>
      </c>
      <c r="H27" s="10">
        <f t="shared" si="5"/>
        <v>-1370</v>
      </c>
      <c r="I27" s="46" t="s">
        <v>102</v>
      </c>
      <c r="J27" s="47" t="s">
        <v>103</v>
      </c>
      <c r="K27" s="46">
        <v>-1370</v>
      </c>
      <c r="L27" s="46" t="s">
        <v>104</v>
      </c>
      <c r="M27" s="47" t="s">
        <v>59</v>
      </c>
      <c r="N27" s="47"/>
      <c r="O27" s="48" t="s">
        <v>60</v>
      </c>
      <c r="P27" s="49" t="s">
        <v>61</v>
      </c>
    </row>
    <row r="28" spans="1:16" ht="12.75" customHeight="1" thickBot="1" x14ac:dyDescent="0.25">
      <c r="A28" s="10" t="str">
        <f t="shared" si="0"/>
        <v>IBVS 4125 </v>
      </c>
      <c r="B28" s="3" t="str">
        <f t="shared" si="1"/>
        <v>I</v>
      </c>
      <c r="C28" s="10">
        <f t="shared" si="2"/>
        <v>45529.39</v>
      </c>
      <c r="D28" s="12" t="str">
        <f t="shared" si="3"/>
        <v>vis</v>
      </c>
      <c r="E28" s="45">
        <f>VLOOKUP(C28,Active!C$21:E$973,3,FALSE)</f>
        <v>650.01766368346705</v>
      </c>
      <c r="F28" s="3" t="s">
        <v>54</v>
      </c>
      <c r="G28" s="12" t="str">
        <f t="shared" si="4"/>
        <v>45529.39</v>
      </c>
      <c r="H28" s="10">
        <f t="shared" si="5"/>
        <v>-1369</v>
      </c>
      <c r="I28" s="46" t="s">
        <v>105</v>
      </c>
      <c r="J28" s="47" t="s">
        <v>106</v>
      </c>
      <c r="K28" s="46">
        <v>-1369</v>
      </c>
      <c r="L28" s="46" t="s">
        <v>107</v>
      </c>
      <c r="M28" s="47" t="s">
        <v>59</v>
      </c>
      <c r="N28" s="47"/>
      <c r="O28" s="48" t="s">
        <v>60</v>
      </c>
      <c r="P28" s="49" t="s">
        <v>61</v>
      </c>
    </row>
    <row r="29" spans="1:16" ht="12.75" customHeight="1" thickBot="1" x14ac:dyDescent="0.25">
      <c r="A29" s="10" t="str">
        <f t="shared" si="0"/>
        <v>IBVS 4125 </v>
      </c>
      <c r="B29" s="3" t="str">
        <f t="shared" si="1"/>
        <v>I</v>
      </c>
      <c r="C29" s="10">
        <f t="shared" si="2"/>
        <v>45580.3</v>
      </c>
      <c r="D29" s="12" t="str">
        <f t="shared" si="3"/>
        <v>vis</v>
      </c>
      <c r="E29" s="45">
        <f>VLOOKUP(C29,Active!C$21:E$973,3,FALSE)</f>
        <v>660.00942063118316</v>
      </c>
      <c r="F29" s="3" t="s">
        <v>54</v>
      </c>
      <c r="G29" s="12" t="str">
        <f t="shared" si="4"/>
        <v>45580.30</v>
      </c>
      <c r="H29" s="10">
        <f t="shared" si="5"/>
        <v>-1359</v>
      </c>
      <c r="I29" s="46" t="s">
        <v>108</v>
      </c>
      <c r="J29" s="47" t="s">
        <v>109</v>
      </c>
      <c r="K29" s="46">
        <v>-1359</v>
      </c>
      <c r="L29" s="46" t="s">
        <v>110</v>
      </c>
      <c r="M29" s="47" t="s">
        <v>59</v>
      </c>
      <c r="N29" s="47"/>
      <c r="O29" s="48" t="s">
        <v>60</v>
      </c>
      <c r="P29" s="49" t="s">
        <v>61</v>
      </c>
    </row>
    <row r="30" spans="1:16" ht="12.75" customHeight="1" thickBot="1" x14ac:dyDescent="0.25">
      <c r="A30" s="10" t="str">
        <f t="shared" si="0"/>
        <v>IBVS 4125 </v>
      </c>
      <c r="B30" s="3" t="str">
        <f t="shared" si="1"/>
        <v>I</v>
      </c>
      <c r="C30" s="10">
        <f t="shared" si="2"/>
        <v>45585.34</v>
      </c>
      <c r="D30" s="12" t="str">
        <f t="shared" si="3"/>
        <v>vis</v>
      </c>
      <c r="E30" s="45">
        <f>VLOOKUP(C30,Active!C$21:E$973,3,FALSE)</f>
        <v>660.99858690532233</v>
      </c>
      <c r="F30" s="3" t="s">
        <v>54</v>
      </c>
      <c r="G30" s="12" t="str">
        <f t="shared" si="4"/>
        <v>45585.34</v>
      </c>
      <c r="H30" s="10">
        <f t="shared" si="5"/>
        <v>-1358</v>
      </c>
      <c r="I30" s="46" t="s">
        <v>111</v>
      </c>
      <c r="J30" s="47" t="s">
        <v>112</v>
      </c>
      <c r="K30" s="46">
        <v>-1358</v>
      </c>
      <c r="L30" s="46" t="s">
        <v>113</v>
      </c>
      <c r="M30" s="47" t="s">
        <v>59</v>
      </c>
      <c r="N30" s="47"/>
      <c r="O30" s="48" t="s">
        <v>60</v>
      </c>
      <c r="P30" s="49" t="s">
        <v>61</v>
      </c>
    </row>
    <row r="31" spans="1:16" ht="12.75" customHeight="1" thickBot="1" x14ac:dyDescent="0.25">
      <c r="A31" s="10" t="str">
        <f t="shared" si="0"/>
        <v>IBVS 4125 </v>
      </c>
      <c r="B31" s="3" t="str">
        <f t="shared" si="1"/>
        <v>I</v>
      </c>
      <c r="C31" s="10">
        <f t="shared" si="2"/>
        <v>45911.39</v>
      </c>
      <c r="D31" s="12" t="str">
        <f t="shared" si="3"/>
        <v>vis</v>
      </c>
      <c r="E31" s="45">
        <f>VLOOKUP(C31,Active!C$21:E$973,3,FALSE)</f>
        <v>724.9901868425186</v>
      </c>
      <c r="F31" s="3" t="s">
        <v>54</v>
      </c>
      <c r="G31" s="12" t="str">
        <f t="shared" si="4"/>
        <v>45911.39</v>
      </c>
      <c r="H31" s="10">
        <f t="shared" si="5"/>
        <v>-1294</v>
      </c>
      <c r="I31" s="46" t="s">
        <v>114</v>
      </c>
      <c r="J31" s="47" t="s">
        <v>115</v>
      </c>
      <c r="K31" s="46">
        <v>-1294</v>
      </c>
      <c r="L31" s="46" t="s">
        <v>64</v>
      </c>
      <c r="M31" s="47" t="s">
        <v>59</v>
      </c>
      <c r="N31" s="47"/>
      <c r="O31" s="48" t="s">
        <v>60</v>
      </c>
      <c r="P31" s="49" t="s">
        <v>61</v>
      </c>
    </row>
    <row r="32" spans="1:16" ht="12.75" customHeight="1" thickBot="1" x14ac:dyDescent="0.25">
      <c r="A32" s="10" t="str">
        <f t="shared" si="0"/>
        <v>IBVS 4125 </v>
      </c>
      <c r="B32" s="3" t="str">
        <f t="shared" si="1"/>
        <v>I</v>
      </c>
      <c r="C32" s="10">
        <f t="shared" si="2"/>
        <v>47027.32</v>
      </c>
      <c r="D32" s="12" t="str">
        <f t="shared" si="3"/>
        <v>vis</v>
      </c>
      <c r="E32" s="45">
        <f>VLOOKUP(C32,Active!C$21:E$973,3,FALSE)</f>
        <v>944.00612341026874</v>
      </c>
      <c r="F32" s="3" t="s">
        <v>54</v>
      </c>
      <c r="G32" s="12" t="str">
        <f t="shared" si="4"/>
        <v>47027.32</v>
      </c>
      <c r="H32" s="10">
        <f t="shared" si="5"/>
        <v>-1075</v>
      </c>
      <c r="I32" s="46" t="s">
        <v>116</v>
      </c>
      <c r="J32" s="47" t="s">
        <v>117</v>
      </c>
      <c r="K32" s="46">
        <v>-1075</v>
      </c>
      <c r="L32" s="46" t="s">
        <v>118</v>
      </c>
      <c r="M32" s="47" t="s">
        <v>59</v>
      </c>
      <c r="N32" s="47"/>
      <c r="O32" s="48" t="s">
        <v>60</v>
      </c>
      <c r="P32" s="49" t="s">
        <v>61</v>
      </c>
    </row>
    <row r="33" spans="1:16" ht="12.75" customHeight="1" thickBot="1" x14ac:dyDescent="0.25">
      <c r="A33" s="10" t="str">
        <f t="shared" si="0"/>
        <v>IBVS 4125 </v>
      </c>
      <c r="B33" s="3" t="str">
        <f t="shared" si="1"/>
        <v>I</v>
      </c>
      <c r="C33" s="10">
        <f t="shared" si="2"/>
        <v>47679.44</v>
      </c>
      <c r="D33" s="12" t="str">
        <f t="shared" si="3"/>
        <v>vis</v>
      </c>
      <c r="E33" s="45">
        <f>VLOOKUP(C33,Active!C$21:E$973,3,FALSE)</f>
        <v>1071.9932485476534</v>
      </c>
      <c r="F33" s="3" t="s">
        <v>54</v>
      </c>
      <c r="G33" s="12" t="str">
        <f t="shared" si="4"/>
        <v>47679.44</v>
      </c>
      <c r="H33" s="10">
        <f t="shared" si="5"/>
        <v>-947</v>
      </c>
      <c r="I33" s="46" t="s">
        <v>119</v>
      </c>
      <c r="J33" s="47" t="s">
        <v>120</v>
      </c>
      <c r="K33" s="46">
        <v>-947</v>
      </c>
      <c r="L33" s="46" t="s">
        <v>121</v>
      </c>
      <c r="M33" s="47" t="s">
        <v>59</v>
      </c>
      <c r="N33" s="47"/>
      <c r="O33" s="48" t="s">
        <v>60</v>
      </c>
      <c r="P33" s="49" t="s">
        <v>61</v>
      </c>
    </row>
    <row r="34" spans="1:16" ht="12.75" customHeight="1" thickBot="1" x14ac:dyDescent="0.25">
      <c r="A34" s="10" t="str">
        <f t="shared" si="0"/>
        <v>BAVM 215 </v>
      </c>
      <c r="B34" s="3" t="str">
        <f t="shared" si="1"/>
        <v>I</v>
      </c>
      <c r="C34" s="10">
        <f t="shared" si="2"/>
        <v>55388.506399999998</v>
      </c>
      <c r="D34" s="12" t="str">
        <f t="shared" si="3"/>
        <v>vis</v>
      </c>
      <c r="E34" s="45">
        <f>VLOOKUP(C34,Active!C$21:E$973,3,FALSE)</f>
        <v>2584.9989009263618</v>
      </c>
      <c r="F34" s="3" t="s">
        <v>54</v>
      </c>
      <c r="G34" s="12" t="str">
        <f t="shared" si="4"/>
        <v>55388.5064</v>
      </c>
      <c r="H34" s="10">
        <f t="shared" si="5"/>
        <v>566</v>
      </c>
      <c r="I34" s="46" t="s">
        <v>136</v>
      </c>
      <c r="J34" s="47" t="s">
        <v>137</v>
      </c>
      <c r="K34" s="46">
        <v>566</v>
      </c>
      <c r="L34" s="46" t="s">
        <v>138</v>
      </c>
      <c r="M34" s="47" t="s">
        <v>132</v>
      </c>
      <c r="N34" s="47" t="s">
        <v>139</v>
      </c>
      <c r="O34" s="48" t="s">
        <v>140</v>
      </c>
      <c r="P34" s="49" t="s">
        <v>141</v>
      </c>
    </row>
    <row r="35" spans="1:16" ht="12.75" customHeight="1" thickBot="1" x14ac:dyDescent="0.25">
      <c r="A35" s="10" t="str">
        <f t="shared" si="0"/>
        <v>BAVM 231 </v>
      </c>
      <c r="B35" s="3" t="str">
        <f t="shared" si="1"/>
        <v>I</v>
      </c>
      <c r="C35" s="10">
        <f t="shared" si="2"/>
        <v>56132.424899999998</v>
      </c>
      <c r="D35" s="12" t="str">
        <f t="shared" si="3"/>
        <v>vis</v>
      </c>
      <c r="E35" s="45">
        <f>VLOOKUP(C35,Active!C$21:E$973,3,FALSE)</f>
        <v>2731.0026888051498</v>
      </c>
      <c r="F35" s="3" t="s">
        <v>54</v>
      </c>
      <c r="G35" s="12" t="str">
        <f t="shared" si="4"/>
        <v>56132.4249</v>
      </c>
      <c r="H35" s="10">
        <f t="shared" si="5"/>
        <v>712</v>
      </c>
      <c r="I35" s="46" t="s">
        <v>142</v>
      </c>
      <c r="J35" s="47" t="s">
        <v>143</v>
      </c>
      <c r="K35" s="46" t="s">
        <v>144</v>
      </c>
      <c r="L35" s="46" t="s">
        <v>145</v>
      </c>
      <c r="M35" s="47" t="s">
        <v>132</v>
      </c>
      <c r="N35" s="47" t="s">
        <v>139</v>
      </c>
      <c r="O35" s="48" t="s">
        <v>140</v>
      </c>
      <c r="P35" s="49" t="s">
        <v>146</v>
      </c>
    </row>
    <row r="36" spans="1:16" ht="12.75" customHeight="1" thickBot="1" x14ac:dyDescent="0.25">
      <c r="A36" s="10" t="str">
        <f t="shared" si="0"/>
        <v>BAVM 239 </v>
      </c>
      <c r="B36" s="3" t="str">
        <f t="shared" si="1"/>
        <v>I</v>
      </c>
      <c r="C36" s="10">
        <f t="shared" si="2"/>
        <v>56728.584300000002</v>
      </c>
      <c r="D36" s="12" t="str">
        <f t="shared" si="3"/>
        <v>vis</v>
      </c>
      <c r="E36" s="45">
        <f>VLOOKUP(C36,Active!C$21:E$973,3,FALSE)</f>
        <v>2848.0068103312929</v>
      </c>
      <c r="F36" s="3" t="s">
        <v>54</v>
      </c>
      <c r="G36" s="12" t="str">
        <f t="shared" si="4"/>
        <v>56728.5843</v>
      </c>
      <c r="H36" s="10">
        <f t="shared" si="5"/>
        <v>829</v>
      </c>
      <c r="I36" s="46" t="s">
        <v>147</v>
      </c>
      <c r="J36" s="47" t="s">
        <v>148</v>
      </c>
      <c r="K36" s="46" t="s">
        <v>149</v>
      </c>
      <c r="L36" s="46" t="s">
        <v>150</v>
      </c>
      <c r="M36" s="47" t="s">
        <v>132</v>
      </c>
      <c r="N36" s="47" t="s">
        <v>151</v>
      </c>
      <c r="O36" s="48" t="s">
        <v>152</v>
      </c>
      <c r="P36" s="49" t="s">
        <v>153</v>
      </c>
    </row>
    <row r="37" spans="1:16" ht="12.75" customHeight="1" thickBot="1" x14ac:dyDescent="0.25">
      <c r="A37" s="10" t="str">
        <f t="shared" si="0"/>
        <v> BBS 123 </v>
      </c>
      <c r="B37" s="3" t="str">
        <f t="shared" si="1"/>
        <v>I</v>
      </c>
      <c r="C37" s="10">
        <f t="shared" si="2"/>
        <v>51698.47</v>
      </c>
      <c r="D37" s="12" t="str">
        <f t="shared" si="3"/>
        <v>vis</v>
      </c>
      <c r="E37" s="45">
        <f>VLOOKUP(C37,Active!C$21:E$973,3,FALSE)</f>
        <v>1860.7807348092326</v>
      </c>
      <c r="F37" s="3" t="s">
        <v>54</v>
      </c>
      <c r="G37" s="12" t="str">
        <f t="shared" si="4"/>
        <v>51698.47</v>
      </c>
      <c r="H37" s="10">
        <f t="shared" si="5"/>
        <v>-158</v>
      </c>
      <c r="I37" s="46" t="s">
        <v>122</v>
      </c>
      <c r="J37" s="47" t="s">
        <v>123</v>
      </c>
      <c r="K37" s="46">
        <v>-158</v>
      </c>
      <c r="L37" s="46" t="s">
        <v>124</v>
      </c>
      <c r="M37" s="47" t="s">
        <v>125</v>
      </c>
      <c r="N37" s="47" t="s">
        <v>126</v>
      </c>
      <c r="O37" s="48" t="s">
        <v>127</v>
      </c>
      <c r="P37" s="48" t="s">
        <v>128</v>
      </c>
    </row>
    <row r="38" spans="1:16" ht="12.75" customHeight="1" thickBot="1" x14ac:dyDescent="0.25">
      <c r="A38" s="10" t="str">
        <f t="shared" si="0"/>
        <v>OEJV 0107 </v>
      </c>
      <c r="B38" s="3" t="str">
        <f t="shared" si="1"/>
        <v>I</v>
      </c>
      <c r="C38" s="10">
        <f t="shared" si="2"/>
        <v>54206.431900000003</v>
      </c>
      <c r="D38" s="12" t="str">
        <f t="shared" si="3"/>
        <v>vis</v>
      </c>
      <c r="E38" s="45">
        <f>VLOOKUP(C38,Active!C$21:E$973,3,FALSE)</f>
        <v>2353.0012364578438</v>
      </c>
      <c r="F38" s="3" t="s">
        <v>54</v>
      </c>
      <c r="G38" s="12" t="str">
        <f t="shared" si="4"/>
        <v>54206.4319</v>
      </c>
      <c r="H38" s="10">
        <f t="shared" si="5"/>
        <v>334</v>
      </c>
      <c r="I38" s="46" t="s">
        <v>129</v>
      </c>
      <c r="J38" s="47" t="s">
        <v>130</v>
      </c>
      <c r="K38" s="46">
        <v>334</v>
      </c>
      <c r="L38" s="46" t="s">
        <v>131</v>
      </c>
      <c r="M38" s="47" t="s">
        <v>132</v>
      </c>
      <c r="N38" s="47" t="s">
        <v>133</v>
      </c>
      <c r="O38" s="48" t="s">
        <v>134</v>
      </c>
      <c r="P38" s="49" t="s">
        <v>135</v>
      </c>
    </row>
    <row r="39" spans="1:16" x14ac:dyDescent="0.2">
      <c r="B39" s="3"/>
      <c r="E39" s="45"/>
      <c r="F39" s="3"/>
    </row>
    <row r="40" spans="1:16" x14ac:dyDescent="0.2">
      <c r="B40" s="3"/>
      <c r="E40" s="45"/>
      <c r="F40" s="3"/>
    </row>
    <row r="41" spans="1:16" x14ac:dyDescent="0.2">
      <c r="B41" s="3"/>
      <c r="E41" s="45"/>
      <c r="F41" s="3"/>
    </row>
    <row r="42" spans="1:16" x14ac:dyDescent="0.2">
      <c r="B42" s="3"/>
      <c r="E42" s="45"/>
      <c r="F42" s="3"/>
    </row>
    <row r="43" spans="1:16" x14ac:dyDescent="0.2">
      <c r="B43" s="3"/>
      <c r="E43" s="45"/>
      <c r="F43" s="3"/>
    </row>
    <row r="44" spans="1:16" x14ac:dyDescent="0.2">
      <c r="B44" s="3"/>
      <c r="E44" s="45"/>
      <c r="F44" s="3"/>
    </row>
    <row r="45" spans="1:16" x14ac:dyDescent="0.2">
      <c r="B45" s="3"/>
      <c r="E45" s="45"/>
      <c r="F45" s="3"/>
    </row>
    <row r="46" spans="1:16" x14ac:dyDescent="0.2">
      <c r="B46" s="3"/>
      <c r="E46" s="45"/>
      <c r="F46" s="3"/>
    </row>
    <row r="47" spans="1:16" x14ac:dyDescent="0.2">
      <c r="B47" s="3"/>
      <c r="E47" s="45"/>
      <c r="F47" s="3"/>
    </row>
    <row r="48" spans="1:16" x14ac:dyDescent="0.2">
      <c r="B48" s="3"/>
      <c r="E48" s="45"/>
      <c r="F48" s="3"/>
    </row>
    <row r="49" spans="2:6" x14ac:dyDescent="0.2">
      <c r="B49" s="3"/>
      <c r="E49" s="45"/>
      <c r="F49" s="3"/>
    </row>
    <row r="50" spans="2:6" x14ac:dyDescent="0.2">
      <c r="B50" s="3"/>
      <c r="E50" s="45"/>
      <c r="F50" s="3"/>
    </row>
    <row r="51" spans="2:6" x14ac:dyDescent="0.2">
      <c r="B51" s="3"/>
      <c r="E51" s="45"/>
      <c r="F51" s="3"/>
    </row>
    <row r="52" spans="2:6" x14ac:dyDescent="0.2">
      <c r="B52" s="3"/>
      <c r="E52" s="45"/>
      <c r="F52" s="3"/>
    </row>
    <row r="53" spans="2:6" x14ac:dyDescent="0.2">
      <c r="B53" s="3"/>
      <c r="E53" s="45"/>
      <c r="F53" s="3"/>
    </row>
    <row r="54" spans="2:6" x14ac:dyDescent="0.2">
      <c r="B54" s="3"/>
      <c r="E54" s="45"/>
      <c r="F54" s="3"/>
    </row>
    <row r="55" spans="2:6" x14ac:dyDescent="0.2">
      <c r="B55" s="3"/>
      <c r="E55" s="45"/>
      <c r="F55" s="3"/>
    </row>
    <row r="56" spans="2:6" x14ac:dyDescent="0.2">
      <c r="B56" s="3"/>
      <c r="E56" s="45"/>
      <c r="F56" s="3"/>
    </row>
    <row r="57" spans="2:6" x14ac:dyDescent="0.2">
      <c r="B57" s="3"/>
      <c r="E57" s="45"/>
      <c r="F57" s="3"/>
    </row>
    <row r="58" spans="2:6" x14ac:dyDescent="0.2">
      <c r="B58" s="3"/>
      <c r="E58" s="45"/>
      <c r="F58" s="3"/>
    </row>
    <row r="59" spans="2:6" x14ac:dyDescent="0.2">
      <c r="B59" s="3"/>
      <c r="E59" s="45"/>
      <c r="F59" s="3"/>
    </row>
    <row r="60" spans="2:6" x14ac:dyDescent="0.2">
      <c r="B60" s="3"/>
      <c r="E60" s="45"/>
      <c r="F60" s="3"/>
    </row>
    <row r="61" spans="2:6" x14ac:dyDescent="0.2">
      <c r="B61" s="3"/>
      <c r="E61" s="45"/>
      <c r="F61" s="3"/>
    </row>
    <row r="62" spans="2:6" x14ac:dyDescent="0.2">
      <c r="B62" s="3"/>
      <c r="E62" s="45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</sheetData>
  <phoneticPr fontId="7" type="noConversion"/>
  <hyperlinks>
    <hyperlink ref="P11" r:id="rId1" display="http://www.konkoly.hu/cgi-bin/IBVS?4125"/>
    <hyperlink ref="P12" r:id="rId2" display="http://www.konkoly.hu/cgi-bin/IBVS?4125"/>
    <hyperlink ref="P13" r:id="rId3" display="http://www.konkoly.hu/cgi-bin/IBVS?4125"/>
    <hyperlink ref="P14" r:id="rId4" display="http://www.konkoly.hu/cgi-bin/IBVS?4125"/>
    <hyperlink ref="P15" r:id="rId5" display="http://www.konkoly.hu/cgi-bin/IBVS?4125"/>
    <hyperlink ref="P16" r:id="rId6" display="http://www.konkoly.hu/cgi-bin/IBVS?4125"/>
    <hyperlink ref="P17" r:id="rId7" display="http://www.konkoly.hu/cgi-bin/IBVS?4125"/>
    <hyperlink ref="P18" r:id="rId8" display="http://www.konkoly.hu/cgi-bin/IBVS?4125"/>
    <hyperlink ref="P19" r:id="rId9" display="http://www.konkoly.hu/cgi-bin/IBVS?4125"/>
    <hyperlink ref="P20" r:id="rId10" display="http://www.konkoly.hu/cgi-bin/IBVS?4125"/>
    <hyperlink ref="P21" r:id="rId11" display="http://www.konkoly.hu/cgi-bin/IBVS?4125"/>
    <hyperlink ref="P22" r:id="rId12" display="http://www.konkoly.hu/cgi-bin/IBVS?4125"/>
    <hyperlink ref="P23" r:id="rId13" display="http://www.konkoly.hu/cgi-bin/IBVS?4125"/>
    <hyperlink ref="P24" r:id="rId14" display="http://www.konkoly.hu/cgi-bin/IBVS?4125"/>
    <hyperlink ref="P25" r:id="rId15" display="http://www.konkoly.hu/cgi-bin/IBVS?4125"/>
    <hyperlink ref="P26" r:id="rId16" display="http://www.konkoly.hu/cgi-bin/IBVS?4125"/>
    <hyperlink ref="P27" r:id="rId17" display="http://www.konkoly.hu/cgi-bin/IBVS?4125"/>
    <hyperlink ref="P28" r:id="rId18" display="http://www.konkoly.hu/cgi-bin/IBVS?4125"/>
    <hyperlink ref="P29" r:id="rId19" display="http://www.konkoly.hu/cgi-bin/IBVS?4125"/>
    <hyperlink ref="P30" r:id="rId20" display="http://www.konkoly.hu/cgi-bin/IBVS?4125"/>
    <hyperlink ref="P31" r:id="rId21" display="http://www.konkoly.hu/cgi-bin/IBVS?4125"/>
    <hyperlink ref="P32" r:id="rId22" display="http://www.konkoly.hu/cgi-bin/IBVS?4125"/>
    <hyperlink ref="P33" r:id="rId23" display="http://www.konkoly.hu/cgi-bin/IBVS?4125"/>
    <hyperlink ref="P38" r:id="rId24" display="http://var.astro.cz/oejv/issues/oejv0107.pdf"/>
    <hyperlink ref="P34" r:id="rId25" display="http://www.bav-astro.de/sfs/BAVM_link.php?BAVMnr=215"/>
    <hyperlink ref="P35" r:id="rId26" display="http://www.bav-astro.de/sfs/BAVM_link.php?BAVMnr=231"/>
    <hyperlink ref="P36" r:id="rId27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2024-02-14T04:12:43Z</dcterms:modified>
</cp:coreProperties>
</file>