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70165E-0F44-42AB-BDB8-D5BEC3504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4" r:id="rId2"/>
    <sheet name="A (old) (2)" sheetId="5" r:id="rId3"/>
    <sheet name="BAV (2)" sheetId="6" r:id="rId4"/>
    <sheet name="A (old)" sheetId="1" r:id="rId5"/>
    <sheet name="BAV" sheetId="3" r:id="rId6"/>
  </sheets>
  <calcPr calcId="181029"/>
</workbook>
</file>

<file path=xl/calcChain.xml><?xml version="1.0" encoding="utf-8"?>
<calcChain xmlns="http://schemas.openxmlformats.org/spreadsheetml/2006/main">
  <c r="C9" i="4" l="1"/>
  <c r="D9" i="4"/>
  <c r="E26" i="4"/>
  <c r="F26" i="4"/>
  <c r="G26" i="4"/>
  <c r="J26" i="4"/>
  <c r="E27" i="4"/>
  <c r="F27" i="4"/>
  <c r="G27" i="4"/>
  <c r="J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21" i="4"/>
  <c r="F21" i="4"/>
  <c r="G21" i="4"/>
  <c r="J21" i="4"/>
  <c r="E22" i="4"/>
  <c r="F22" i="4"/>
  <c r="G22" i="4"/>
  <c r="J22" i="4"/>
  <c r="E23" i="4"/>
  <c r="F23" i="4"/>
  <c r="G23" i="4"/>
  <c r="J23" i="4"/>
  <c r="E24" i="4"/>
  <c r="F24" i="4"/>
  <c r="G24" i="4"/>
  <c r="J24" i="4"/>
  <c r="E25" i="4"/>
  <c r="F25" i="4"/>
  <c r="G25" i="4"/>
  <c r="J25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G11" i="5"/>
  <c r="F11" i="5"/>
  <c r="E26" i="5"/>
  <c r="F26" i="5"/>
  <c r="G26" i="5"/>
  <c r="H26" i="5"/>
  <c r="E27" i="5"/>
  <c r="F27" i="5"/>
  <c r="G27" i="5"/>
  <c r="H27" i="5"/>
  <c r="E28" i="5"/>
  <c r="F28" i="5"/>
  <c r="G28" i="5"/>
  <c r="I28" i="5"/>
  <c r="E21" i="5"/>
  <c r="F21" i="5"/>
  <c r="G21" i="5"/>
  <c r="H21" i="5"/>
  <c r="E22" i="5"/>
  <c r="F22" i="5"/>
  <c r="E23" i="5"/>
  <c r="F23" i="5"/>
  <c r="G23" i="5"/>
  <c r="H23" i="5"/>
  <c r="E24" i="5"/>
  <c r="F24" i="5"/>
  <c r="G24" i="5"/>
  <c r="H24" i="5"/>
  <c r="E25" i="5"/>
  <c r="F25" i="5"/>
  <c r="G25" i="5"/>
  <c r="H25" i="5"/>
  <c r="E15" i="5"/>
  <c r="C17" i="5"/>
  <c r="Q21" i="5"/>
  <c r="G22" i="5"/>
  <c r="H22" i="5"/>
  <c r="Q22" i="5"/>
  <c r="Q23" i="5"/>
  <c r="Q24" i="5"/>
  <c r="Q25" i="5"/>
  <c r="Q26" i="5"/>
  <c r="Q27" i="5"/>
  <c r="Q28" i="5"/>
  <c r="A11" i="6"/>
  <c r="B11" i="6"/>
  <c r="D11" i="6"/>
  <c r="G11" i="6"/>
  <c r="C11" i="6"/>
  <c r="E11" i="6"/>
  <c r="H11" i="6"/>
  <c r="A12" i="6"/>
  <c r="D12" i="6"/>
  <c r="G12" i="6"/>
  <c r="C12" i="6"/>
  <c r="E12" i="6"/>
  <c r="H12" i="6"/>
  <c r="B12" i="6"/>
  <c r="A13" i="6"/>
  <c r="B13" i="6"/>
  <c r="D13" i="6"/>
  <c r="G13" i="6"/>
  <c r="C13" i="6"/>
  <c r="E13" i="6"/>
  <c r="H13" i="6"/>
  <c r="A14" i="6"/>
  <c r="C14" i="6"/>
  <c r="E14" i="6"/>
  <c r="D14" i="6"/>
  <c r="G14" i="6"/>
  <c r="H14" i="6"/>
  <c r="B14" i="6"/>
  <c r="A15" i="6"/>
  <c r="B15" i="6"/>
  <c r="D15" i="6"/>
  <c r="G15" i="6"/>
  <c r="C15" i="6"/>
  <c r="E15" i="6"/>
  <c r="H15" i="6"/>
  <c r="A16" i="6"/>
  <c r="C16" i="6"/>
  <c r="E16" i="6"/>
  <c r="D16" i="6"/>
  <c r="G16" i="6"/>
  <c r="H16" i="6"/>
  <c r="B16" i="6"/>
  <c r="A17" i="6"/>
  <c r="B17" i="6"/>
  <c r="D17" i="6"/>
  <c r="G17" i="6"/>
  <c r="C17" i="6"/>
  <c r="E17" i="6"/>
  <c r="H17" i="6"/>
  <c r="A18" i="6"/>
  <c r="C18" i="6"/>
  <c r="D18" i="6"/>
  <c r="E18" i="6"/>
  <c r="G18" i="6"/>
  <c r="H18" i="6"/>
  <c r="B18" i="6"/>
  <c r="A19" i="6"/>
  <c r="B19" i="6"/>
  <c r="D19" i="6"/>
  <c r="G19" i="6"/>
  <c r="C19" i="6"/>
  <c r="E19" i="6"/>
  <c r="H19" i="6"/>
  <c r="A20" i="6"/>
  <c r="C20" i="6"/>
  <c r="D20" i="6"/>
  <c r="E20" i="6"/>
  <c r="G20" i="6"/>
  <c r="H20" i="6"/>
  <c r="B20" i="6"/>
  <c r="A21" i="6"/>
  <c r="B21" i="6"/>
  <c r="D21" i="6"/>
  <c r="G21" i="6"/>
  <c r="C21" i="6"/>
  <c r="E21" i="6"/>
  <c r="H21" i="6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D9" i="2"/>
  <c r="C9" i="2"/>
  <c r="E26" i="2"/>
  <c r="F26" i="2"/>
  <c r="G26" i="2"/>
  <c r="J26" i="2"/>
  <c r="E27" i="2"/>
  <c r="F27" i="2"/>
  <c r="G27" i="2"/>
  <c r="J27" i="2"/>
  <c r="E28" i="2"/>
  <c r="F28" i="2"/>
  <c r="G28" i="2"/>
  <c r="K28" i="2"/>
  <c r="Q31" i="2"/>
  <c r="Q32" i="2"/>
  <c r="G21" i="3"/>
  <c r="C21" i="3"/>
  <c r="E21" i="3"/>
  <c r="G19" i="3"/>
  <c r="C19" i="3"/>
  <c r="E19" i="3"/>
  <c r="G20" i="3"/>
  <c r="C20" i="3"/>
  <c r="E20" i="3"/>
  <c r="G18" i="3"/>
  <c r="C18" i="3"/>
  <c r="E18" i="3"/>
  <c r="G17" i="3"/>
  <c r="C17" i="3"/>
  <c r="E17" i="3"/>
  <c r="G16" i="3"/>
  <c r="C16" i="3"/>
  <c r="E16" i="3"/>
  <c r="E25" i="2"/>
  <c r="F25" i="2"/>
  <c r="G25" i="2"/>
  <c r="J25" i="2"/>
  <c r="G15" i="3"/>
  <c r="C15" i="3"/>
  <c r="E15" i="3"/>
  <c r="G14" i="3"/>
  <c r="C14" i="3"/>
  <c r="E24" i="2"/>
  <c r="E14" i="3"/>
  <c r="G13" i="3"/>
  <c r="C13" i="3"/>
  <c r="E23" i="2"/>
  <c r="E13" i="3"/>
  <c r="G12" i="3"/>
  <c r="C12" i="3"/>
  <c r="E22" i="2"/>
  <c r="E12" i="3"/>
  <c r="G11" i="3"/>
  <c r="C11" i="3"/>
  <c r="E21" i="2"/>
  <c r="E11" i="3"/>
  <c r="H21" i="3"/>
  <c r="B21" i="3"/>
  <c r="D21" i="3"/>
  <c r="A21" i="3"/>
  <c r="H19" i="3"/>
  <c r="D19" i="3"/>
  <c r="B19" i="3"/>
  <c r="A19" i="3"/>
  <c r="H20" i="3"/>
  <c r="B20" i="3"/>
  <c r="D20" i="3"/>
  <c r="A20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0" i="2"/>
  <c r="F21" i="2"/>
  <c r="F22" i="2"/>
  <c r="G22" i="2"/>
  <c r="J22" i="2"/>
  <c r="F23" i="2"/>
  <c r="F24" i="2"/>
  <c r="G24" i="2"/>
  <c r="J24" i="2"/>
  <c r="F16" i="2"/>
  <c r="F17" i="2" s="1"/>
  <c r="C17" i="2"/>
  <c r="Q29" i="2"/>
  <c r="G21" i="2"/>
  <c r="J21" i="2"/>
  <c r="Q21" i="2"/>
  <c r="Q22" i="2"/>
  <c r="G23" i="2"/>
  <c r="J23" i="2"/>
  <c r="Q23" i="2"/>
  <c r="Q24" i="2"/>
  <c r="Q25" i="2"/>
  <c r="Q26" i="2"/>
  <c r="Q27" i="2"/>
  <c r="Q28" i="2"/>
  <c r="F28" i="1"/>
  <c r="G28" i="1"/>
  <c r="I28" i="1"/>
  <c r="E28" i="1"/>
  <c r="F11" i="1"/>
  <c r="G11" i="1"/>
  <c r="E26" i="1"/>
  <c r="F26" i="1"/>
  <c r="G26" i="1"/>
  <c r="H26" i="1"/>
  <c r="E27" i="1"/>
  <c r="F27" i="1"/>
  <c r="G27" i="1"/>
  <c r="H27" i="1"/>
  <c r="Q28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Q21" i="1"/>
  <c r="Q22" i="1"/>
  <c r="Q23" i="1"/>
  <c r="Q24" i="1"/>
  <c r="Q25" i="1"/>
  <c r="Q26" i="1"/>
  <c r="Q27" i="1"/>
  <c r="E15" i="1"/>
  <c r="C17" i="1"/>
  <c r="C12" i="5"/>
  <c r="C12" i="2"/>
  <c r="C11" i="2"/>
  <c r="C11" i="4"/>
  <c r="C11" i="5"/>
  <c r="C12" i="4"/>
  <c r="C12" i="1"/>
  <c r="C16" i="1" l="1"/>
  <c r="D18" i="1" s="1"/>
  <c r="C16" i="5"/>
  <c r="D18" i="5" s="1"/>
  <c r="C16" i="4"/>
  <c r="D18" i="4" s="1"/>
  <c r="O26" i="5"/>
  <c r="O28" i="5"/>
  <c r="O21" i="5"/>
  <c r="O24" i="5"/>
  <c r="C15" i="5"/>
  <c r="O27" i="5"/>
  <c r="O25" i="5"/>
  <c r="O23" i="5"/>
  <c r="O22" i="5"/>
  <c r="O29" i="4"/>
  <c r="O28" i="4"/>
  <c r="C15" i="4"/>
  <c r="O31" i="4"/>
  <c r="O30" i="4"/>
  <c r="O26" i="4"/>
  <c r="O21" i="4"/>
  <c r="O22" i="4"/>
  <c r="O23" i="4"/>
  <c r="O24" i="4"/>
  <c r="O25" i="4"/>
  <c r="O32" i="4"/>
  <c r="O27" i="4"/>
  <c r="C16" i="2"/>
  <c r="D18" i="2" s="1"/>
  <c r="O28" i="2"/>
  <c r="O29" i="2"/>
  <c r="O31" i="2"/>
  <c r="O30" i="2"/>
  <c r="O24" i="2"/>
  <c r="O23" i="2"/>
  <c r="O22" i="2"/>
  <c r="C15" i="2"/>
  <c r="O21" i="2"/>
  <c r="O25" i="2"/>
  <c r="O26" i="2"/>
  <c r="O27" i="2"/>
  <c r="O32" i="2"/>
  <c r="C11" i="1"/>
  <c r="C15" i="1" l="1"/>
  <c r="O24" i="1"/>
  <c r="O21" i="1"/>
  <c r="O22" i="1"/>
  <c r="O28" i="1"/>
  <c r="O23" i="1"/>
  <c r="O27" i="1"/>
  <c r="O26" i="1"/>
  <c r="O25" i="1"/>
  <c r="C18" i="5"/>
  <c r="E16" i="5"/>
  <c r="E17" i="5" s="1"/>
  <c r="C18" i="4"/>
  <c r="F18" i="4"/>
  <c r="F19" i="4" s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<sst xmlns="http://schemas.openxmlformats.org/spreadsheetml/2006/main" count="450" uniqueCount="109">
  <si>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</si>
  <si>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</si>
  <si>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</si>
  <si>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</si>
  <si>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</si>
  <si>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</si>
  <si>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</si>
  <si>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</si>
  <si>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</si>
  <si>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</si>
  <si>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</si>
  <si>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</si>
  <si>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</si>
  <si>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</si>
  <si>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</si>
  <si>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</si>
  <si>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</si>
  <si>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</si>
  <si>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</si>
  <si>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</si>
  <si>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</si>
  <si>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</si>
  <si>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</si>
  <si>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</si>
  <si>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</si>
  <si>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</si>
  <si>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</si>
  <si>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</si>
  <si>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</si>
  <si>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</si>
  <si>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</si>
  <si>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</si>
  <si>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</si>
  <si>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</si>
  <si>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</si>
  <si>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</si>
  <si>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</si>
  <si>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</si>
  <si>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</si>
  <si>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V0972 Her / GSC 2612-2290</t>
  </si>
  <si>
    <t>IBVS 4855</t>
  </si>
  <si>
    <t>I</t>
  </si>
  <si>
    <t>II</t>
  </si>
  <si>
    <t>IBVS 5731</t>
  </si>
  <si>
    <t>not avail.</t>
  </si>
  <si>
    <t>EB</t>
  </si>
  <si>
    <t>OEJV 0107</t>
  </si>
  <si>
    <t>OEJV</t>
  </si>
  <si>
    <t>IBVS 5943</t>
  </si>
  <si>
    <t>Add cycle</t>
  </si>
  <si>
    <t>Old Cycle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</si>
  <si>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</si>
  <si>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</si>
  <si>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</si>
  <si>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</si>
  <si>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</si>
  <si>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</si>
  <si>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</si>
  <si>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</si>
  <si>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</si>
  <si>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</si>
  <si>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</si>
  <si>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</si>
  <si>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2451386.3979 </t>
  </si>
  <si>
    <t> 26.07.1999 21:32 </t>
  </si>
  <si>
    <t> 0.0000 </t>
  </si>
  <si>
    <t>E </t>
  </si>
  <si>
    <t>G</t>
  </si>
  <si>
    <t> V.Keskin et al. </t>
  </si>
  <si>
    <t>IBVS 4855 </t>
  </si>
  <si>
    <t>2451386.3984 </t>
  </si>
  <si>
    <t> 26.07.1999 21:33 </t>
  </si>
  <si>
    <t> 0.0005 </t>
  </si>
  <si>
    <t>B</t>
  </si>
  <si>
    <t>2451386.3986 </t>
  </si>
  <si>
    <t> 0.0007 </t>
  </si>
  <si>
    <t>R</t>
  </si>
  <si>
    <t>2451392.3840 </t>
  </si>
  <si>
    <t> 01.08.1999 21:12 </t>
  </si>
  <si>
    <t> -0.0139 </t>
  </si>
  <si>
    <t>2451392.3843 </t>
  </si>
  <si>
    <t> 01.08.1999 21:13 </t>
  </si>
  <si>
    <t> -0.0136 </t>
  </si>
  <si>
    <t>2453440.474 </t>
  </si>
  <si>
    <t> 10.03.2005 23:22 </t>
  </si>
  <si>
    <t> 0.076 </t>
  </si>
  <si>
    <t>C </t>
  </si>
  <si>
    <t>o</t>
  </si>
  <si>
    <t> U.Schmidt </t>
  </si>
  <si>
    <t>BAVM 178 </t>
  </si>
  <si>
    <t>2453900.5242 </t>
  </si>
  <si>
    <t> 14.06.2006 00:34 </t>
  </si>
  <si>
    <t> 0.1263 </t>
  </si>
  <si>
    <t> H.Jungbluth </t>
  </si>
  <si>
    <t>2454946.5388 </t>
  </si>
  <si>
    <t> 25.04.2009 00:55 </t>
  </si>
  <si>
    <t> 0.1409 </t>
  </si>
  <si>
    <t> M.Lehky </t>
  </si>
  <si>
    <t>OEJV 0107 </t>
  </si>
  <si>
    <t>2455344.4602 </t>
  </si>
  <si>
    <t> 27.05.2010 23:02 </t>
  </si>
  <si>
    <t> 0.0623 </t>
  </si>
  <si>
    <t>m</t>
  </si>
  <si>
    <t> A.Liakos &amp; P.Niarchos </t>
  </si>
  <si>
    <t>IBVS 5943 </t>
  </si>
  <si>
    <t>2455390.5396 </t>
  </si>
  <si>
    <t> 13.07.2010 00:57 </t>
  </si>
  <si>
    <t> 0.1417 </t>
  </si>
  <si>
    <t>OEJV 0137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</si>
</sst>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24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V0972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5-4AA1-A2BF-2DFB2EF62CE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5-4AA1-A2BF-2DFB2EF62CE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1'!$J$21:$J$994</c:f>
              <c:numCache>
                <c:formatCode>General</c:formatCode>
                <c:ptCount val="974"/>
                <c:pt idx="0">
                  <c:v>-9.6093453634239268E-2</c:v>
                </c:pt>
                <c:pt idx="1">
                  <c:v>-9.5593453639594372E-2</c:v>
                </c:pt>
                <c:pt idx="2">
                  <c:v>-9.539345363737084E-2</c:v>
                </c:pt>
                <c:pt idx="3">
                  <c:v>-9.1762453637784347E-2</c:v>
                </c:pt>
                <c:pt idx="4">
                  <c:v>-9.1462453638087027E-2</c:v>
                </c:pt>
                <c:pt idx="5">
                  <c:v>1.7769546364434063E-2</c:v>
                </c:pt>
                <c:pt idx="6">
                  <c:v>-8.5149453632766381E-2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5-4AA1-A2BF-2DFB2EF62CE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1'!$K$21:$K$994</c:f>
              <c:numCache>
                <c:formatCode>General</c:formatCode>
                <c:ptCount val="974"/>
                <c:pt idx="7">
                  <c:v>6.1435463649104349E-3</c:v>
                </c:pt>
                <c:pt idx="8">
                  <c:v>2.9051546363916714E-2</c:v>
                </c:pt>
                <c:pt idx="9">
                  <c:v>2.670554636279121E-2</c:v>
                </c:pt>
                <c:pt idx="10">
                  <c:v>0.10310454636783106</c:v>
                </c:pt>
                <c:pt idx="11">
                  <c:v>0.10831654636422172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5-4AA1-A2BF-2DFB2EF62CE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5-4AA1-A2BF-2DFB2EF62CE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5-4AA1-A2BF-2DFB2EF62CE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5-4AA1-A2BF-2DFB2EF62CE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1'!$O$21:$O$994</c:f>
              <c:numCache>
                <c:formatCode>General</c:formatCode>
                <c:ptCount val="974"/>
                <c:pt idx="0">
                  <c:v>-0.11088192634273444</c:v>
                </c:pt>
                <c:pt idx="1">
                  <c:v>-0.11088192634273444</c:v>
                </c:pt>
                <c:pt idx="2">
                  <c:v>-0.11088192634273444</c:v>
                </c:pt>
                <c:pt idx="3">
                  <c:v>-0.11067469987439406</c:v>
                </c:pt>
                <c:pt idx="4">
                  <c:v>-0.11067469987439406</c:v>
                </c:pt>
                <c:pt idx="5">
                  <c:v>-3.9726497158156335E-2</c:v>
                </c:pt>
                <c:pt idx="6">
                  <c:v>-2.3785409204713479E-2</c:v>
                </c:pt>
                <c:pt idx="7">
                  <c:v>1.2448522537320091E-2</c:v>
                </c:pt>
                <c:pt idx="8">
                  <c:v>2.6232920209146464E-2</c:v>
                </c:pt>
                <c:pt idx="9">
                  <c:v>2.782933152080564E-2</c:v>
                </c:pt>
                <c:pt idx="10">
                  <c:v>0.10145612821670229</c:v>
                </c:pt>
                <c:pt idx="11">
                  <c:v>0.10148682843423419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5-4AA1-A2BF-2DFB2EF6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13784"/>
        <c:axId val="1"/>
      </c:scatterChart>
      <c:valAx>
        <c:axId val="44791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1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9-47FF-98A9-A8280573B6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9-47FF-98A9-A8280573B6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2'!$J$21:$J$994</c:f>
              <c:numCache>
                <c:formatCode>General</c:formatCode>
                <c:ptCount val="974"/>
                <c:pt idx="0">
                  <c:v>-9.6093453634239268E-2</c:v>
                </c:pt>
                <c:pt idx="1">
                  <c:v>-9.5593453639594372E-2</c:v>
                </c:pt>
                <c:pt idx="2">
                  <c:v>-9.539345363737084E-2</c:v>
                </c:pt>
                <c:pt idx="3">
                  <c:v>-9.1762453637784347E-2</c:v>
                </c:pt>
                <c:pt idx="4">
                  <c:v>-9.1462453638087027E-2</c:v>
                </c:pt>
                <c:pt idx="5">
                  <c:v>1.7769546364434063E-2</c:v>
                </c:pt>
                <c:pt idx="6">
                  <c:v>-8.5149453632766381E-2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9-47FF-98A9-A8280573B6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2'!$K$21:$K$994</c:f>
              <c:numCache>
                <c:formatCode>General</c:formatCode>
                <c:ptCount val="974"/>
                <c:pt idx="7">
                  <c:v>6.1435463649104349E-3</c:v>
                </c:pt>
                <c:pt idx="8">
                  <c:v>2.9051546363916714E-2</c:v>
                </c:pt>
                <c:pt idx="9">
                  <c:v>2.670554636279121E-2</c:v>
                </c:pt>
                <c:pt idx="10">
                  <c:v>0.10310454636783106</c:v>
                </c:pt>
                <c:pt idx="11">
                  <c:v>0.10831654636422172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9-47FF-98A9-A8280573B6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9-47FF-98A9-A8280573B6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9-47FF-98A9-A8280573B6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9-47FF-98A9-A8280573B6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2'!$O$21:$O$994</c:f>
              <c:numCache>
                <c:formatCode>General</c:formatCode>
                <c:ptCount val="974"/>
                <c:pt idx="0">
                  <c:v>-0.11088192634273444</c:v>
                </c:pt>
                <c:pt idx="1">
                  <c:v>-0.11088192634273444</c:v>
                </c:pt>
                <c:pt idx="2">
                  <c:v>-0.11088192634273444</c:v>
                </c:pt>
                <c:pt idx="3">
                  <c:v>-0.11067469987439406</c:v>
                </c:pt>
                <c:pt idx="4">
                  <c:v>-0.11067469987439406</c:v>
                </c:pt>
                <c:pt idx="5">
                  <c:v>-3.9726497158156335E-2</c:v>
                </c:pt>
                <c:pt idx="6">
                  <c:v>-2.3785409204713479E-2</c:v>
                </c:pt>
                <c:pt idx="7">
                  <c:v>1.2448522537320091E-2</c:v>
                </c:pt>
                <c:pt idx="8">
                  <c:v>2.6232920209146464E-2</c:v>
                </c:pt>
                <c:pt idx="9">
                  <c:v>2.782933152080564E-2</c:v>
                </c:pt>
                <c:pt idx="10">
                  <c:v>0.10145612821670229</c:v>
                </c:pt>
                <c:pt idx="11">
                  <c:v>0.10148682843423419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9-47FF-98A9-A8280573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77336"/>
        <c:axId val="1"/>
      </c:scatterChart>
      <c:valAx>
        <c:axId val="68497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4.999999946448952E-4</c:v>
                </c:pt>
                <c:pt idx="2">
                  <c:v>6.9999999686842784E-4</c:v>
                </c:pt>
                <c:pt idx="3">
                  <c:v>4.2850999961956404E-3</c:v>
                </c:pt>
                <c:pt idx="4">
                  <c:v>4.5850999958929606E-3</c:v>
                </c:pt>
                <c:pt idx="5">
                  <c:v>-0.34499510000023292</c:v>
                </c:pt>
                <c:pt idx="6">
                  <c:v>-0.45144500000606058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F-41F3-8636-A758A32C420E}"/>
            </c:ext>
          </c:extLst>
        </c:ser>
        <c:ser>
          <c:idx val="1"/>
          <c:order val="1"/>
          <c:tx>
            <c:strRef>
              <c:f>'A (old)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(2)'!$I$21:$I$998</c:f>
              <c:numCache>
                <c:formatCode>General</c:formatCode>
                <c:ptCount val="978"/>
                <c:pt idx="7">
                  <c:v>-0.58972640000138199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F-41F3-8636-A758A32C420E}"/>
            </c:ext>
          </c:extLst>
        </c:ser>
        <c:ser>
          <c:idx val="3"/>
          <c:order val="2"/>
          <c:tx>
            <c:strRef>
              <c:f>'A (old)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F-41F3-8636-A758A32C420E}"/>
            </c:ext>
          </c:extLst>
        </c:ser>
        <c:ser>
          <c:idx val="4"/>
          <c:order val="3"/>
          <c:tx>
            <c:strRef>
              <c:f>'A (old)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F-41F3-8636-A758A32C420E}"/>
            </c:ext>
          </c:extLst>
        </c:ser>
        <c:ser>
          <c:idx val="2"/>
          <c:order val="4"/>
          <c:tx>
            <c:strRef>
              <c:f>'A (old)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F-41F3-8636-A758A32C420E}"/>
            </c:ext>
          </c:extLst>
        </c:ser>
        <c:ser>
          <c:idx val="5"/>
          <c:order val="5"/>
          <c:tx>
            <c:strRef>
              <c:f>'A (old)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F-41F3-8636-A758A32C420E}"/>
            </c:ext>
          </c:extLst>
        </c:ser>
        <c:ser>
          <c:idx val="6"/>
          <c:order val="6"/>
          <c:tx>
            <c:strRef>
              <c:f>'A (old)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6F-41F3-8636-A758A32C420E}"/>
            </c:ext>
          </c:extLst>
        </c:ser>
        <c:ser>
          <c:idx val="7"/>
          <c:order val="7"/>
          <c:tx>
            <c:strRef>
              <c:f>'A (old)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(2)'!$O$21:$O$998</c:f>
              <c:numCache>
                <c:formatCode>General</c:formatCode>
                <c:ptCount val="978"/>
                <c:pt idx="0">
                  <c:v>-3.5849345201957983E-2</c:v>
                </c:pt>
                <c:pt idx="1">
                  <c:v>-3.5849345201957983E-2</c:v>
                </c:pt>
                <c:pt idx="2">
                  <c:v>-3.5849345201957983E-2</c:v>
                </c:pt>
                <c:pt idx="3">
                  <c:v>-3.6790146361212611E-2</c:v>
                </c:pt>
                <c:pt idx="4">
                  <c:v>-3.6790146361212611E-2</c:v>
                </c:pt>
                <c:pt idx="5">
                  <c:v>-0.35896227667485364</c:v>
                </c:pt>
                <c:pt idx="6">
                  <c:v>-0.43133427696270055</c:v>
                </c:pt>
                <c:pt idx="7">
                  <c:v>-0.59586994637012136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6F-41F3-8636-A758A32C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17736"/>
        <c:axId val="1"/>
      </c:scatterChart>
      <c:valAx>
        <c:axId val="443817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1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89172932330827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4.999999946448952E-4</c:v>
                </c:pt>
                <c:pt idx="2">
                  <c:v>6.9999999686842784E-4</c:v>
                </c:pt>
                <c:pt idx="3">
                  <c:v>4.2850999961956404E-3</c:v>
                </c:pt>
                <c:pt idx="4">
                  <c:v>4.5850999958929606E-3</c:v>
                </c:pt>
                <c:pt idx="5">
                  <c:v>-0.34499510000023292</c:v>
                </c:pt>
                <c:pt idx="6">
                  <c:v>-0.45144500000606058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4-4976-826F-1BDBB8340D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7">
                  <c:v>-0.58972640000138199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4-4976-826F-1BDBB8340D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24-4976-826F-1BDBB8340D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24-4976-826F-1BDBB8340D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24-4976-826F-1BDBB8340D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24-4976-826F-1BDBB8340D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24-4976-826F-1BDBB8340D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-3.5849345201957983E-2</c:v>
                </c:pt>
                <c:pt idx="1">
                  <c:v>-3.5849345201957983E-2</c:v>
                </c:pt>
                <c:pt idx="2">
                  <c:v>-3.5849345201957983E-2</c:v>
                </c:pt>
                <c:pt idx="3">
                  <c:v>-3.6790146361212611E-2</c:v>
                </c:pt>
                <c:pt idx="4">
                  <c:v>-3.6790146361212611E-2</c:v>
                </c:pt>
                <c:pt idx="5">
                  <c:v>-0.35896227667485364</c:v>
                </c:pt>
                <c:pt idx="6">
                  <c:v>-0.43133427696270055</c:v>
                </c:pt>
                <c:pt idx="7">
                  <c:v>-0.59586994637012136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24-4976-826F-1BDBB834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355408"/>
        <c:axId val="1"/>
      </c:scatterChart>
      <c:valAx>
        <c:axId val="64635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5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89172932330827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561975</xdr:colOff>
      <xdr:row>18</xdr:row>
      <xdr:rowOff>152400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B049B3A-FDFF-336E-B17B-DD631BED5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CD93C23F-68B5-BDA9-A7D7-52829379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D35100E1-96C8-366A-FCFD-0E19A751B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B0C73D-53E3-51AF-1083-88F7A7866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4855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4855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4855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855" TargetMode="External"/><Relationship Id="rId10" Type="http://schemas.openxmlformats.org/officeDocument/2006/relationships/hyperlink" Target="http://www.konkoly.hu/cgi-bin/IBVS?5943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var.astro.cz/oejv/issues/oejv010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4855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4855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4855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855" TargetMode="External"/><Relationship Id="rId10" Type="http://schemas.openxmlformats.org/officeDocument/2006/relationships/hyperlink" Target="http://www.konkoly.hu/cgi-bin/IBVS?5943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35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44</v>
      </c>
      <c r="D4" s="9" t="s">
        <v>44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v>54946.532736453635</v>
      </c>
      <c r="D7" s="29" t="s">
        <v>40</v>
      </c>
    </row>
    <row r="8" spans="1:6" x14ac:dyDescent="0.2">
      <c r="A8" t="s">
        <v>4</v>
      </c>
      <c r="C8">
        <v>0.44309399999999999</v>
      </c>
    </row>
    <row r="9" spans="1:6" x14ac:dyDescent="0.2">
      <c r="A9" s="27" t="s">
        <v>38</v>
      </c>
      <c r="B9" s="28">
        <v>26</v>
      </c>
      <c r="C9" s="25" t="str">
        <f>"F"&amp;B9</f>
        <v>F26</v>
      </c>
      <c r="D9" s="26" t="str">
        <f>"G"&amp;B9</f>
        <v>G26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INTERCEPT(INDIRECT($D$9):G988,INDIRECT($C$9):F988)</f>
        <v>1.2448522537320091E-2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SLOPE(INDIRECT($D$9):G988,INDIRECT($C$9):F988)</f>
        <v>1.5350108765953641E-5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57516.579415607019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0.44310935010876595</v>
      </c>
      <c r="E16" s="16" t="s">
        <v>34</v>
      </c>
      <c r="F16" s="17">
        <f ca="1">NOW()+15018.5+$C$5/24</f>
        <v>60354.725986805555</v>
      </c>
    </row>
    <row r="17" spans="1:17" ht="13.5" thickBot="1" x14ac:dyDescent="0.25">
      <c r="A17" s="16" t="s">
        <v>31</v>
      </c>
      <c r="B17" s="12"/>
      <c r="C17" s="12">
        <f>COUNT(C21:C2187)</f>
        <v>12</v>
      </c>
      <c r="E17" s="16" t="s">
        <v>50</v>
      </c>
      <c r="F17" s="17">
        <f ca="1">ROUND(2*(F16-$C$7)/$C$8,0)/2+F15</f>
        <v>12206.5</v>
      </c>
    </row>
    <row r="18" spans="1:17" ht="14.25" thickTop="1" thickBot="1" x14ac:dyDescent="0.25">
      <c r="A18" s="18" t="s">
        <v>6</v>
      </c>
      <c r="B18" s="12"/>
      <c r="C18" s="21">
        <f ca="1">+C15</f>
        <v>57516.579415607019</v>
      </c>
      <c r="D18" s="22">
        <f ca="1">+C16</f>
        <v>0.44310935010876595</v>
      </c>
      <c r="E18" s="16" t="s">
        <v>35</v>
      </c>
      <c r="F18" s="26">
        <f ca="1">ROUND(2*(F16-$C$15)/$C$16,0)/2+F15</f>
        <v>6406</v>
      </c>
    </row>
    <row r="19" spans="1:17" ht="13.5" thickTop="1" x14ac:dyDescent="0.2">
      <c r="E19" s="16" t="s">
        <v>36</v>
      </c>
      <c r="F19" s="20">
        <f ca="1">+$C$15+$C$16*F18-15018.5-$C$5/24</f>
        <v>45337.033745737106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30" si="0">+(C21-C$7)/C$8</f>
        <v>-8034.7168692278201</v>
      </c>
      <c r="F21">
        <f t="shared" ref="F21:F32" si="1">ROUND(2*E21,0)/2</f>
        <v>-8034.5</v>
      </c>
      <c r="G21">
        <f t="shared" ref="G21:G30" si="2">+C21-(C$7+F21*C$8)</f>
        <v>-9.6093453634239268E-2</v>
      </c>
      <c r="J21">
        <f t="shared" ref="J21:J27" si="3">+G21</f>
        <v>-9.6093453634239268E-2</v>
      </c>
      <c r="O21">
        <f t="shared" ref="O21:O30" ca="1" si="4">+C$11+C$12*$F21</f>
        <v>-0.11088192634273444</v>
      </c>
      <c r="Q21" s="2">
        <f t="shared" ref="Q21:Q30" si="5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-8034.7157407991017</v>
      </c>
      <c r="F22">
        <f t="shared" si="1"/>
        <v>-8034.5</v>
      </c>
      <c r="G22">
        <f t="shared" si="2"/>
        <v>-9.5593453639594372E-2</v>
      </c>
      <c r="J22">
        <f t="shared" si="3"/>
        <v>-9.5593453639594372E-2</v>
      </c>
      <c r="O22">
        <f t="shared" ca="1" si="4"/>
        <v>-0.11088192634273444</v>
      </c>
      <c r="Q22" s="2">
        <f t="shared" si="5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-8034.7152894276041</v>
      </c>
      <c r="F23">
        <f t="shared" si="1"/>
        <v>-8034.5</v>
      </c>
      <c r="G23">
        <f t="shared" si="2"/>
        <v>-9.539345363737084E-2</v>
      </c>
      <c r="J23">
        <f t="shared" si="3"/>
        <v>-9.539345363737084E-2</v>
      </c>
      <c r="O23">
        <f t="shared" ca="1" si="4"/>
        <v>-0.11088192634273444</v>
      </c>
      <c r="Q23" s="2">
        <f t="shared" si="5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-8021.2070947781667</v>
      </c>
      <c r="F24">
        <f t="shared" si="1"/>
        <v>-8021</v>
      </c>
      <c r="G24">
        <f t="shared" si="2"/>
        <v>-9.1762453637784347E-2</v>
      </c>
      <c r="J24">
        <f t="shared" si="3"/>
        <v>-9.1762453637784347E-2</v>
      </c>
      <c r="O24">
        <f t="shared" ca="1" si="4"/>
        <v>-0.11067469987439406</v>
      </c>
      <c r="Q24" s="2">
        <f t="shared" si="5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-8021.2064177209295</v>
      </c>
      <c r="F25">
        <f t="shared" si="1"/>
        <v>-8021</v>
      </c>
      <c r="G25">
        <f t="shared" si="2"/>
        <v>-9.1462453638087027E-2</v>
      </c>
      <c r="J25">
        <f t="shared" si="3"/>
        <v>-9.1462453638087027E-2</v>
      </c>
      <c r="O25">
        <f t="shared" ca="1" si="4"/>
        <v>-0.11067469987439406</v>
      </c>
      <c r="Q25" s="2">
        <f t="shared" si="5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-3398.9598966666963</v>
      </c>
      <c r="F26">
        <f t="shared" si="1"/>
        <v>-3399</v>
      </c>
      <c r="G26">
        <f t="shared" si="2"/>
        <v>1.7769546364434063E-2</v>
      </c>
      <c r="J26">
        <f t="shared" si="3"/>
        <v>1.7769546364434063E-2</v>
      </c>
      <c r="O26">
        <f t="shared" ca="1" si="4"/>
        <v>-3.9726497158156335E-2</v>
      </c>
      <c r="Q26" s="2">
        <f t="shared" si="5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-2360.692170179771</v>
      </c>
      <c r="F27">
        <f t="shared" si="1"/>
        <v>-2360.5</v>
      </c>
      <c r="G27">
        <f t="shared" si="2"/>
        <v>-8.5149453632766381E-2</v>
      </c>
      <c r="J27">
        <f t="shared" si="3"/>
        <v>-8.5149453632766381E-2</v>
      </c>
      <c r="O27">
        <f t="shared" ca="1" si="4"/>
        <v>-2.3785409204713479E-2</v>
      </c>
      <c r="Q27" s="2">
        <f t="shared" si="5"/>
        <v>38882.0242</v>
      </c>
    </row>
    <row r="28" spans="1:17" x14ac:dyDescent="0.2">
      <c r="A28" s="38" t="s">
        <v>46</v>
      </c>
      <c r="B28" s="39" t="s">
        <v>42</v>
      </c>
      <c r="C28" s="34">
        <v>54946.53888</v>
      </c>
      <c r="D28" s="34">
        <v>1E-3</v>
      </c>
      <c r="E28">
        <f t="shared" si="0"/>
        <v>1.3865108453083173E-2</v>
      </c>
      <c r="F28">
        <f t="shared" si="1"/>
        <v>0</v>
      </c>
      <c r="G28">
        <f t="shared" si="2"/>
        <v>6.1435463649104349E-3</v>
      </c>
      <c r="K28">
        <f>+G28</f>
        <v>6.1435463649104349E-3</v>
      </c>
      <c r="O28">
        <f t="shared" ca="1" si="4"/>
        <v>1.2448522537320091E-2</v>
      </c>
      <c r="Q28" s="2">
        <f t="shared" si="5"/>
        <v>39928.03888</v>
      </c>
    </row>
    <row r="29" spans="1:17" x14ac:dyDescent="0.2">
      <c r="A29" s="33" t="s">
        <v>48</v>
      </c>
      <c r="B29" s="31" t="s">
        <v>41</v>
      </c>
      <c r="C29" s="33">
        <v>55344.460200000001</v>
      </c>
      <c r="D29" s="33">
        <v>1.1000000000000001E-3</v>
      </c>
      <c r="E29">
        <f t="shared" si="0"/>
        <v>898.06556519918172</v>
      </c>
      <c r="F29">
        <f t="shared" si="1"/>
        <v>898</v>
      </c>
      <c r="G29">
        <f t="shared" si="2"/>
        <v>2.9051546363916714E-2</v>
      </c>
      <c r="K29">
        <f>+G29</f>
        <v>2.9051546363916714E-2</v>
      </c>
      <c r="O29">
        <f t="shared" ca="1" si="4"/>
        <v>2.6232920209146464E-2</v>
      </c>
      <c r="Q29" s="2">
        <f t="shared" si="5"/>
        <v>40325.960200000001</v>
      </c>
    </row>
    <row r="30" spans="1:17" x14ac:dyDescent="0.2">
      <c r="A30" s="53" t="s">
        <v>51</v>
      </c>
      <c r="B30" s="54" t="s">
        <v>41</v>
      </c>
      <c r="C30" s="55">
        <v>55390.539629999999</v>
      </c>
      <c r="D30" s="55">
        <v>5.0000000000000001E-4</v>
      </c>
      <c r="E30">
        <f t="shared" si="0"/>
        <v>1002.0602706115726</v>
      </c>
      <c r="F30">
        <f t="shared" si="1"/>
        <v>1002</v>
      </c>
      <c r="G30">
        <f t="shared" si="2"/>
        <v>2.670554636279121E-2</v>
      </c>
      <c r="K30">
        <f>+G30</f>
        <v>2.670554636279121E-2</v>
      </c>
      <c r="O30">
        <f t="shared" ca="1" si="4"/>
        <v>2.782933152080564E-2</v>
      </c>
      <c r="Q30" s="2">
        <f t="shared" si="5"/>
        <v>40372.039629999999</v>
      </c>
    </row>
    <row r="31" spans="1:17" x14ac:dyDescent="0.2">
      <c r="A31" s="56" t="s">
        <v>0</v>
      </c>
      <c r="B31" s="57" t="s">
        <v>42</v>
      </c>
      <c r="C31" s="56">
        <v>57515.916400000002</v>
      </c>
      <c r="D31" s="56">
        <v>1.1999999999999999E-3</v>
      </c>
      <c r="E31">
        <f>+(C31-C$7)/C$8</f>
        <v>5798.7326922647717</v>
      </c>
      <c r="F31">
        <f t="shared" si="1"/>
        <v>5798.5</v>
      </c>
      <c r="G31">
        <f>+C31-(C$7+F31*C$8)</f>
        <v>0.10310454636783106</v>
      </c>
      <c r="K31">
        <f>+G31</f>
        <v>0.10310454636783106</v>
      </c>
      <c r="O31">
        <f ca="1">+C$11+C$12*$F31</f>
        <v>0.10145612821670229</v>
      </c>
      <c r="Q31" s="2">
        <f>+C31-15018.5</f>
        <v>42497.416400000002</v>
      </c>
    </row>
    <row r="32" spans="1:17" x14ac:dyDescent="0.2">
      <c r="A32" s="56" t="s">
        <v>0</v>
      </c>
      <c r="B32" s="57" t="s">
        <v>42</v>
      </c>
      <c r="C32" s="56">
        <v>57516.807800000002</v>
      </c>
      <c r="D32" s="56">
        <v>8.9999999999999998E-4</v>
      </c>
      <c r="E32">
        <f>+(C32-C$7)/C$8</f>
        <v>5800.7444550058617</v>
      </c>
      <c r="F32">
        <f t="shared" si="1"/>
        <v>5800.5</v>
      </c>
      <c r="G32">
        <f>+C32-(C$7+F32*C$8)</f>
        <v>0.10831654636422172</v>
      </c>
      <c r="K32">
        <f>+G32</f>
        <v>0.10831654636422172</v>
      </c>
      <c r="O32">
        <f ca="1">+C$11+C$12*$F32</f>
        <v>0.10148682843423419</v>
      </c>
      <c r="Q32" s="2">
        <f>+C32-15018.5</f>
        <v>42498.307800000002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honeticPr fontId="7" type="noConversion"/>
  <hyperlinks>
    <hyperlink ref="H64150" r:id="rId1" display="http://vsolj.cetus-net.org/bulletin.html" xr:uid="{00000000-0004-0000-0000-000000000000}"/>
    <hyperlink ref="H64143" r:id="rId2" display="https://www.aavso.org/ejaavso" xr:uid="{00000000-0004-0000-0000-000001000000}"/>
    <hyperlink ref="I64150" r:id="rId3" display="http://vsolj.cetus-net.org/bulletin.html" xr:uid="{00000000-0004-0000-0000-000002000000}"/>
    <hyperlink ref="AQ57801" r:id="rId4" display="http://cdsbib.u-strasbg.fr/cgi-bin/cdsbib?1990RMxAA..21..381G" xr:uid="{00000000-0004-0000-0000-000003000000}"/>
    <hyperlink ref="H64147" r:id="rId5" display="https://www.aavso.org/ejaavso" xr:uid="{00000000-0004-0000-0000-000004000000}"/>
    <hyperlink ref="AP5165" r:id="rId6" display="http://cdsbib.u-strasbg.fr/cgi-bin/cdsbib?1990RMxAA..21..381G" xr:uid="{00000000-0004-0000-0000-000005000000}"/>
    <hyperlink ref="AP5168" r:id="rId7" display="http://cdsbib.u-strasbg.fr/cgi-bin/cdsbib?1990RMxAA..21..381G" xr:uid="{00000000-0004-0000-0000-000006000000}"/>
    <hyperlink ref="AP5166" r:id="rId8" display="http://cdsbib.u-strasbg.fr/cgi-bin/cdsbib?1990RMxAA..21..381G" xr:uid="{00000000-0004-0000-0000-000007000000}"/>
    <hyperlink ref="AP5150" r:id="rId9" display="http://cdsbib.u-strasbg.fr/cgi-bin/cdsbib?1990RMxAA..21..381G" xr:uid="{00000000-0004-0000-0000-000008000000}"/>
    <hyperlink ref="AQ5379" r:id="rId10" display="http://cdsbib.u-strasbg.fr/cgi-bin/cdsbib?1990RMxAA..21..381G" xr:uid="{00000000-0004-0000-0000-000009000000}"/>
    <hyperlink ref="AQ5383" r:id="rId11" display="http://cdsbib.u-strasbg.fr/cgi-bin/cdsbib?1990RMxAA..21..381G" xr:uid="{00000000-0004-0000-0000-00000A000000}"/>
    <hyperlink ref="AQ65063" r:id="rId12" display="http://cdsbib.u-strasbg.fr/cgi-bin/cdsbib?1990RMxAA..21..381G" xr:uid="{00000000-0004-0000-0000-00000B000000}"/>
    <hyperlink ref="I2271" r:id="rId13" display="http://vsolj.cetus-net.org/bulletin.html" xr:uid="{00000000-0004-0000-0000-00000C000000}"/>
    <hyperlink ref="H2271" r:id="rId14" display="http://vsolj.cetus-net.org/bulletin.html" xr:uid="{00000000-0004-0000-0000-00000D000000}"/>
    <hyperlink ref="AQ188" r:id="rId15" display="http://cdsbib.u-strasbg.fr/cgi-bin/cdsbib?1990RMxAA..21..381G" xr:uid="{00000000-0004-0000-0000-00000E000000}"/>
    <hyperlink ref="AQ187" r:id="rId16" display="http://cdsbib.u-strasbg.fr/cgi-bin/cdsbib?1990RMxAA..21..381G" xr:uid="{00000000-0004-0000-0000-00000F000000}"/>
    <hyperlink ref="AP3441" r:id="rId17" display="http://cdsbib.u-strasbg.fr/cgi-bin/cdsbib?1990RMxAA..21..381G" xr:uid="{00000000-0004-0000-0000-000010000000}"/>
    <hyperlink ref="AP3459" r:id="rId18" display="http://cdsbib.u-strasbg.fr/cgi-bin/cdsbib?1990RMxAA..21..381G" xr:uid="{00000000-0004-0000-0000-000011000000}"/>
    <hyperlink ref="AP3460" r:id="rId19" display="http://cdsbib.u-strasbg.fr/cgi-bin/cdsbib?1990RMxAA..21..381G" xr:uid="{00000000-0004-0000-0000-000012000000}"/>
    <hyperlink ref="AP345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Q6935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44</v>
      </c>
      <c r="D4" s="9" t="s">
        <v>44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v>54946.532736453635</v>
      </c>
      <c r="D7" s="29" t="s">
        <v>40</v>
      </c>
    </row>
    <row r="8" spans="1:6" x14ac:dyDescent="0.2">
      <c r="A8" t="s">
        <v>4</v>
      </c>
      <c r="C8">
        <v>0.44309399999999999</v>
      </c>
    </row>
    <row r="9" spans="1:6" x14ac:dyDescent="0.2">
      <c r="A9" s="27" t="s">
        <v>38</v>
      </c>
      <c r="B9" s="28">
        <v>26</v>
      </c>
      <c r="C9" s="25" t="str">
        <f>"F"&amp;B9</f>
        <v>F26</v>
      </c>
      <c r="D9" s="26" t="str">
        <f>"G"&amp;B9</f>
        <v>G26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INTERCEPT(INDIRECT($D$9):G988,INDIRECT($C$9):F988)</f>
        <v>1.2448522537320091E-2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SLOPE(INDIRECT($D$9):G988,INDIRECT($C$9):F988)</f>
        <v>1.5350108765953641E-5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57516.579415607019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0.44310935010876595</v>
      </c>
      <c r="E16" s="16" t="s">
        <v>34</v>
      </c>
      <c r="F16" s="17">
        <f ca="1">NOW()+15018.5+$C$5/24</f>
        <v>60354.725986805555</v>
      </c>
    </row>
    <row r="17" spans="1:17" ht="13.5" thickBot="1" x14ac:dyDescent="0.25">
      <c r="A17" s="16" t="s">
        <v>31</v>
      </c>
      <c r="B17" s="12"/>
      <c r="C17" s="12">
        <f>COUNT(C21:C2187)</f>
        <v>12</v>
      </c>
      <c r="E17" s="16" t="s">
        <v>50</v>
      </c>
      <c r="F17" s="17">
        <f ca="1">ROUND(2*(F16-$C$7)/$C$8,0)/2+F15</f>
        <v>12206.5</v>
      </c>
    </row>
    <row r="18" spans="1:17" ht="14.25" thickTop="1" thickBot="1" x14ac:dyDescent="0.25">
      <c r="A18" s="18" t="s">
        <v>6</v>
      </c>
      <c r="B18" s="12"/>
      <c r="C18" s="21">
        <f ca="1">+C15</f>
        <v>57516.579415607019</v>
      </c>
      <c r="D18" s="22">
        <f ca="1">+C16</f>
        <v>0.44310935010876595</v>
      </c>
      <c r="E18" s="16" t="s">
        <v>35</v>
      </c>
      <c r="F18" s="26">
        <f ca="1">ROUND(2*(F16-$C$15)/$C$16,0)/2+F15</f>
        <v>6406</v>
      </c>
    </row>
    <row r="19" spans="1:17" ht="13.5" thickTop="1" x14ac:dyDescent="0.2">
      <c r="E19" s="16" t="s">
        <v>36</v>
      </c>
      <c r="F19" s="20">
        <f ca="1">+$C$15+$C$16*F18-15018.5-$C$5/24</f>
        <v>45337.033745737106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32" si="0">+(C21-C$7)/C$8</f>
        <v>-8034.7168692278201</v>
      </c>
      <c r="F21">
        <f t="shared" ref="F21:F32" si="1">ROUND(2*E21,0)/2</f>
        <v>-8034.5</v>
      </c>
      <c r="G21">
        <f t="shared" ref="G21:G32" si="2">+C21-(C$7+F21*C$8)</f>
        <v>-9.6093453634239268E-2</v>
      </c>
      <c r="J21">
        <f t="shared" ref="J21:J27" si="3">+G21</f>
        <v>-9.6093453634239268E-2</v>
      </c>
      <c r="O21">
        <f t="shared" ref="O21:O32" ca="1" si="4">+C$11+C$12*$F21</f>
        <v>-0.11088192634273444</v>
      </c>
      <c r="Q21" s="2">
        <f t="shared" ref="Q21:Q32" si="5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-8034.7157407991017</v>
      </c>
      <c r="F22">
        <f t="shared" si="1"/>
        <v>-8034.5</v>
      </c>
      <c r="G22">
        <f t="shared" si="2"/>
        <v>-9.5593453639594372E-2</v>
      </c>
      <c r="J22">
        <f t="shared" si="3"/>
        <v>-9.5593453639594372E-2</v>
      </c>
      <c r="O22">
        <f t="shared" ca="1" si="4"/>
        <v>-0.11088192634273444</v>
      </c>
      <c r="Q22" s="2">
        <f t="shared" si="5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-8034.7152894276041</v>
      </c>
      <c r="F23">
        <f t="shared" si="1"/>
        <v>-8034.5</v>
      </c>
      <c r="G23">
        <f t="shared" si="2"/>
        <v>-9.539345363737084E-2</v>
      </c>
      <c r="J23">
        <f t="shared" si="3"/>
        <v>-9.539345363737084E-2</v>
      </c>
      <c r="O23">
        <f t="shared" ca="1" si="4"/>
        <v>-0.11088192634273444</v>
      </c>
      <c r="Q23" s="2">
        <f t="shared" si="5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-8021.2070947781667</v>
      </c>
      <c r="F24">
        <f t="shared" si="1"/>
        <v>-8021</v>
      </c>
      <c r="G24">
        <f t="shared" si="2"/>
        <v>-9.1762453637784347E-2</v>
      </c>
      <c r="J24">
        <f t="shared" si="3"/>
        <v>-9.1762453637784347E-2</v>
      </c>
      <c r="O24">
        <f t="shared" ca="1" si="4"/>
        <v>-0.11067469987439406</v>
      </c>
      <c r="Q24" s="2">
        <f t="shared" si="5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-8021.2064177209295</v>
      </c>
      <c r="F25">
        <f t="shared" si="1"/>
        <v>-8021</v>
      </c>
      <c r="G25">
        <f t="shared" si="2"/>
        <v>-9.1462453638087027E-2</v>
      </c>
      <c r="J25">
        <f t="shared" si="3"/>
        <v>-9.1462453638087027E-2</v>
      </c>
      <c r="O25">
        <f t="shared" ca="1" si="4"/>
        <v>-0.11067469987439406</v>
      </c>
      <c r="Q25" s="2">
        <f t="shared" si="5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-3398.9598966666963</v>
      </c>
      <c r="F26">
        <f t="shared" si="1"/>
        <v>-3399</v>
      </c>
      <c r="G26">
        <f t="shared" si="2"/>
        <v>1.7769546364434063E-2</v>
      </c>
      <c r="J26">
        <f t="shared" si="3"/>
        <v>1.7769546364434063E-2</v>
      </c>
      <c r="O26">
        <f t="shared" ca="1" si="4"/>
        <v>-3.9726497158156335E-2</v>
      </c>
      <c r="Q26" s="2">
        <f t="shared" si="5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-2360.692170179771</v>
      </c>
      <c r="F27">
        <f t="shared" si="1"/>
        <v>-2360.5</v>
      </c>
      <c r="G27">
        <f t="shared" si="2"/>
        <v>-8.5149453632766381E-2</v>
      </c>
      <c r="J27">
        <f t="shared" si="3"/>
        <v>-8.5149453632766381E-2</v>
      </c>
      <c r="O27">
        <f t="shared" ca="1" si="4"/>
        <v>-2.3785409204713479E-2</v>
      </c>
      <c r="Q27" s="2">
        <f t="shared" si="5"/>
        <v>38882.0242</v>
      </c>
    </row>
    <row r="28" spans="1:17" x14ac:dyDescent="0.2">
      <c r="A28" s="38" t="s">
        <v>46</v>
      </c>
      <c r="B28" s="39" t="s">
        <v>42</v>
      </c>
      <c r="C28" s="34">
        <v>54946.53888</v>
      </c>
      <c r="D28" s="34">
        <v>1E-3</v>
      </c>
      <c r="E28">
        <f t="shared" si="0"/>
        <v>1.3865108453083173E-2</v>
      </c>
      <c r="F28">
        <f t="shared" si="1"/>
        <v>0</v>
      </c>
      <c r="G28">
        <f t="shared" si="2"/>
        <v>6.1435463649104349E-3</v>
      </c>
      <c r="K28">
        <f>+G28</f>
        <v>6.1435463649104349E-3</v>
      </c>
      <c r="O28">
        <f t="shared" ca="1" si="4"/>
        <v>1.2448522537320091E-2</v>
      </c>
      <c r="Q28" s="2">
        <f t="shared" si="5"/>
        <v>39928.03888</v>
      </c>
    </row>
    <row r="29" spans="1:17" x14ac:dyDescent="0.2">
      <c r="A29" s="33" t="s">
        <v>48</v>
      </c>
      <c r="B29" s="31" t="s">
        <v>41</v>
      </c>
      <c r="C29" s="33">
        <v>55344.460200000001</v>
      </c>
      <c r="D29" s="33">
        <v>1.1000000000000001E-3</v>
      </c>
      <c r="E29">
        <f t="shared" si="0"/>
        <v>898.06556519918172</v>
      </c>
      <c r="F29">
        <f t="shared" si="1"/>
        <v>898</v>
      </c>
      <c r="G29">
        <f t="shared" si="2"/>
        <v>2.9051546363916714E-2</v>
      </c>
      <c r="K29">
        <f>+G29</f>
        <v>2.9051546363916714E-2</v>
      </c>
      <c r="O29">
        <f t="shared" ca="1" si="4"/>
        <v>2.6232920209146464E-2</v>
      </c>
      <c r="Q29" s="2">
        <f t="shared" si="5"/>
        <v>40325.960200000001</v>
      </c>
    </row>
    <row r="30" spans="1:17" x14ac:dyDescent="0.2">
      <c r="A30" s="53" t="s">
        <v>51</v>
      </c>
      <c r="B30" s="54" t="s">
        <v>41</v>
      </c>
      <c r="C30" s="55">
        <v>55390.539629999999</v>
      </c>
      <c r="D30" s="55">
        <v>5.0000000000000001E-4</v>
      </c>
      <c r="E30">
        <f t="shared" si="0"/>
        <v>1002.0602706115726</v>
      </c>
      <c r="F30">
        <f t="shared" si="1"/>
        <v>1002</v>
      </c>
      <c r="G30">
        <f t="shared" si="2"/>
        <v>2.670554636279121E-2</v>
      </c>
      <c r="K30">
        <f>+G30</f>
        <v>2.670554636279121E-2</v>
      </c>
      <c r="O30">
        <f t="shared" ca="1" si="4"/>
        <v>2.782933152080564E-2</v>
      </c>
      <c r="Q30" s="2">
        <f t="shared" si="5"/>
        <v>40372.039629999999</v>
      </c>
    </row>
    <row r="31" spans="1:17" x14ac:dyDescent="0.2">
      <c r="A31" s="56" t="s">
        <v>0</v>
      </c>
      <c r="B31" s="57" t="s">
        <v>42</v>
      </c>
      <c r="C31" s="56">
        <v>57515.916400000002</v>
      </c>
      <c r="D31" s="56">
        <v>1.1999999999999999E-3</v>
      </c>
      <c r="E31">
        <f t="shared" si="0"/>
        <v>5798.7326922647717</v>
      </c>
      <c r="F31">
        <f t="shared" si="1"/>
        <v>5798.5</v>
      </c>
      <c r="G31">
        <f t="shared" si="2"/>
        <v>0.10310454636783106</v>
      </c>
      <c r="K31">
        <f>+G31</f>
        <v>0.10310454636783106</v>
      </c>
      <c r="O31">
        <f t="shared" ca="1" si="4"/>
        <v>0.10145612821670229</v>
      </c>
      <c r="Q31" s="2">
        <f t="shared" si="5"/>
        <v>42497.416400000002</v>
      </c>
    </row>
    <row r="32" spans="1:17" x14ac:dyDescent="0.2">
      <c r="A32" s="56" t="s">
        <v>0</v>
      </c>
      <c r="B32" s="57" t="s">
        <v>42</v>
      </c>
      <c r="C32" s="56">
        <v>57516.807800000002</v>
      </c>
      <c r="D32" s="56">
        <v>8.9999999999999998E-4</v>
      </c>
      <c r="E32">
        <f t="shared" si="0"/>
        <v>5800.7444550058617</v>
      </c>
      <c r="F32">
        <f t="shared" si="1"/>
        <v>5800.5</v>
      </c>
      <c r="G32">
        <f t="shared" si="2"/>
        <v>0.10831654636422172</v>
      </c>
      <c r="K32">
        <f>+G32</f>
        <v>0.10831654636422172</v>
      </c>
      <c r="O32">
        <f t="shared" ca="1" si="4"/>
        <v>0.10148682843423419</v>
      </c>
      <c r="Q32" s="2">
        <f t="shared" si="5"/>
        <v>42498.307800000002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honeticPr fontId="7" type="noConversion"/>
  <hyperlinks>
    <hyperlink ref="H64150" r:id="rId1" display="http://vsolj.cetus-net.org/bulletin.html" xr:uid="{00000000-0004-0000-0100-000000000000}"/>
    <hyperlink ref="H64143" r:id="rId2" display="https://www.aavso.org/ejaavso" xr:uid="{00000000-0004-0000-0100-000001000000}"/>
    <hyperlink ref="I64150" r:id="rId3" display="http://vsolj.cetus-net.org/bulletin.html" xr:uid="{00000000-0004-0000-0100-000002000000}"/>
    <hyperlink ref="AQ57801" r:id="rId4" display="http://cdsbib.u-strasbg.fr/cgi-bin/cdsbib?1990RMxAA..21..381G" xr:uid="{00000000-0004-0000-0100-000003000000}"/>
    <hyperlink ref="H64147" r:id="rId5" display="https://www.aavso.org/ejaavso" xr:uid="{00000000-0004-0000-0100-000004000000}"/>
    <hyperlink ref="AP5165" r:id="rId6" display="http://cdsbib.u-strasbg.fr/cgi-bin/cdsbib?1990RMxAA..21..381G" xr:uid="{00000000-0004-0000-0100-000005000000}"/>
    <hyperlink ref="AP5168" r:id="rId7" display="http://cdsbib.u-strasbg.fr/cgi-bin/cdsbib?1990RMxAA..21..381G" xr:uid="{00000000-0004-0000-0100-000006000000}"/>
    <hyperlink ref="AP5166" r:id="rId8" display="http://cdsbib.u-strasbg.fr/cgi-bin/cdsbib?1990RMxAA..21..381G" xr:uid="{00000000-0004-0000-0100-000007000000}"/>
    <hyperlink ref="AP5150" r:id="rId9" display="http://cdsbib.u-strasbg.fr/cgi-bin/cdsbib?1990RMxAA..21..381G" xr:uid="{00000000-0004-0000-0100-000008000000}"/>
    <hyperlink ref="AQ5379" r:id="rId10" display="http://cdsbib.u-strasbg.fr/cgi-bin/cdsbib?1990RMxAA..21..381G" xr:uid="{00000000-0004-0000-0100-000009000000}"/>
    <hyperlink ref="AQ5383" r:id="rId11" display="http://cdsbib.u-strasbg.fr/cgi-bin/cdsbib?1990RMxAA..21..381G" xr:uid="{00000000-0004-0000-0100-00000A000000}"/>
    <hyperlink ref="AQ65063" r:id="rId12" display="http://cdsbib.u-strasbg.fr/cgi-bin/cdsbib?1990RMxAA..21..381G" xr:uid="{00000000-0004-0000-0100-00000B000000}"/>
    <hyperlink ref="I2271" r:id="rId13" display="http://vsolj.cetus-net.org/bulletin.html" xr:uid="{00000000-0004-0000-0100-00000C000000}"/>
    <hyperlink ref="H2271" r:id="rId14" display="http://vsolj.cetus-net.org/bulletin.html" xr:uid="{00000000-0004-0000-0100-00000D000000}"/>
    <hyperlink ref="AQ188" r:id="rId15" display="http://cdsbib.u-strasbg.fr/cgi-bin/cdsbib?1990RMxAA..21..381G" xr:uid="{00000000-0004-0000-0100-00000E000000}"/>
    <hyperlink ref="AQ187" r:id="rId16" display="http://cdsbib.u-strasbg.fr/cgi-bin/cdsbib?1990RMxAA..21..381G" xr:uid="{00000000-0004-0000-0100-00000F000000}"/>
    <hyperlink ref="AP3441" r:id="rId17" display="http://cdsbib.u-strasbg.fr/cgi-bin/cdsbib?1990RMxAA..21..381G" xr:uid="{00000000-0004-0000-0100-000010000000}"/>
    <hyperlink ref="AP3459" r:id="rId18" display="http://cdsbib.u-strasbg.fr/cgi-bin/cdsbib?1990RMxAA..21..381G" xr:uid="{00000000-0004-0000-0100-000011000000}"/>
    <hyperlink ref="AP3460" r:id="rId19" display="http://cdsbib.u-strasbg.fr/cgi-bin/cdsbib?1990RMxAA..21..381G" xr:uid="{00000000-0004-0000-0100-000012000000}"/>
    <hyperlink ref="AP3456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9"/>
  <sheetViews>
    <sheetView workbookViewId="0">
      <selection activeCell="A54" sqref="A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44</v>
      </c>
      <c r="D4" s="9" t="s">
        <v>44</v>
      </c>
    </row>
    <row r="6" spans="1:7" x14ac:dyDescent="0.2">
      <c r="A6" s="5" t="s">
        <v>2</v>
      </c>
    </row>
    <row r="7" spans="1:7" x14ac:dyDescent="0.2">
      <c r="A7" t="s">
        <v>3</v>
      </c>
      <c r="C7">
        <v>51386.397900000004</v>
      </c>
      <c r="D7" s="29" t="s">
        <v>40</v>
      </c>
    </row>
    <row r="8" spans="1:7" x14ac:dyDescent="0.2">
      <c r="A8" t="s">
        <v>4</v>
      </c>
      <c r="C8">
        <v>0.44309739999999997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-3.5849345201957983E-2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-6.9688974759602219E-5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54946.532736453635</v>
      </c>
      <c r="D15" s="16" t="s">
        <v>34</v>
      </c>
      <c r="E15" s="17">
        <f ca="1">TODAY()+15018.5-B9/24</f>
        <v>60354.5</v>
      </c>
    </row>
    <row r="16" spans="1:7" x14ac:dyDescent="0.2">
      <c r="A16" s="18" t="s">
        <v>5</v>
      </c>
      <c r="B16" s="12"/>
      <c r="C16" s="19">
        <f ca="1">+C8+C12</f>
        <v>0.44302771102524036</v>
      </c>
      <c r="D16" s="16" t="s">
        <v>35</v>
      </c>
      <c r="E16" s="17">
        <f ca="1">ROUND(2*(E15-C15)/C16,0)/2+1</f>
        <v>12208</v>
      </c>
    </row>
    <row r="17" spans="1:17" ht="13.5" thickBot="1" x14ac:dyDescent="0.25">
      <c r="A17" s="16" t="s">
        <v>31</v>
      </c>
      <c r="B17" s="12"/>
      <c r="C17" s="12">
        <f>COUNT(C21:C2190)</f>
        <v>8</v>
      </c>
      <c r="D17" s="16" t="s">
        <v>36</v>
      </c>
      <c r="E17" s="20">
        <f ca="1">+C15+C16*E16-15018.5-C9/24</f>
        <v>45336.181699316432</v>
      </c>
    </row>
    <row r="18" spans="1:17" ht="14.25" thickTop="1" thickBot="1" x14ac:dyDescent="0.25">
      <c r="A18" s="18" t="s">
        <v>6</v>
      </c>
      <c r="B18" s="12"/>
      <c r="C18" s="21">
        <f ca="1">+C15</f>
        <v>54946.532736453635</v>
      </c>
      <c r="D18" s="22">
        <f ca="1">+C16</f>
        <v>0.44302771102524036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 t="shared" ref="H21:H27" si="2">+G21</f>
        <v>0</v>
      </c>
      <c r="O21">
        <f t="shared" ref="O21:O28" ca="1" si="3">+C$11+C$12*$F21</f>
        <v>-3.5849345201957983E-2</v>
      </c>
      <c r="Q21" s="2">
        <f t="shared" ref="Q21:Q28" si="4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1.1284200598895304E-3</v>
      </c>
      <c r="F22">
        <f>ROUND(2*E22,0)/2</f>
        <v>0</v>
      </c>
      <c r="G22">
        <f t="shared" si="1"/>
        <v>4.999999946448952E-4</v>
      </c>
      <c r="H22">
        <f t="shared" si="2"/>
        <v>4.999999946448952E-4</v>
      </c>
      <c r="O22">
        <f t="shared" ca="1" si="3"/>
        <v>-3.5849345201957983E-2</v>
      </c>
      <c r="Q22" s="2">
        <f t="shared" si="4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1.5797880936977465E-3</v>
      </c>
      <c r="F23">
        <f>ROUND(2*E23,0)/2</f>
        <v>0</v>
      </c>
      <c r="G23">
        <f t="shared" si="1"/>
        <v>6.9999999686842784E-4</v>
      </c>
      <c r="H23">
        <f t="shared" si="2"/>
        <v>6.9999999686842784E-4</v>
      </c>
      <c r="O23">
        <f t="shared" ca="1" si="3"/>
        <v>-3.5849345201957983E-2</v>
      </c>
      <c r="Q23" s="2">
        <f t="shared" si="4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13.509670785688703</v>
      </c>
      <c r="F24">
        <f>ROUND(2*E24,0)/2</f>
        <v>13.5</v>
      </c>
      <c r="G24">
        <f t="shared" si="1"/>
        <v>4.2850999961956404E-3</v>
      </c>
      <c r="H24">
        <f t="shared" si="2"/>
        <v>4.2850999961956404E-3</v>
      </c>
      <c r="O24">
        <f t="shared" ca="1" si="3"/>
        <v>-3.6790146361212611E-2</v>
      </c>
      <c r="Q24" s="2">
        <f t="shared" si="4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13.510347837731207</v>
      </c>
      <c r="F25">
        <f>ROUND(2*E25,0)/2</f>
        <v>13.5</v>
      </c>
      <c r="G25">
        <f t="shared" si="1"/>
        <v>4.5850999958929606E-3</v>
      </c>
      <c r="H25">
        <f t="shared" si="2"/>
        <v>4.5850999958929606E-3</v>
      </c>
      <c r="O25">
        <f t="shared" ca="1" si="3"/>
        <v>-3.6790146361212611E-2</v>
      </c>
      <c r="Q25" s="2">
        <f t="shared" si="4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4635.7214012088507</v>
      </c>
      <c r="F26" s="30">
        <f>ROUND(2*E26,0)/2+1</f>
        <v>4636.5</v>
      </c>
      <c r="G26">
        <f t="shared" si="1"/>
        <v>-0.34499510000023292</v>
      </c>
      <c r="H26">
        <f t="shared" si="2"/>
        <v>-0.34499510000023292</v>
      </c>
      <c r="O26">
        <f t="shared" ca="1" si="3"/>
        <v>-0.35896227667485364</v>
      </c>
      <c r="Q26" s="2">
        <f t="shared" si="4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5673.981160801206</v>
      </c>
      <c r="F27" s="30">
        <f>ROUND(2*E27,0)/2+1</f>
        <v>5675</v>
      </c>
      <c r="G27">
        <f t="shared" si="1"/>
        <v>-0.45144500000606058</v>
      </c>
      <c r="H27">
        <f t="shared" si="2"/>
        <v>-0.45144500000606058</v>
      </c>
      <c r="O27">
        <f t="shared" ca="1" si="3"/>
        <v>-0.43133427696270055</v>
      </c>
      <c r="Q27" s="2">
        <f t="shared" si="4"/>
        <v>38882.0242</v>
      </c>
    </row>
    <row r="28" spans="1:17" x14ac:dyDescent="0.2">
      <c r="A28" s="35" t="s">
        <v>46</v>
      </c>
      <c r="B28" s="36" t="s">
        <v>42</v>
      </c>
      <c r="C28" s="37">
        <v>54946.53888</v>
      </c>
      <c r="D28" s="37">
        <v>1E-3</v>
      </c>
      <c r="E28">
        <f t="shared" si="0"/>
        <v>8034.6690817865256</v>
      </c>
      <c r="F28" s="30">
        <f>ROUND(2*E28,0)/2+1.5</f>
        <v>8036</v>
      </c>
      <c r="G28">
        <f t="shared" si="1"/>
        <v>-0.58972640000138199</v>
      </c>
      <c r="I28">
        <f>+G28</f>
        <v>-0.58972640000138199</v>
      </c>
      <c r="O28">
        <f t="shared" ca="1" si="3"/>
        <v>-0.59586994637012136</v>
      </c>
      <c r="Q28" s="2">
        <f t="shared" si="4"/>
        <v>39928.03888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1"/>
  <sheetViews>
    <sheetView workbookViewId="0">
      <selection activeCell="A54" sqref="A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4855 </v>
      </c>
      <c r="B11" s="3" t="str">
        <f t="shared" ref="B11:B21" si="1">IF(H11=INT(H11),"I","II")</f>
        <v>I</v>
      </c>
      <c r="C11" s="10">
        <f t="shared" ref="C11:C21" si="2">1*G11</f>
        <v>51386.397900000004</v>
      </c>
      <c r="D11" s="12" t="str">
        <f t="shared" ref="D11:D21" si="3">VLOOKUP(F11,I$1:J$5,2,FALSE)</f>
        <v>vis</v>
      </c>
      <c r="E11" s="48">
        <f>VLOOKUP(C11,'Active 2'!C$21:E$971,3,FALSE)</f>
        <v>-8034.7168692278201</v>
      </c>
      <c r="F11" s="3" t="s">
        <v>61</v>
      </c>
      <c r="G11" s="12" t="str">
        <f t="shared" ref="G11:G21" si="4">MID(I11,3,LEN(I11)-3)</f>
        <v>51386.3979</v>
      </c>
      <c r="H11" s="10">
        <f t="shared" ref="H11:H21" si="5">1*K11</f>
        <v>0</v>
      </c>
      <c r="I11" s="49" t="s">
        <v>63</v>
      </c>
      <c r="J11" s="50" t="s">
        <v>64</v>
      </c>
      <c r="K11" s="49">
        <v>0</v>
      </c>
      <c r="L11" s="49" t="s">
        <v>65</v>
      </c>
      <c r="M11" s="50" t="s">
        <v>66</v>
      </c>
      <c r="N11" s="50" t="s">
        <v>67</v>
      </c>
      <c r="O11" s="51" t="s">
        <v>68</v>
      </c>
      <c r="P11" s="52" t="s">
        <v>69</v>
      </c>
    </row>
    <row r="12" spans="1:16" ht="12.75" customHeight="1" thickBot="1" x14ac:dyDescent="0.25">
      <c r="A12" s="10" t="str">
        <f t="shared" si="0"/>
        <v>IBVS 4855 </v>
      </c>
      <c r="B12" s="3" t="str">
        <f t="shared" si="1"/>
        <v>I</v>
      </c>
      <c r="C12" s="10">
        <f t="shared" si="2"/>
        <v>51386.398399999998</v>
      </c>
      <c r="D12" s="12" t="str">
        <f t="shared" si="3"/>
        <v>vis</v>
      </c>
      <c r="E12" s="48">
        <f>VLOOKUP(C12,'Active 2'!C$21:E$971,3,FALSE)</f>
        <v>-8034.7157407991017</v>
      </c>
      <c r="F12" s="3" t="s">
        <v>61</v>
      </c>
      <c r="G12" s="12" t="str">
        <f t="shared" si="4"/>
        <v>51386.3984</v>
      </c>
      <c r="H12" s="10">
        <f t="shared" si="5"/>
        <v>0</v>
      </c>
      <c r="I12" s="49" t="s">
        <v>70</v>
      </c>
      <c r="J12" s="50" t="s">
        <v>71</v>
      </c>
      <c r="K12" s="49">
        <v>0</v>
      </c>
      <c r="L12" s="49" t="s">
        <v>72</v>
      </c>
      <c r="M12" s="50" t="s">
        <v>66</v>
      </c>
      <c r="N12" s="50" t="s">
        <v>73</v>
      </c>
      <c r="O12" s="51" t="s">
        <v>68</v>
      </c>
      <c r="P12" s="52" t="s">
        <v>69</v>
      </c>
    </row>
    <row r="13" spans="1:16" ht="12.75" customHeight="1" thickBot="1" x14ac:dyDescent="0.25">
      <c r="A13" s="10" t="str">
        <f t="shared" si="0"/>
        <v>IBVS 4855 </v>
      </c>
      <c r="B13" s="3" t="str">
        <f t="shared" si="1"/>
        <v>I</v>
      </c>
      <c r="C13" s="10">
        <f t="shared" si="2"/>
        <v>51386.3986</v>
      </c>
      <c r="D13" s="12" t="str">
        <f t="shared" si="3"/>
        <v>vis</v>
      </c>
      <c r="E13" s="48">
        <f>VLOOKUP(C13,'Active 2'!C$21:E$971,3,FALSE)</f>
        <v>-8034.7152894276041</v>
      </c>
      <c r="F13" s="3" t="s">
        <v>61</v>
      </c>
      <c r="G13" s="12" t="str">
        <f t="shared" si="4"/>
        <v>51386.3986</v>
      </c>
      <c r="H13" s="10">
        <f t="shared" si="5"/>
        <v>0</v>
      </c>
      <c r="I13" s="49" t="s">
        <v>74</v>
      </c>
      <c r="J13" s="50" t="s">
        <v>71</v>
      </c>
      <c r="K13" s="49">
        <v>0</v>
      </c>
      <c r="L13" s="49" t="s">
        <v>75</v>
      </c>
      <c r="M13" s="50" t="s">
        <v>66</v>
      </c>
      <c r="N13" s="50" t="s">
        <v>76</v>
      </c>
      <c r="O13" s="51" t="s">
        <v>68</v>
      </c>
      <c r="P13" s="52" t="s">
        <v>69</v>
      </c>
    </row>
    <row r="14" spans="1:16" ht="12.75" customHeight="1" thickBot="1" x14ac:dyDescent="0.25">
      <c r="A14" s="10" t="str">
        <f t="shared" si="0"/>
        <v>IBVS 4855 </v>
      </c>
      <c r="B14" s="3" t="str">
        <f t="shared" si="1"/>
        <v>I</v>
      </c>
      <c r="C14" s="10">
        <f t="shared" si="2"/>
        <v>51392.383999999998</v>
      </c>
      <c r="D14" s="12" t="str">
        <f t="shared" si="3"/>
        <v>vis</v>
      </c>
      <c r="E14" s="48">
        <f>VLOOKUP(C14,'Active 2'!C$21:E$971,3,FALSE)</f>
        <v>-8021.2070947781667</v>
      </c>
      <c r="F14" s="3" t="s">
        <v>61</v>
      </c>
      <c r="G14" s="12" t="str">
        <f t="shared" si="4"/>
        <v>51392.3840</v>
      </c>
      <c r="H14" s="10">
        <f t="shared" si="5"/>
        <v>6</v>
      </c>
      <c r="I14" s="49" t="s">
        <v>77</v>
      </c>
      <c r="J14" s="50" t="s">
        <v>78</v>
      </c>
      <c r="K14" s="49">
        <v>6</v>
      </c>
      <c r="L14" s="49" t="s">
        <v>79</v>
      </c>
      <c r="M14" s="50" t="s">
        <v>66</v>
      </c>
      <c r="N14" s="50" t="s">
        <v>73</v>
      </c>
      <c r="O14" s="51" t="s">
        <v>68</v>
      </c>
      <c r="P14" s="52" t="s">
        <v>69</v>
      </c>
    </row>
    <row r="15" spans="1:16" ht="12.75" customHeight="1" thickBot="1" x14ac:dyDescent="0.25">
      <c r="A15" s="10" t="str">
        <f t="shared" si="0"/>
        <v>IBVS 4855 </v>
      </c>
      <c r="B15" s="3" t="str">
        <f t="shared" si="1"/>
        <v>I</v>
      </c>
      <c r="C15" s="10">
        <f t="shared" si="2"/>
        <v>51392.384299999998</v>
      </c>
      <c r="D15" s="12" t="str">
        <f t="shared" si="3"/>
        <v>vis</v>
      </c>
      <c r="E15" s="48">
        <f>VLOOKUP(C15,'Active 2'!C$21:E$971,3,FALSE)</f>
        <v>-8021.2064177209295</v>
      </c>
      <c r="F15" s="3" t="s">
        <v>61</v>
      </c>
      <c r="G15" s="12" t="str">
        <f t="shared" si="4"/>
        <v>51392.3843</v>
      </c>
      <c r="H15" s="10">
        <f t="shared" si="5"/>
        <v>6</v>
      </c>
      <c r="I15" s="49" t="s">
        <v>80</v>
      </c>
      <c r="J15" s="50" t="s">
        <v>81</v>
      </c>
      <c r="K15" s="49">
        <v>6</v>
      </c>
      <c r="L15" s="49" t="s">
        <v>82</v>
      </c>
      <c r="M15" s="50" t="s">
        <v>66</v>
      </c>
      <c r="N15" s="50" t="s">
        <v>76</v>
      </c>
      <c r="O15" s="51" t="s">
        <v>68</v>
      </c>
      <c r="P15" s="52" t="s">
        <v>69</v>
      </c>
    </row>
    <row r="16" spans="1:16" ht="12.75" customHeight="1" thickBot="1" x14ac:dyDescent="0.25">
      <c r="A16" s="10" t="str">
        <f t="shared" si="0"/>
        <v>IBVS 4855 </v>
      </c>
      <c r="B16" s="3" t="str">
        <f t="shared" si="1"/>
        <v>I</v>
      </c>
      <c r="C16" s="10">
        <f t="shared" si="2"/>
        <v>51392.384299999998</v>
      </c>
      <c r="D16" s="12" t="str">
        <f t="shared" si="3"/>
        <v>vis</v>
      </c>
      <c r="E16" s="48">
        <f>VLOOKUP(C16,'Active 2'!C$21:E$971,3,FALSE)</f>
        <v>-8021.2064177209295</v>
      </c>
      <c r="F16" s="3" t="s">
        <v>61</v>
      </c>
      <c r="G16" s="12" t="str">
        <f t="shared" si="4"/>
        <v>51392.3843</v>
      </c>
      <c r="H16" s="10">
        <f t="shared" si="5"/>
        <v>6</v>
      </c>
      <c r="I16" s="49" t="s">
        <v>80</v>
      </c>
      <c r="J16" s="50" t="s">
        <v>81</v>
      </c>
      <c r="K16" s="49">
        <v>6</v>
      </c>
      <c r="L16" s="49" t="s">
        <v>82</v>
      </c>
      <c r="M16" s="50" t="s">
        <v>66</v>
      </c>
      <c r="N16" s="50" t="s">
        <v>67</v>
      </c>
      <c r="O16" s="51" t="s">
        <v>68</v>
      </c>
      <c r="P16" s="52" t="s">
        <v>69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53440.474000000002</v>
      </c>
      <c r="D17" s="12" t="str">
        <f t="shared" si="3"/>
        <v>vis</v>
      </c>
      <c r="E17" s="48">
        <f>VLOOKUP(C17,'Active 2'!C$21:E$971,3,FALSE)</f>
        <v>-3398.9598966666963</v>
      </c>
      <c r="F17" s="3" t="s">
        <v>61</v>
      </c>
      <c r="G17" s="12" t="str">
        <f t="shared" si="4"/>
        <v>53440.474</v>
      </c>
      <c r="H17" s="10">
        <f t="shared" si="5"/>
        <v>2054</v>
      </c>
      <c r="I17" s="49" t="s">
        <v>83</v>
      </c>
      <c r="J17" s="50" t="s">
        <v>84</v>
      </c>
      <c r="K17" s="49">
        <v>2054</v>
      </c>
      <c r="L17" s="49" t="s">
        <v>85</v>
      </c>
      <c r="M17" s="50" t="s">
        <v>86</v>
      </c>
      <c r="N17" s="50" t="s">
        <v>87</v>
      </c>
      <c r="O17" s="51" t="s">
        <v>88</v>
      </c>
      <c r="P17" s="52" t="s">
        <v>89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</v>
      </c>
      <c r="C18" s="10">
        <f t="shared" si="2"/>
        <v>53900.5242</v>
      </c>
      <c r="D18" s="12" t="str">
        <f t="shared" si="3"/>
        <v>vis</v>
      </c>
      <c r="E18" s="48">
        <f>VLOOKUP(C18,'Active 2'!C$21:E$971,3,FALSE)</f>
        <v>-2360.692170179771</v>
      </c>
      <c r="F18" s="3" t="s">
        <v>61</v>
      </c>
      <c r="G18" s="12" t="str">
        <f t="shared" si="4"/>
        <v>53900.5242</v>
      </c>
      <c r="H18" s="10">
        <f t="shared" si="5"/>
        <v>2514</v>
      </c>
      <c r="I18" s="49" t="s">
        <v>90</v>
      </c>
      <c r="J18" s="50" t="s">
        <v>91</v>
      </c>
      <c r="K18" s="49">
        <v>2514</v>
      </c>
      <c r="L18" s="49" t="s">
        <v>92</v>
      </c>
      <c r="M18" s="50" t="s">
        <v>86</v>
      </c>
      <c r="N18" s="50" t="s">
        <v>87</v>
      </c>
      <c r="O18" s="51" t="s">
        <v>93</v>
      </c>
      <c r="P18" s="52" t="s">
        <v>89</v>
      </c>
    </row>
    <row r="19" spans="1:16" ht="12.75" customHeight="1" thickBot="1" x14ac:dyDescent="0.25">
      <c r="A19" s="10" t="str">
        <f t="shared" si="0"/>
        <v>IBVS 5943 </v>
      </c>
      <c r="B19" s="3" t="str">
        <f t="shared" si="1"/>
        <v>I</v>
      </c>
      <c r="C19" s="10">
        <f t="shared" si="2"/>
        <v>55344.460200000001</v>
      </c>
      <c r="D19" s="12" t="str">
        <f t="shared" si="3"/>
        <v>vis</v>
      </c>
      <c r="E19" s="48">
        <f>VLOOKUP(C19,'Active 2'!C$21:E$971,3,FALSE)</f>
        <v>898.06556519918172</v>
      </c>
      <c r="F19" s="3" t="s">
        <v>61</v>
      </c>
      <c r="G19" s="12" t="str">
        <f t="shared" si="4"/>
        <v>55344.4602</v>
      </c>
      <c r="H19" s="10">
        <f t="shared" si="5"/>
        <v>3958</v>
      </c>
      <c r="I19" s="49" t="s">
        <v>99</v>
      </c>
      <c r="J19" s="50" t="s">
        <v>100</v>
      </c>
      <c r="K19" s="49">
        <v>3958</v>
      </c>
      <c r="L19" s="49" t="s">
        <v>101</v>
      </c>
      <c r="M19" s="50" t="s">
        <v>86</v>
      </c>
      <c r="N19" s="50" t="s">
        <v>102</v>
      </c>
      <c r="O19" s="51" t="s">
        <v>103</v>
      </c>
      <c r="P19" s="52" t="s">
        <v>104</v>
      </c>
    </row>
    <row r="20" spans="1:16" ht="12.75" customHeight="1" thickBot="1" x14ac:dyDescent="0.25">
      <c r="A20" s="10" t="str">
        <f t="shared" si="0"/>
        <v>OEJV 0107 </v>
      </c>
      <c r="B20" s="3" t="str">
        <f t="shared" si="1"/>
        <v>I</v>
      </c>
      <c r="C20" s="10">
        <f t="shared" si="2"/>
        <v>54946.538800000002</v>
      </c>
      <c r="D20" s="12" t="str">
        <f t="shared" si="3"/>
        <v>vis</v>
      </c>
      <c r="E20" s="48" t="e">
        <f>VLOOKUP(C20,'Active 2'!C$21:E$971,3,FALSE)</f>
        <v>#N/A</v>
      </c>
      <c r="F20" s="3" t="s">
        <v>61</v>
      </c>
      <c r="G20" s="12" t="str">
        <f t="shared" si="4"/>
        <v>54946.5388</v>
      </c>
      <c r="H20" s="10">
        <f t="shared" si="5"/>
        <v>3560</v>
      </c>
      <c r="I20" s="49" t="s">
        <v>94</v>
      </c>
      <c r="J20" s="50" t="s">
        <v>95</v>
      </c>
      <c r="K20" s="49">
        <v>3560</v>
      </c>
      <c r="L20" s="49" t="s">
        <v>96</v>
      </c>
      <c r="M20" s="50" t="s">
        <v>86</v>
      </c>
      <c r="N20" s="50" t="s">
        <v>76</v>
      </c>
      <c r="O20" s="51" t="s">
        <v>97</v>
      </c>
      <c r="P20" s="52" t="s">
        <v>98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55390.539599999996</v>
      </c>
      <c r="D21" s="12" t="str">
        <f t="shared" si="3"/>
        <v>vis</v>
      </c>
      <c r="E21" s="48" t="e">
        <f>VLOOKUP(C21,'Active 2'!C$21:E$971,3,FALSE)</f>
        <v>#N/A</v>
      </c>
      <c r="F21" s="3" t="s">
        <v>61</v>
      </c>
      <c r="G21" s="12" t="str">
        <f t="shared" si="4"/>
        <v>55390.5396</v>
      </c>
      <c r="H21" s="10">
        <f t="shared" si="5"/>
        <v>4004</v>
      </c>
      <c r="I21" s="49" t="s">
        <v>105</v>
      </c>
      <c r="J21" s="50" t="s">
        <v>106</v>
      </c>
      <c r="K21" s="49">
        <v>4004</v>
      </c>
      <c r="L21" s="49" t="s">
        <v>107</v>
      </c>
      <c r="M21" s="50" t="s">
        <v>86</v>
      </c>
      <c r="N21" s="50" t="s">
        <v>76</v>
      </c>
      <c r="O21" s="51" t="s">
        <v>97</v>
      </c>
      <c r="P21" s="52" t="s">
        <v>108</v>
      </c>
    </row>
    <row r="22" spans="1:16" x14ac:dyDescent="0.2">
      <c r="B22" s="3"/>
      <c r="E22" s="48"/>
      <c r="F22" s="3"/>
    </row>
    <row r="23" spans="1:16" x14ac:dyDescent="0.2">
      <c r="B23" s="3"/>
      <c r="E23" s="48"/>
      <c r="F23" s="3"/>
    </row>
    <row r="24" spans="1:16" x14ac:dyDescent="0.2">
      <c r="B24" s="3"/>
      <c r="E24" s="48"/>
      <c r="F24" s="3"/>
    </row>
    <row r="25" spans="1:16" x14ac:dyDescent="0.2">
      <c r="B25" s="3"/>
      <c r="E25" s="48"/>
      <c r="F25" s="3"/>
    </row>
    <row r="26" spans="1:16" x14ac:dyDescent="0.2">
      <c r="B26" s="3"/>
      <c r="E26" s="48"/>
      <c r="F26" s="3"/>
    </row>
    <row r="27" spans="1:16" x14ac:dyDescent="0.2">
      <c r="B27" s="3"/>
      <c r="E27" s="48"/>
      <c r="F27" s="3"/>
    </row>
    <row r="28" spans="1:16" x14ac:dyDescent="0.2">
      <c r="B28" s="3"/>
      <c r="E28" s="48"/>
      <c r="F28" s="3"/>
    </row>
    <row r="29" spans="1:16" x14ac:dyDescent="0.2">
      <c r="B29" s="3"/>
      <c r="E29" s="48"/>
      <c r="F29" s="3"/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4855" xr:uid="{00000000-0004-0000-0300-000000000000}"/>
    <hyperlink ref="P12" r:id="rId2" display="http://www.konkoly.hu/cgi-bin/IBVS?4855" xr:uid="{00000000-0004-0000-0300-000001000000}"/>
    <hyperlink ref="P13" r:id="rId3" display="http://www.konkoly.hu/cgi-bin/IBVS?4855" xr:uid="{00000000-0004-0000-0300-000002000000}"/>
    <hyperlink ref="P14" r:id="rId4" display="http://www.konkoly.hu/cgi-bin/IBVS?4855" xr:uid="{00000000-0004-0000-0300-000003000000}"/>
    <hyperlink ref="P15" r:id="rId5" display="http://www.konkoly.hu/cgi-bin/IBVS?4855" xr:uid="{00000000-0004-0000-0300-000004000000}"/>
    <hyperlink ref="P16" r:id="rId6" display="http://www.konkoly.hu/cgi-bin/IBVS?4855" xr:uid="{00000000-0004-0000-0300-000005000000}"/>
    <hyperlink ref="P17" r:id="rId7" display="http://www.bav-astro.de/sfs/BAVM_link.php?BAVMnr=178" xr:uid="{00000000-0004-0000-0300-000006000000}"/>
    <hyperlink ref="P18" r:id="rId8" display="http://www.bav-astro.de/sfs/BAVM_link.php?BAVMnr=178" xr:uid="{00000000-0004-0000-0300-000007000000}"/>
    <hyperlink ref="P20" r:id="rId9" display="http://var.astro.cz/oejv/issues/oejv0107.pdf" xr:uid="{00000000-0004-0000-0300-000008000000}"/>
    <hyperlink ref="P19" r:id="rId10" display="http://www.konkoly.hu/cgi-bin/IBVS?5943" xr:uid="{00000000-0004-0000-0300-000009000000}"/>
    <hyperlink ref="P21" r:id="rId11" display="http://var.astro.cz/oejv/issues/oejv0137.pdf" xr:uid="{00000000-0004-0000-0300-00000A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939"/>
  <sheetViews>
    <sheetView workbookViewId="0">
      <selection activeCell="A54" sqref="A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44</v>
      </c>
      <c r="D4" s="9" t="s">
        <v>44</v>
      </c>
    </row>
    <row r="6" spans="1:7" x14ac:dyDescent="0.2">
      <c r="A6" s="5" t="s">
        <v>2</v>
      </c>
    </row>
    <row r="7" spans="1:7" x14ac:dyDescent="0.2">
      <c r="A7" t="s">
        <v>3</v>
      </c>
      <c r="C7">
        <v>51386.397900000004</v>
      </c>
      <c r="D7" s="29" t="s">
        <v>40</v>
      </c>
    </row>
    <row r="8" spans="1:7" x14ac:dyDescent="0.2">
      <c r="A8" t="s">
        <v>4</v>
      </c>
      <c r="C8">
        <v>0.44309739999999997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-3.5849345201957983E-2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-6.9688974759602219E-5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54946.532736453635</v>
      </c>
      <c r="D15" s="16" t="s">
        <v>34</v>
      </c>
      <c r="E15" s="17">
        <f ca="1">TODAY()+15018.5-B9/24</f>
        <v>60354.5</v>
      </c>
    </row>
    <row r="16" spans="1:7" x14ac:dyDescent="0.2">
      <c r="A16" s="18" t="s">
        <v>5</v>
      </c>
      <c r="B16" s="12"/>
      <c r="C16" s="19">
        <f ca="1">+C8+C12</f>
        <v>0.44302771102524036</v>
      </c>
      <c r="D16" s="16" t="s">
        <v>35</v>
      </c>
      <c r="E16" s="17">
        <f ca="1">ROUND(2*(E15-C15)/C16,0)/2+1</f>
        <v>12208</v>
      </c>
    </row>
    <row r="17" spans="1:17" ht="13.5" thickBot="1" x14ac:dyDescent="0.25">
      <c r="A17" s="16" t="s">
        <v>31</v>
      </c>
      <c r="B17" s="12"/>
      <c r="C17" s="12">
        <f>COUNT(C21:C2190)</f>
        <v>8</v>
      </c>
      <c r="D17" s="16" t="s">
        <v>36</v>
      </c>
      <c r="E17" s="20">
        <f ca="1">+C15+C16*E16-15018.5-C9/24</f>
        <v>45336.181699316432</v>
      </c>
    </row>
    <row r="18" spans="1:17" ht="14.25" thickTop="1" thickBot="1" x14ac:dyDescent="0.25">
      <c r="A18" s="18" t="s">
        <v>6</v>
      </c>
      <c r="B18" s="12"/>
      <c r="C18" s="21">
        <f ca="1">+C15</f>
        <v>54946.532736453635</v>
      </c>
      <c r="D18" s="22">
        <f ca="1">+C16</f>
        <v>0.44302771102524036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 t="shared" ref="H21:H27" si="2">+G21</f>
        <v>0</v>
      </c>
      <c r="O21">
        <f t="shared" ref="O21:O27" ca="1" si="3">+C$11+C$12*$F21</f>
        <v>-3.5849345201957983E-2</v>
      </c>
      <c r="Q21" s="2">
        <f t="shared" ref="Q21:Q27" si="4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1.1284200598895304E-3</v>
      </c>
      <c r="F22">
        <f>ROUND(2*E22,0)/2</f>
        <v>0</v>
      </c>
      <c r="G22">
        <f t="shared" si="1"/>
        <v>4.999999946448952E-4</v>
      </c>
      <c r="H22">
        <f t="shared" si="2"/>
        <v>4.999999946448952E-4</v>
      </c>
      <c r="O22">
        <f t="shared" ca="1" si="3"/>
        <v>-3.5849345201957983E-2</v>
      </c>
      <c r="Q22" s="2">
        <f t="shared" si="4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1.5797880936977465E-3</v>
      </c>
      <c r="F23">
        <f>ROUND(2*E23,0)/2</f>
        <v>0</v>
      </c>
      <c r="G23">
        <f t="shared" si="1"/>
        <v>6.9999999686842784E-4</v>
      </c>
      <c r="H23">
        <f t="shared" si="2"/>
        <v>6.9999999686842784E-4</v>
      </c>
      <c r="O23">
        <f t="shared" ca="1" si="3"/>
        <v>-3.5849345201957983E-2</v>
      </c>
      <c r="Q23" s="2">
        <f t="shared" si="4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13.509670785688703</v>
      </c>
      <c r="F24">
        <f>ROUND(2*E24,0)/2</f>
        <v>13.5</v>
      </c>
      <c r="G24">
        <f t="shared" si="1"/>
        <v>4.2850999961956404E-3</v>
      </c>
      <c r="H24">
        <f t="shared" si="2"/>
        <v>4.2850999961956404E-3</v>
      </c>
      <c r="O24">
        <f t="shared" ca="1" si="3"/>
        <v>-3.6790146361212611E-2</v>
      </c>
      <c r="Q24" s="2">
        <f t="shared" si="4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13.510347837731207</v>
      </c>
      <c r="F25">
        <f>ROUND(2*E25,0)/2</f>
        <v>13.5</v>
      </c>
      <c r="G25">
        <f t="shared" si="1"/>
        <v>4.5850999958929606E-3</v>
      </c>
      <c r="H25">
        <f t="shared" si="2"/>
        <v>4.5850999958929606E-3</v>
      </c>
      <c r="O25">
        <f t="shared" ca="1" si="3"/>
        <v>-3.6790146361212611E-2</v>
      </c>
      <c r="Q25" s="2">
        <f t="shared" si="4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4635.7214012088507</v>
      </c>
      <c r="F26" s="30">
        <f>ROUND(2*E26,0)/2+1</f>
        <v>4636.5</v>
      </c>
      <c r="G26">
        <f t="shared" si="1"/>
        <v>-0.34499510000023292</v>
      </c>
      <c r="H26">
        <f t="shared" si="2"/>
        <v>-0.34499510000023292</v>
      </c>
      <c r="O26">
        <f t="shared" ca="1" si="3"/>
        <v>-0.35896227667485364</v>
      </c>
      <c r="Q26" s="2">
        <f t="shared" si="4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5673.981160801206</v>
      </c>
      <c r="F27" s="30">
        <f>ROUND(2*E27,0)/2+1</f>
        <v>5675</v>
      </c>
      <c r="G27">
        <f t="shared" si="1"/>
        <v>-0.45144500000606058</v>
      </c>
      <c r="H27">
        <f t="shared" si="2"/>
        <v>-0.45144500000606058</v>
      </c>
      <c r="O27">
        <f t="shared" ca="1" si="3"/>
        <v>-0.43133427696270055</v>
      </c>
      <c r="Q27" s="2">
        <f t="shared" si="4"/>
        <v>38882.0242</v>
      </c>
    </row>
    <row r="28" spans="1:17" x14ac:dyDescent="0.2">
      <c r="A28" s="35" t="s">
        <v>46</v>
      </c>
      <c r="B28" s="36" t="s">
        <v>42</v>
      </c>
      <c r="C28" s="37">
        <v>54946.53888</v>
      </c>
      <c r="D28" s="37">
        <v>1E-3</v>
      </c>
      <c r="E28">
        <f>+(C28-C$7)/C$8</f>
        <v>8034.6690817865256</v>
      </c>
      <c r="F28" s="30">
        <f>ROUND(2*E28,0)/2+1.5</f>
        <v>8036</v>
      </c>
      <c r="G28">
        <f>+C28-(C$7+F28*C$8)</f>
        <v>-0.58972640000138199</v>
      </c>
      <c r="I28">
        <f>+G28</f>
        <v>-0.58972640000138199</v>
      </c>
      <c r="O28">
        <f ca="1">+C$11+C$12*$F28</f>
        <v>-0.59586994637012136</v>
      </c>
      <c r="Q28" s="2">
        <f>+C28-15018.5</f>
        <v>39928.03888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51"/>
  <sheetViews>
    <sheetView workbookViewId="0">
      <selection activeCell="A54" sqref="A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4855 </v>
      </c>
      <c r="B11" s="3" t="str">
        <f t="shared" ref="B11:B21" si="1">IF(H11=INT(H11),"I","II")</f>
        <v>I</v>
      </c>
      <c r="C11" s="10">
        <f t="shared" ref="C11:C21" si="2">1*G11</f>
        <v>51386.397900000004</v>
      </c>
      <c r="D11" s="12" t="str">
        <f t="shared" ref="D11:D21" si="3">VLOOKUP(F11,I$1:J$5,2,FALSE)</f>
        <v>vis</v>
      </c>
      <c r="E11" s="48">
        <f>VLOOKUP(C11,'Active 1'!C$21:E$971,3,FALSE)</f>
        <v>-8034.7168692278201</v>
      </c>
      <c r="F11" s="3" t="s">
        <v>61</v>
      </c>
      <c r="G11" s="12" t="str">
        <f t="shared" ref="G11:G21" si="4">MID(I11,3,LEN(I11)-3)</f>
        <v>51386.3979</v>
      </c>
      <c r="H11" s="10">
        <f t="shared" ref="H11:H21" si="5">1*K11</f>
        <v>0</v>
      </c>
      <c r="I11" s="49" t="s">
        <v>63</v>
      </c>
      <c r="J11" s="50" t="s">
        <v>64</v>
      </c>
      <c r="K11" s="49">
        <v>0</v>
      </c>
      <c r="L11" s="49" t="s">
        <v>65</v>
      </c>
      <c r="M11" s="50" t="s">
        <v>66</v>
      </c>
      <c r="N11" s="50" t="s">
        <v>67</v>
      </c>
      <c r="O11" s="51" t="s">
        <v>68</v>
      </c>
      <c r="P11" s="52" t="s">
        <v>69</v>
      </c>
    </row>
    <row r="12" spans="1:16" ht="12.75" customHeight="1" thickBot="1" x14ac:dyDescent="0.25">
      <c r="A12" s="10" t="str">
        <f t="shared" si="0"/>
        <v>IBVS 4855 </v>
      </c>
      <c r="B12" s="3" t="str">
        <f t="shared" si="1"/>
        <v>I</v>
      </c>
      <c r="C12" s="10">
        <f t="shared" si="2"/>
        <v>51386.398399999998</v>
      </c>
      <c r="D12" s="12" t="str">
        <f t="shared" si="3"/>
        <v>vis</v>
      </c>
      <c r="E12" s="48">
        <f>VLOOKUP(C12,'Active 1'!C$21:E$971,3,FALSE)</f>
        <v>-8034.7157407991017</v>
      </c>
      <c r="F12" s="3" t="s">
        <v>61</v>
      </c>
      <c r="G12" s="12" t="str">
        <f t="shared" si="4"/>
        <v>51386.3984</v>
      </c>
      <c r="H12" s="10">
        <f t="shared" si="5"/>
        <v>0</v>
      </c>
      <c r="I12" s="49" t="s">
        <v>70</v>
      </c>
      <c r="J12" s="50" t="s">
        <v>71</v>
      </c>
      <c r="K12" s="49">
        <v>0</v>
      </c>
      <c r="L12" s="49" t="s">
        <v>72</v>
      </c>
      <c r="M12" s="50" t="s">
        <v>66</v>
      </c>
      <c r="N12" s="50" t="s">
        <v>73</v>
      </c>
      <c r="O12" s="51" t="s">
        <v>68</v>
      </c>
      <c r="P12" s="52" t="s">
        <v>69</v>
      </c>
    </row>
    <row r="13" spans="1:16" ht="12.75" customHeight="1" thickBot="1" x14ac:dyDescent="0.25">
      <c r="A13" s="10" t="str">
        <f t="shared" si="0"/>
        <v>IBVS 4855 </v>
      </c>
      <c r="B13" s="3" t="str">
        <f t="shared" si="1"/>
        <v>I</v>
      </c>
      <c r="C13" s="10">
        <f t="shared" si="2"/>
        <v>51386.3986</v>
      </c>
      <c r="D13" s="12" t="str">
        <f t="shared" si="3"/>
        <v>vis</v>
      </c>
      <c r="E13" s="48">
        <f>VLOOKUP(C13,'Active 1'!C$21:E$971,3,FALSE)</f>
        <v>-8034.7152894276041</v>
      </c>
      <c r="F13" s="3" t="s">
        <v>61</v>
      </c>
      <c r="G13" s="12" t="str">
        <f t="shared" si="4"/>
        <v>51386.3986</v>
      </c>
      <c r="H13" s="10">
        <f t="shared" si="5"/>
        <v>0</v>
      </c>
      <c r="I13" s="49" t="s">
        <v>74</v>
      </c>
      <c r="J13" s="50" t="s">
        <v>71</v>
      </c>
      <c r="K13" s="49">
        <v>0</v>
      </c>
      <c r="L13" s="49" t="s">
        <v>75</v>
      </c>
      <c r="M13" s="50" t="s">
        <v>66</v>
      </c>
      <c r="N13" s="50" t="s">
        <v>76</v>
      </c>
      <c r="O13" s="51" t="s">
        <v>68</v>
      </c>
      <c r="P13" s="52" t="s">
        <v>69</v>
      </c>
    </row>
    <row r="14" spans="1:16" ht="12.75" customHeight="1" thickBot="1" x14ac:dyDescent="0.25">
      <c r="A14" s="10" t="str">
        <f t="shared" si="0"/>
        <v>IBVS 4855 </v>
      </c>
      <c r="B14" s="3" t="str">
        <f t="shared" si="1"/>
        <v>I</v>
      </c>
      <c r="C14" s="10">
        <f t="shared" si="2"/>
        <v>51392.383999999998</v>
      </c>
      <c r="D14" s="12" t="str">
        <f t="shared" si="3"/>
        <v>vis</v>
      </c>
      <c r="E14" s="48">
        <f>VLOOKUP(C14,'Active 1'!C$21:E$971,3,FALSE)</f>
        <v>-8021.2070947781667</v>
      </c>
      <c r="F14" s="3" t="s">
        <v>61</v>
      </c>
      <c r="G14" s="12" t="str">
        <f t="shared" si="4"/>
        <v>51392.3840</v>
      </c>
      <c r="H14" s="10">
        <f t="shared" si="5"/>
        <v>6</v>
      </c>
      <c r="I14" s="49" t="s">
        <v>77</v>
      </c>
      <c r="J14" s="50" t="s">
        <v>78</v>
      </c>
      <c r="K14" s="49">
        <v>6</v>
      </c>
      <c r="L14" s="49" t="s">
        <v>79</v>
      </c>
      <c r="M14" s="50" t="s">
        <v>66</v>
      </c>
      <c r="N14" s="50" t="s">
        <v>73</v>
      </c>
      <c r="O14" s="51" t="s">
        <v>68</v>
      </c>
      <c r="P14" s="52" t="s">
        <v>69</v>
      </c>
    </row>
    <row r="15" spans="1:16" ht="12.75" customHeight="1" thickBot="1" x14ac:dyDescent="0.25">
      <c r="A15" s="10" t="str">
        <f t="shared" si="0"/>
        <v>IBVS 4855 </v>
      </c>
      <c r="B15" s="3" t="str">
        <f t="shared" si="1"/>
        <v>I</v>
      </c>
      <c r="C15" s="10">
        <f t="shared" si="2"/>
        <v>51392.384299999998</v>
      </c>
      <c r="D15" s="12" t="str">
        <f t="shared" si="3"/>
        <v>vis</v>
      </c>
      <c r="E15" s="48">
        <f>VLOOKUP(C15,'Active 1'!C$21:E$971,3,FALSE)</f>
        <v>-8021.2064177209295</v>
      </c>
      <c r="F15" s="3" t="s">
        <v>61</v>
      </c>
      <c r="G15" s="12" t="str">
        <f t="shared" si="4"/>
        <v>51392.3843</v>
      </c>
      <c r="H15" s="10">
        <f t="shared" si="5"/>
        <v>6</v>
      </c>
      <c r="I15" s="49" t="s">
        <v>80</v>
      </c>
      <c r="J15" s="50" t="s">
        <v>81</v>
      </c>
      <c r="K15" s="49">
        <v>6</v>
      </c>
      <c r="L15" s="49" t="s">
        <v>82</v>
      </c>
      <c r="M15" s="50" t="s">
        <v>66</v>
      </c>
      <c r="N15" s="50" t="s">
        <v>76</v>
      </c>
      <c r="O15" s="51" t="s">
        <v>68</v>
      </c>
      <c r="P15" s="52" t="s">
        <v>69</v>
      </c>
    </row>
    <row r="16" spans="1:16" ht="12.75" customHeight="1" thickBot="1" x14ac:dyDescent="0.25">
      <c r="A16" s="10" t="str">
        <f t="shared" si="0"/>
        <v>IBVS 4855 </v>
      </c>
      <c r="B16" s="3" t="str">
        <f t="shared" si="1"/>
        <v>I</v>
      </c>
      <c r="C16" s="10">
        <f t="shared" si="2"/>
        <v>51392.384299999998</v>
      </c>
      <c r="D16" s="12" t="str">
        <f t="shared" si="3"/>
        <v>vis</v>
      </c>
      <c r="E16" s="48">
        <f>VLOOKUP(C16,'Active 1'!C$21:E$971,3,FALSE)</f>
        <v>-8021.2064177209295</v>
      </c>
      <c r="F16" s="3" t="s">
        <v>61</v>
      </c>
      <c r="G16" s="12" t="str">
        <f t="shared" si="4"/>
        <v>51392.3843</v>
      </c>
      <c r="H16" s="10">
        <f t="shared" si="5"/>
        <v>6</v>
      </c>
      <c r="I16" s="49" t="s">
        <v>80</v>
      </c>
      <c r="J16" s="50" t="s">
        <v>81</v>
      </c>
      <c r="K16" s="49">
        <v>6</v>
      </c>
      <c r="L16" s="49" t="s">
        <v>82</v>
      </c>
      <c r="M16" s="50" t="s">
        <v>66</v>
      </c>
      <c r="N16" s="50" t="s">
        <v>67</v>
      </c>
      <c r="O16" s="51" t="s">
        <v>68</v>
      </c>
      <c r="P16" s="52" t="s">
        <v>69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53440.474000000002</v>
      </c>
      <c r="D17" s="12" t="str">
        <f t="shared" si="3"/>
        <v>vis</v>
      </c>
      <c r="E17" s="48">
        <f>VLOOKUP(C17,'Active 1'!C$21:E$971,3,FALSE)</f>
        <v>-3398.9598966666963</v>
      </c>
      <c r="F17" s="3" t="s">
        <v>61</v>
      </c>
      <c r="G17" s="12" t="str">
        <f t="shared" si="4"/>
        <v>53440.474</v>
      </c>
      <c r="H17" s="10">
        <f t="shared" si="5"/>
        <v>2054</v>
      </c>
      <c r="I17" s="49" t="s">
        <v>83</v>
      </c>
      <c r="J17" s="50" t="s">
        <v>84</v>
      </c>
      <c r="K17" s="49">
        <v>2054</v>
      </c>
      <c r="L17" s="49" t="s">
        <v>85</v>
      </c>
      <c r="M17" s="50" t="s">
        <v>86</v>
      </c>
      <c r="N17" s="50" t="s">
        <v>87</v>
      </c>
      <c r="O17" s="51" t="s">
        <v>88</v>
      </c>
      <c r="P17" s="52" t="s">
        <v>89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</v>
      </c>
      <c r="C18" s="10">
        <f t="shared" si="2"/>
        <v>53900.5242</v>
      </c>
      <c r="D18" s="12" t="str">
        <f t="shared" si="3"/>
        <v>vis</v>
      </c>
      <c r="E18" s="48">
        <f>VLOOKUP(C18,'Active 1'!C$21:E$971,3,FALSE)</f>
        <v>-2360.692170179771</v>
      </c>
      <c r="F18" s="3" t="s">
        <v>61</v>
      </c>
      <c r="G18" s="12" t="str">
        <f t="shared" si="4"/>
        <v>53900.5242</v>
      </c>
      <c r="H18" s="10">
        <f t="shared" si="5"/>
        <v>2514</v>
      </c>
      <c r="I18" s="49" t="s">
        <v>90</v>
      </c>
      <c r="J18" s="50" t="s">
        <v>91</v>
      </c>
      <c r="K18" s="49">
        <v>2514</v>
      </c>
      <c r="L18" s="49" t="s">
        <v>92</v>
      </c>
      <c r="M18" s="50" t="s">
        <v>86</v>
      </c>
      <c r="N18" s="50" t="s">
        <v>87</v>
      </c>
      <c r="O18" s="51" t="s">
        <v>93</v>
      </c>
      <c r="P18" s="52" t="s">
        <v>89</v>
      </c>
    </row>
    <row r="19" spans="1:16" ht="12.75" customHeight="1" thickBot="1" x14ac:dyDescent="0.25">
      <c r="A19" s="10" t="str">
        <f t="shared" si="0"/>
        <v>IBVS 5943 </v>
      </c>
      <c r="B19" s="3" t="str">
        <f t="shared" si="1"/>
        <v>I</v>
      </c>
      <c r="C19" s="10">
        <f t="shared" si="2"/>
        <v>55344.460200000001</v>
      </c>
      <c r="D19" s="12" t="str">
        <f t="shared" si="3"/>
        <v>vis</v>
      </c>
      <c r="E19" s="48">
        <f>VLOOKUP(C19,'Active 1'!C$21:E$971,3,FALSE)</f>
        <v>898.06556519918172</v>
      </c>
      <c r="F19" s="3" t="s">
        <v>61</v>
      </c>
      <c r="G19" s="12" t="str">
        <f t="shared" si="4"/>
        <v>55344.4602</v>
      </c>
      <c r="H19" s="10">
        <f t="shared" si="5"/>
        <v>3958</v>
      </c>
      <c r="I19" s="49" t="s">
        <v>99</v>
      </c>
      <c r="J19" s="50" t="s">
        <v>100</v>
      </c>
      <c r="K19" s="49">
        <v>3958</v>
      </c>
      <c r="L19" s="49" t="s">
        <v>101</v>
      </c>
      <c r="M19" s="50" t="s">
        <v>86</v>
      </c>
      <c r="N19" s="50" t="s">
        <v>102</v>
      </c>
      <c r="O19" s="51" t="s">
        <v>103</v>
      </c>
      <c r="P19" s="52" t="s">
        <v>104</v>
      </c>
    </row>
    <row r="20" spans="1:16" ht="12.75" customHeight="1" thickBot="1" x14ac:dyDescent="0.25">
      <c r="A20" s="10" t="str">
        <f t="shared" si="0"/>
        <v>OEJV 0107 </v>
      </c>
      <c r="B20" s="3" t="str">
        <f t="shared" si="1"/>
        <v>I</v>
      </c>
      <c r="C20" s="10">
        <f t="shared" si="2"/>
        <v>54946.538800000002</v>
      </c>
      <c r="D20" s="12" t="str">
        <f t="shared" si="3"/>
        <v>vis</v>
      </c>
      <c r="E20" s="48" t="e">
        <f>VLOOKUP(C20,'Active 1'!C$21:E$971,3,FALSE)</f>
        <v>#N/A</v>
      </c>
      <c r="F20" s="3" t="s">
        <v>61</v>
      </c>
      <c r="G20" s="12" t="str">
        <f t="shared" si="4"/>
        <v>54946.5388</v>
      </c>
      <c r="H20" s="10">
        <f t="shared" si="5"/>
        <v>3560</v>
      </c>
      <c r="I20" s="49" t="s">
        <v>94</v>
      </c>
      <c r="J20" s="50" t="s">
        <v>95</v>
      </c>
      <c r="K20" s="49">
        <v>3560</v>
      </c>
      <c r="L20" s="49" t="s">
        <v>96</v>
      </c>
      <c r="M20" s="50" t="s">
        <v>86</v>
      </c>
      <c r="N20" s="50" t="s">
        <v>76</v>
      </c>
      <c r="O20" s="51" t="s">
        <v>97</v>
      </c>
      <c r="P20" s="52" t="s">
        <v>98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55390.539599999996</v>
      </c>
      <c r="D21" s="12" t="str">
        <f t="shared" si="3"/>
        <v>vis</v>
      </c>
      <c r="E21" s="48" t="e">
        <f>VLOOKUP(C21,'Active 1'!C$21:E$971,3,FALSE)</f>
        <v>#N/A</v>
      </c>
      <c r="F21" s="3" t="s">
        <v>61</v>
      </c>
      <c r="G21" s="12" t="str">
        <f t="shared" si="4"/>
        <v>55390.5396</v>
      </c>
      <c r="H21" s="10">
        <f t="shared" si="5"/>
        <v>4004</v>
      </c>
      <c r="I21" s="49" t="s">
        <v>105</v>
      </c>
      <c r="J21" s="50" t="s">
        <v>106</v>
      </c>
      <c r="K21" s="49">
        <v>4004</v>
      </c>
      <c r="L21" s="49" t="s">
        <v>107</v>
      </c>
      <c r="M21" s="50" t="s">
        <v>86</v>
      </c>
      <c r="N21" s="50" t="s">
        <v>76</v>
      </c>
      <c r="O21" s="51" t="s">
        <v>97</v>
      </c>
      <c r="P21" s="52" t="s">
        <v>108</v>
      </c>
    </row>
    <row r="22" spans="1:16" x14ac:dyDescent="0.2">
      <c r="B22" s="3"/>
      <c r="E22" s="48"/>
      <c r="F22" s="3"/>
    </row>
    <row r="23" spans="1:16" x14ac:dyDescent="0.2">
      <c r="B23" s="3"/>
      <c r="E23" s="48"/>
      <c r="F23" s="3"/>
    </row>
    <row r="24" spans="1:16" x14ac:dyDescent="0.2">
      <c r="B24" s="3"/>
      <c r="E24" s="48"/>
      <c r="F24" s="3"/>
    </row>
    <row r="25" spans="1:16" x14ac:dyDescent="0.2">
      <c r="B25" s="3"/>
      <c r="E25" s="48"/>
      <c r="F25" s="3"/>
    </row>
    <row r="26" spans="1:16" x14ac:dyDescent="0.2">
      <c r="B26" s="3"/>
      <c r="E26" s="48"/>
      <c r="F26" s="3"/>
    </row>
    <row r="27" spans="1:16" x14ac:dyDescent="0.2">
      <c r="B27" s="3"/>
      <c r="E27" s="48"/>
      <c r="F27" s="3"/>
    </row>
    <row r="28" spans="1:16" x14ac:dyDescent="0.2">
      <c r="B28" s="3"/>
      <c r="E28" s="48"/>
      <c r="F28" s="3"/>
    </row>
    <row r="29" spans="1:16" x14ac:dyDescent="0.2">
      <c r="B29" s="3"/>
      <c r="E29" s="48"/>
      <c r="F29" s="3"/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4855" xr:uid="{00000000-0004-0000-0500-000000000000}"/>
    <hyperlink ref="P12" r:id="rId2" display="http://www.konkoly.hu/cgi-bin/IBVS?4855" xr:uid="{00000000-0004-0000-0500-000001000000}"/>
    <hyperlink ref="P13" r:id="rId3" display="http://www.konkoly.hu/cgi-bin/IBVS?4855" xr:uid="{00000000-0004-0000-0500-000002000000}"/>
    <hyperlink ref="P14" r:id="rId4" display="http://www.konkoly.hu/cgi-bin/IBVS?4855" xr:uid="{00000000-0004-0000-0500-000003000000}"/>
    <hyperlink ref="P15" r:id="rId5" display="http://www.konkoly.hu/cgi-bin/IBVS?4855" xr:uid="{00000000-0004-0000-0500-000004000000}"/>
    <hyperlink ref="P16" r:id="rId6" display="http://www.konkoly.hu/cgi-bin/IBVS?4855" xr:uid="{00000000-0004-0000-0500-000005000000}"/>
    <hyperlink ref="P17" r:id="rId7" display="http://www.bav-astro.de/sfs/BAVM_link.php?BAVMnr=178" xr:uid="{00000000-0004-0000-0500-000006000000}"/>
    <hyperlink ref="P18" r:id="rId8" display="http://www.bav-astro.de/sfs/BAVM_link.php?BAVMnr=178" xr:uid="{00000000-0004-0000-0500-000007000000}"/>
    <hyperlink ref="P20" r:id="rId9" display="http://var.astro.cz/oejv/issues/oejv0107.pdf" xr:uid="{00000000-0004-0000-0500-000008000000}"/>
    <hyperlink ref="P19" r:id="rId10" display="http://www.konkoly.hu/cgi-bin/IBVS?5943" xr:uid="{00000000-0004-0000-0500-000009000000}"/>
    <hyperlink ref="P21" r:id="rId11" display="http://var.astro.cz/oejv/issues/oejv0137.pdf" xr:uid="{00000000-0004-0000-05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A (old) (2)</vt:lpstr>
      <vt:lpstr>BAV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2024-02-14T04:25:25Z</dcterms:modified>
</cp:coreProperties>
</file>