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DD6DD55-6E2E-4CBE-8392-DA19B856F3D0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2" r:id="rId1"/>
    <sheet name="Active 2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C8" i="4" l="1"/>
  <c r="E26" i="4"/>
  <c r="F26" i="4"/>
  <c r="G26" i="4"/>
  <c r="H26" i="4"/>
  <c r="F11" i="4"/>
  <c r="E23" i="4"/>
  <c r="F23" i="4"/>
  <c r="G23" i="4"/>
  <c r="H23" i="4"/>
  <c r="E25" i="4"/>
  <c r="F25" i="4"/>
  <c r="G25" i="4"/>
  <c r="H25" i="4"/>
  <c r="E31" i="4"/>
  <c r="F31" i="4"/>
  <c r="G31" i="4"/>
  <c r="H31" i="4"/>
  <c r="E33" i="4"/>
  <c r="F33" i="4"/>
  <c r="G33" i="4"/>
  <c r="I33" i="4"/>
  <c r="E38" i="4"/>
  <c r="F38" i="4"/>
  <c r="G38" i="4"/>
  <c r="I38" i="4"/>
  <c r="E39" i="4"/>
  <c r="F39" i="4"/>
  <c r="G39" i="4"/>
  <c r="I39" i="4"/>
  <c r="E43" i="4"/>
  <c r="F43" i="4"/>
  <c r="G43" i="4"/>
  <c r="I43" i="4"/>
  <c r="E44" i="4"/>
  <c r="F44" i="4"/>
  <c r="G44" i="4"/>
  <c r="I44" i="4"/>
  <c r="E47" i="4"/>
  <c r="F47" i="4"/>
  <c r="G47" i="4"/>
  <c r="J47" i="4"/>
  <c r="E50" i="4"/>
  <c r="F50" i="4"/>
  <c r="G50" i="4"/>
  <c r="J50" i="4"/>
  <c r="E51" i="4"/>
  <c r="F51" i="4"/>
  <c r="G51" i="4"/>
  <c r="J51" i="4"/>
  <c r="G11" i="4"/>
  <c r="E14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E49" i="2"/>
  <c r="F49" i="2"/>
  <c r="G49" i="2"/>
  <c r="I49" i="2"/>
  <c r="Q49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I32" i="2"/>
  <c r="E33" i="2"/>
  <c r="F33" i="2"/>
  <c r="G33" i="2"/>
  <c r="E34" i="2"/>
  <c r="F34" i="2"/>
  <c r="G34" i="2"/>
  <c r="I34" i="2"/>
  <c r="E35" i="2"/>
  <c r="F35" i="2"/>
  <c r="G35" i="2"/>
  <c r="I35" i="2"/>
  <c r="E36" i="2"/>
  <c r="F36" i="2"/>
  <c r="G36" i="2"/>
  <c r="I36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E47" i="2"/>
  <c r="F47" i="2"/>
  <c r="G47" i="2"/>
  <c r="J47" i="2"/>
  <c r="E48" i="2"/>
  <c r="F48" i="2"/>
  <c r="G48" i="2"/>
  <c r="J48" i="2"/>
  <c r="E50" i="2"/>
  <c r="F50" i="2"/>
  <c r="G50" i="2"/>
  <c r="J50" i="2"/>
  <c r="E51" i="2"/>
  <c r="F51" i="2"/>
  <c r="G51" i="2"/>
  <c r="J51" i="2"/>
  <c r="E52" i="2"/>
  <c r="F52" i="2"/>
  <c r="G52" i="2"/>
  <c r="J52" i="2"/>
  <c r="E53" i="2"/>
  <c r="F53" i="2"/>
  <c r="G53" i="2"/>
  <c r="J53" i="2"/>
  <c r="F11" i="2"/>
  <c r="Q41" i="2"/>
  <c r="Q40" i="2"/>
  <c r="Q39" i="2"/>
  <c r="Q38" i="2"/>
  <c r="Q37" i="2"/>
  <c r="G35" i="3"/>
  <c r="C35" i="3"/>
  <c r="E35" i="3"/>
  <c r="G34" i="3"/>
  <c r="C34" i="3"/>
  <c r="E34" i="3"/>
  <c r="G33" i="3"/>
  <c r="C33" i="3"/>
  <c r="E33" i="3"/>
  <c r="G32" i="3"/>
  <c r="C32" i="3"/>
  <c r="E32" i="3"/>
  <c r="G41" i="3"/>
  <c r="C41" i="3"/>
  <c r="E41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41" i="3"/>
  <c r="D41" i="3"/>
  <c r="B41" i="3"/>
  <c r="A41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Q53" i="2"/>
  <c r="G11" i="2"/>
  <c r="Q52" i="2"/>
  <c r="E14" i="2"/>
  <c r="E15" i="2" s="1"/>
  <c r="C17" i="2"/>
  <c r="Q51" i="2"/>
  <c r="Q50" i="2"/>
  <c r="Q47" i="2"/>
  <c r="Q21" i="2"/>
  <c r="Q22" i="2"/>
  <c r="Q23" i="2"/>
  <c r="Q24" i="2"/>
  <c r="H25" i="2"/>
  <c r="Q25" i="2"/>
  <c r="Q26" i="2"/>
  <c r="Q27" i="2"/>
  <c r="Q28" i="2"/>
  <c r="Q29" i="2"/>
  <c r="Q30" i="2"/>
  <c r="Q31" i="2"/>
  <c r="Q32" i="2"/>
  <c r="I33" i="2"/>
  <c r="Q33" i="2"/>
  <c r="Q34" i="2"/>
  <c r="Q35" i="2"/>
  <c r="Q36" i="2"/>
  <c r="Q42" i="2"/>
  <c r="Q43" i="2"/>
  <c r="Q44" i="2"/>
  <c r="Q45" i="2"/>
  <c r="I46" i="2"/>
  <c r="Q46" i="2"/>
  <c r="Q48" i="2"/>
  <c r="Q42" i="1"/>
  <c r="E42" i="1"/>
  <c r="F42" i="1"/>
  <c r="G42" i="1"/>
  <c r="J42" i="1"/>
  <c r="F41" i="1"/>
  <c r="G41" i="1"/>
  <c r="I41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Q37" i="1"/>
  <c r="Q38" i="1"/>
  <c r="Q39" i="1"/>
  <c r="Q40" i="1"/>
  <c r="Q4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Q32" i="1"/>
  <c r="Q33" i="1"/>
  <c r="Q34" i="1"/>
  <c r="Q35" i="1"/>
  <c r="Q36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E26" i="1"/>
  <c r="F26" i="1"/>
  <c r="G26" i="1"/>
  <c r="H26" i="1"/>
  <c r="E27" i="1"/>
  <c r="F27" i="1"/>
  <c r="E28" i="1"/>
  <c r="F28" i="1"/>
  <c r="G28" i="1"/>
  <c r="H28" i="1"/>
  <c r="E29" i="1"/>
  <c r="F29" i="1"/>
  <c r="E30" i="1"/>
  <c r="F30" i="1"/>
  <c r="G30" i="1"/>
  <c r="H30" i="1"/>
  <c r="E31" i="1"/>
  <c r="F31" i="1"/>
  <c r="G31" i="1"/>
  <c r="H31" i="1"/>
  <c r="G25" i="1"/>
  <c r="H25" i="1"/>
  <c r="G27" i="1"/>
  <c r="H27" i="1"/>
  <c r="G29" i="1"/>
  <c r="Q22" i="1"/>
  <c r="Q23" i="1"/>
  <c r="Q24" i="1"/>
  <c r="Q25" i="1"/>
  <c r="Q26" i="1"/>
  <c r="Q27" i="1"/>
  <c r="Q28" i="1"/>
  <c r="Q29" i="1"/>
  <c r="Q30" i="1"/>
  <c r="Q31" i="1"/>
  <c r="H29" i="1"/>
  <c r="E21" i="1"/>
  <c r="F21" i="1"/>
  <c r="G21" i="1"/>
  <c r="C19" i="1"/>
  <c r="C18" i="1"/>
  <c r="Q21" i="1"/>
  <c r="C12" i="1"/>
  <c r="C16" i="1"/>
  <c r="D18" i="1"/>
  <c r="H21" i="1"/>
  <c r="C11" i="1"/>
  <c r="E36" i="4"/>
  <c r="F36" i="4"/>
  <c r="G36" i="4"/>
  <c r="I36" i="4"/>
  <c r="E28" i="4"/>
  <c r="F28" i="4"/>
  <c r="G28" i="4"/>
  <c r="H28" i="4"/>
  <c r="E40" i="4"/>
  <c r="F40" i="4"/>
  <c r="G40" i="4"/>
  <c r="I40" i="4"/>
  <c r="E30" i="4"/>
  <c r="F30" i="4"/>
  <c r="G30" i="4"/>
  <c r="H30" i="4"/>
  <c r="E22" i="4"/>
  <c r="F22" i="4"/>
  <c r="G22" i="4"/>
  <c r="H22" i="4"/>
  <c r="E53" i="4"/>
  <c r="F53" i="4"/>
  <c r="G53" i="4"/>
  <c r="J53" i="4"/>
  <c r="E49" i="4"/>
  <c r="F49" i="4"/>
  <c r="G49" i="4"/>
  <c r="I49" i="4"/>
  <c r="E46" i="4"/>
  <c r="F46" i="4"/>
  <c r="G46" i="4"/>
  <c r="I46" i="4"/>
  <c r="E42" i="4"/>
  <c r="F42" i="4"/>
  <c r="G42" i="4"/>
  <c r="I42" i="4"/>
  <c r="E35" i="4"/>
  <c r="F35" i="4"/>
  <c r="G35" i="4"/>
  <c r="I35" i="4"/>
  <c r="E27" i="4"/>
  <c r="F27" i="4"/>
  <c r="G27" i="4"/>
  <c r="H27" i="4"/>
  <c r="E32" i="4"/>
  <c r="F32" i="4"/>
  <c r="G32" i="4"/>
  <c r="I32" i="4"/>
  <c r="E24" i="4"/>
  <c r="F24" i="4"/>
  <c r="G24" i="4"/>
  <c r="H24" i="4"/>
  <c r="E52" i="4"/>
  <c r="F52" i="4"/>
  <c r="G52" i="4"/>
  <c r="J52" i="4"/>
  <c r="E45" i="4"/>
  <c r="F45" i="4"/>
  <c r="G45" i="4"/>
  <c r="I45" i="4"/>
  <c r="E41" i="4"/>
  <c r="F41" i="4"/>
  <c r="G41" i="4"/>
  <c r="I41" i="4"/>
  <c r="E37" i="4"/>
  <c r="F37" i="4"/>
  <c r="G37" i="4"/>
  <c r="I37" i="4"/>
  <c r="E29" i="4"/>
  <c r="F29" i="4"/>
  <c r="G29" i="4"/>
  <c r="H29" i="4"/>
  <c r="E21" i="4"/>
  <c r="F21" i="4"/>
  <c r="G21" i="4"/>
  <c r="E48" i="4"/>
  <c r="F48" i="4"/>
  <c r="G48" i="4"/>
  <c r="J48" i="4"/>
  <c r="E34" i="4"/>
  <c r="F34" i="4"/>
  <c r="G34" i="4"/>
  <c r="I34" i="4"/>
  <c r="O25" i="1"/>
  <c r="O29" i="1"/>
  <c r="O42" i="1"/>
  <c r="O39" i="1"/>
  <c r="O33" i="1"/>
  <c r="O36" i="1"/>
  <c r="O22" i="1"/>
  <c r="O26" i="1"/>
  <c r="O37" i="1"/>
  <c r="O30" i="1"/>
  <c r="O40" i="1"/>
  <c r="O34" i="1"/>
  <c r="O23" i="1"/>
  <c r="O27" i="1"/>
  <c r="O31" i="1"/>
  <c r="O21" i="1"/>
  <c r="O38" i="1"/>
  <c r="O41" i="1"/>
  <c r="O32" i="1"/>
  <c r="O24" i="1"/>
  <c r="O28" i="1"/>
  <c r="O35" i="1"/>
  <c r="H21" i="4"/>
  <c r="C11" i="2"/>
  <c r="C12" i="4"/>
  <c r="C12" i="2"/>
  <c r="C11" i="4"/>
  <c r="O47" i="4" l="1"/>
  <c r="O37" i="4"/>
  <c r="O35" i="4"/>
  <c r="O33" i="4"/>
  <c r="O34" i="4"/>
  <c r="O22" i="4"/>
  <c r="O28" i="4"/>
  <c r="O23" i="4"/>
  <c r="O38" i="4"/>
  <c r="O44" i="4"/>
  <c r="O31" i="4"/>
  <c r="O52" i="4"/>
  <c r="C15" i="4"/>
  <c r="E16" i="4" s="1"/>
  <c r="O45" i="4"/>
  <c r="O43" i="4"/>
  <c r="O41" i="4"/>
  <c r="O24" i="4"/>
  <c r="O50" i="4"/>
  <c r="O21" i="4"/>
  <c r="O26" i="4"/>
  <c r="O53" i="4"/>
  <c r="O51" i="4"/>
  <c r="O49" i="4"/>
  <c r="O40" i="4"/>
  <c r="O48" i="4"/>
  <c r="O42" i="4"/>
  <c r="O32" i="4"/>
  <c r="O30" i="4"/>
  <c r="O36" i="4"/>
  <c r="O46" i="4"/>
  <c r="O39" i="4"/>
  <c r="O29" i="4"/>
  <c r="O27" i="4"/>
  <c r="O25" i="4"/>
  <c r="C16" i="2"/>
  <c r="D18" i="2" s="1"/>
  <c r="C16" i="4"/>
  <c r="D18" i="4" s="1"/>
  <c r="O32" i="2"/>
  <c r="O26" i="2"/>
  <c r="O22" i="2"/>
  <c r="O35" i="2"/>
  <c r="O43" i="2"/>
  <c r="O28" i="2"/>
  <c r="O49" i="2"/>
  <c r="O31" i="2"/>
  <c r="O24" i="2"/>
  <c r="C15" i="2"/>
  <c r="O47" i="2"/>
  <c r="O51" i="2"/>
  <c r="O52" i="2"/>
  <c r="O36" i="2"/>
  <c r="O23" i="2"/>
  <c r="O40" i="2"/>
  <c r="O33" i="2"/>
  <c r="O37" i="2"/>
  <c r="O44" i="2"/>
  <c r="O45" i="2"/>
  <c r="O27" i="2"/>
  <c r="O46" i="2"/>
  <c r="O53" i="2"/>
  <c r="O38" i="2"/>
  <c r="O30" i="2"/>
  <c r="O42" i="2"/>
  <c r="O34" i="2"/>
  <c r="O25" i="2"/>
  <c r="O41" i="2"/>
  <c r="O29" i="2"/>
  <c r="O39" i="2"/>
  <c r="O50" i="2"/>
  <c r="O21" i="2"/>
  <c r="O48" i="2"/>
  <c r="E15" i="4"/>
  <c r="E16" i="2" l="1"/>
  <c r="E17" i="2" s="1"/>
  <c r="C18" i="2"/>
  <c r="E17" i="4"/>
  <c r="C18" i="4"/>
</calcChain>
</file>

<file path=xl/sharedStrings.xml><?xml version="1.0" encoding="utf-8"?>
<sst xmlns="http://schemas.openxmlformats.org/spreadsheetml/2006/main" count="556" uniqueCount="198">
  <si>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</si>
  <si>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</si>
  <si>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</si>
  <si>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</si>
  <si>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</si>
  <si>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</si>
  <si>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</si>
  <si>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</si>
  <si>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</si>
  <si>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</si>
  <si>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</si>
  <si>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</si>
  <si>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</si>
  <si>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</si>
  <si>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</si>
  <si>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</si>
  <si>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</si>
  <si>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</si>
  <si>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</si>
  <si>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</si>
  <si>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</si>
  <si>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</si>
  <si>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</si>
  <si>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</si>
  <si>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</si>
  <si>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</si>
  <si>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</si>
  <si>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</si>
  <si>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</si>
  <si>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</si>
  <si>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V1005 Her</t>
  </si>
  <si>
    <t>GSC 3505-0677</t>
  </si>
  <si>
    <t>IBVS 4504</t>
  </si>
  <si>
    <t>not avail.</t>
  </si>
  <si>
    <t>I</t>
  </si>
  <si>
    <t>II</t>
  </si>
  <si>
    <t>IBVS 4611</t>
  </si>
  <si>
    <t>IBVS 5583</t>
  </si>
  <si>
    <t>IBVS 5645</t>
  </si>
  <si>
    <t>II?</t>
  </si>
  <si>
    <t>IBVS 5713</t>
  </si>
  <si>
    <t>visual</t>
  </si>
  <si>
    <t>BBSAG</t>
  </si>
  <si>
    <t>I like the fit on page B better</t>
  </si>
  <si>
    <t># of data points:</t>
  </si>
  <si>
    <t>V1005 Her / GSC 03505-00677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</si>
  <si>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</si>
  <si>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</si>
  <si>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</si>
  <si>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</si>
  <si>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</si>
  <si>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</si>
  <si>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</si>
  <si>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</si>
  <si>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</si>
  <si>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IBVS 5945</t>
  </si>
  <si>
    <t>EW</t>
  </si>
  <si>
    <t>Add cycle</t>
  </si>
  <si>
    <t>Old Cycle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</si>
  <si>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</si>
  <si>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</si>
  <si>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</si>
  <si>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</si>
  <si>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</si>
  <si>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</si>
  <si>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</si>
  <si>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</si>
  <si>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</si>
  <si>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</si>
  <si>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</si>
  <si>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</si>
  <si>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</si>
  <si>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2450624.7432 </t>
  </si>
  <si>
    <t> 25.06.1997 05:50 </t>
  </si>
  <si>
    <t> 0.0126 </t>
  </si>
  <si>
    <t>E </t>
  </si>
  <si>
    <t>R</t>
  </si>
  <si>
    <t> R.M.Robb et al. </t>
  </si>
  <si>
    <t>IBVS 4504 </t>
  </si>
  <si>
    <t>2450627.8118 </t>
  </si>
  <si>
    <t> 28.06.1997 07:28 </t>
  </si>
  <si>
    <t>2450632.8325 </t>
  </si>
  <si>
    <t> 03.07.1997 07:58 </t>
  </si>
  <si>
    <t> 0.0120 </t>
  </si>
  <si>
    <t>2450633.8095 </t>
  </si>
  <si>
    <t> 04.07.1997 07:25 </t>
  </si>
  <si>
    <t>2450633.9494 </t>
  </si>
  <si>
    <t> 04.07.1997 10:47 </t>
  </si>
  <si>
    <t> 0.0131 </t>
  </si>
  <si>
    <t>2450634.7865 </t>
  </si>
  <si>
    <t> 05.07.1997 06:52 </t>
  </si>
  <si>
    <t> 0.0133 </t>
  </si>
  <si>
    <t>2450634.9254 </t>
  </si>
  <si>
    <t> 05.07.1997 10:12 </t>
  </si>
  <si>
    <t> 0.0127 </t>
  </si>
  <si>
    <t>2450648.7342 </t>
  </si>
  <si>
    <t> 19.07.1997 05:37 </t>
  </si>
  <si>
    <t> 0.0128 </t>
  </si>
  <si>
    <t>2450648.8733 </t>
  </si>
  <si>
    <t> 19.07.1997 08:57 </t>
  </si>
  <si>
    <t> 0.0125 </t>
  </si>
  <si>
    <t>2450649.8529 </t>
  </si>
  <si>
    <t> 20.07.1997 08:28 </t>
  </si>
  <si>
    <t> 0.0157 </t>
  </si>
  <si>
    <t>2450650.8259 </t>
  </si>
  <si>
    <t> 21.07.1997 07:49 </t>
  </si>
  <si>
    <t> 0.0123 </t>
  </si>
  <si>
    <t>2450960.8880 </t>
  </si>
  <si>
    <t> 27.05.1998 09:18 </t>
  </si>
  <si>
    <t> 0.0076 </t>
  </si>
  <si>
    <t>?</t>
  </si>
  <si>
    <t> Samec &amp; Faulkner </t>
  </si>
  <si>
    <t>IBVS 4611 </t>
  </si>
  <si>
    <t>2450961.7235 </t>
  </si>
  <si>
    <t> 28.05.1998 05:21 </t>
  </si>
  <si>
    <t> 0.0062 </t>
  </si>
  <si>
    <t>2450961.8652 </t>
  </si>
  <si>
    <t> 28.05.1998 08:45 </t>
  </si>
  <si>
    <t> 0.0084 </t>
  </si>
  <si>
    <t>2450966.7466 </t>
  </si>
  <si>
    <t> 02.06.1998 05:55 </t>
  </si>
  <si>
    <t> 0.0080 </t>
  </si>
  <si>
    <t>2450966.8862 </t>
  </si>
  <si>
    <t> 02.06.1998 09:16 </t>
  </si>
  <si>
    <t> 0.0081 </t>
  </si>
  <si>
    <t>2451358.4053 </t>
  </si>
  <si>
    <t> 28.06.1999 21:43 </t>
  </si>
  <si>
    <t> 0.0033 </t>
  </si>
  <si>
    <t> R.Diethelm </t>
  </si>
  <si>
    <t> BBS 120 </t>
  </si>
  <si>
    <t>2451425.353 </t>
  </si>
  <si>
    <t> 03.09.1999 20:28 </t>
  </si>
  <si>
    <t> -0.000 </t>
  </si>
  <si>
    <t> E.Blättler </t>
  </si>
  <si>
    <t> BBS 121 </t>
  </si>
  <si>
    <t>2451722.4457 </t>
  </si>
  <si>
    <t> 26.06.2000 22:41 </t>
  </si>
  <si>
    <t> -0.0024 </t>
  </si>
  <si>
    <t> BBS 123 </t>
  </si>
  <si>
    <t>2452053.4336 </t>
  </si>
  <si>
    <t> 23.05.2001 22:24 </t>
  </si>
  <si>
    <t> -0.0035 </t>
  </si>
  <si>
    <t> BBS 125 </t>
  </si>
  <si>
    <t>2452362.514 </t>
  </si>
  <si>
    <t> 29.03.2002 00:20 </t>
  </si>
  <si>
    <t> -0.014 </t>
  </si>
  <si>
    <t> BBS 128 </t>
  </si>
  <si>
    <t>2452410.3573 </t>
  </si>
  <si>
    <t> 15.05.2002 20:34 </t>
  </si>
  <si>
    <t> -0.0124 </t>
  </si>
  <si>
    <t> M.Zejda </t>
  </si>
  <si>
    <t>IBVS 5583 </t>
  </si>
  <si>
    <t>2452427.3746 </t>
  </si>
  <si>
    <t> 01.06.2002 20:59 </t>
  </si>
  <si>
    <t> -0.0118 </t>
  </si>
  <si>
    <t>2452872.4222 </t>
  </si>
  <si>
    <t> 20.08.2003 22:07 </t>
  </si>
  <si>
    <t> -0.0489 </t>
  </si>
  <si>
    <t> O.Pejcha </t>
  </si>
  <si>
    <t>IBVS 5645 </t>
  </si>
  <si>
    <t>2453846.4682 </t>
  </si>
  <si>
    <t> 20.04.2006 23:14 </t>
  </si>
  <si>
    <t> -0.0005 </t>
  </si>
  <si>
    <t>C </t>
  </si>
  <si>
    <t>-I</t>
  </si>
  <si>
    <t> Agerer </t>
  </si>
  <si>
    <t>BAVM 178 </t>
  </si>
  <si>
    <t>2453899.4691 </t>
  </si>
  <si>
    <t> 12.06.2006 23:15 </t>
  </si>
  <si>
    <t> -0.0025 </t>
  </si>
  <si>
    <t> R. Diethelm </t>
  </si>
  <si>
    <t>IBVS 5713 </t>
  </si>
  <si>
    <t>2454931.2168 </t>
  </si>
  <si>
    <t> 09.04.2009 17:12 </t>
  </si>
  <si>
    <t> 0.0023 </t>
  </si>
  <si>
    <t>Ic</t>
  </si>
  <si>
    <t> K.Nakajima </t>
  </si>
  <si>
    <t>VSB 50 </t>
  </si>
  <si>
    <t>2454990.7759 </t>
  </si>
  <si>
    <t> 08.06.2009 06:37 </t>
  </si>
  <si>
    <t> 0.0029 </t>
  </si>
  <si>
    <t>IBVS 5894 </t>
  </si>
  <si>
    <t>2455280.8955 </t>
  </si>
  <si>
    <t> 25.03.2010 09:29 </t>
  </si>
  <si>
    <t> 0.0015 </t>
  </si>
  <si>
    <t>IBVS 5945 </t>
  </si>
  <si>
    <t>2455668.9289 </t>
  </si>
  <si>
    <t> 17.04.2011 10:17 </t>
  </si>
  <si>
    <t> -0.0020 </t>
  </si>
  <si>
    <t>IBVS 5992 </t>
  </si>
  <si>
    <t>2456047.8993 </t>
  </si>
  <si>
    <t> 30.04.2012 09:34 </t>
  </si>
  <si>
    <t> -0.0021 </t>
  </si>
  <si>
    <t>IBVS 6029 </t>
  </si>
  <si>
    <t>BAD?</t>
  </si>
  <si>
    <t>The half period gives a nicer fit, but Samec &amp; Faulkner have a light curve</t>
  </si>
  <si>
    <t>See IBVS 4611</t>
  </si>
  <si>
    <t>This is the correct period -- See IBVS 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</si>
</sst>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0" xfId="0" applyFill="1" applyAlignment="1"/>
    <xf numFmtId="0" fontId="9" fillId="0" borderId="0" xfId="0" applyFont="1" applyAlignment="1"/>
    <xf numFmtId="0" fontId="11" fillId="3" borderId="0" xfId="0" applyFont="1" applyFill="1" applyAlignme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8" fillId="4" borderId="0" xfId="0" applyFont="1" applyFill="1" applyAlignment="1"/>
    <xf numFmtId="0" fontId="0" fillId="0" borderId="1" xfId="0" applyBorder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5" borderId="12" xfId="0" applyFont="1" applyFill="1" applyBorder="1" applyAlignment="1">
      <alignment horizontal="left" vertical="top" wrapText="1" indent="1"/>
    </xf>
    <xf numFmtId="0" fontId="5" fillId="5" borderId="12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right" vertical="top" wrapText="1"/>
    </xf>
    <xf numFmtId="0" fontId="20" fillId="5" borderId="12" xfId="7" applyFill="1" applyBorder="1" applyAlignment="1" applyProtection="1">
      <alignment horizontal="right" vertical="top" wrapText="1"/>
    </xf>
    <xf numFmtId="0" fontId="5" fillId="5" borderId="12" xfId="0" applyNumberFormat="1" applyFont="1" applyFill="1" applyBorder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6" borderId="0" xfId="0" applyFont="1" applyFill="1" applyAlignment="1"/>
    <xf numFmtId="0" fontId="23" fillId="7" borderId="0" xfId="0" applyFont="1" applyFill="1" applyAlignment="1"/>
    <xf numFmtId="0" fontId="23" fillId="8" borderId="0" xfId="0" applyFont="1" applyFill="1" applyAlignment="1"/>
    <xf numFmtId="0" fontId="15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V1005 Her - O-C Diagr.</a:t>
            </a:r>
          </a:p>
        </c:rich>
      </c:tx>
      <c:layout>
        <c:manualLayout>
          <c:xMode val="edge"/>
          <c:yMode val="edge"/>
          <c:x val="0.360258820636111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190636509425255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Source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1.9999999494757503E-4</c:v>
                </c:pt>
                <c:pt idx="1">
                  <c:v>1.3000000035390258E-4</c:v>
                </c:pt>
                <c:pt idx="2">
                  <c:v>-6.3000000227475539E-4</c:v>
                </c:pt>
                <c:pt idx="3">
                  <c:v>-2.5000001187436283E-5</c:v>
                </c:pt>
                <c:pt idx="4">
                  <c:v>3.8999999378575012E-4</c:v>
                </c:pt>
                <c:pt idx="5">
                  <c:v>5.7999999989988282E-4</c:v>
                </c:pt>
                <c:pt idx="6">
                  <c:v>-5.0000016926787794E-6</c:v>
                </c:pt>
                <c:pt idx="7">
                  <c:v>-2.2000000171829015E-4</c:v>
                </c:pt>
                <c:pt idx="8">
                  <c:v>-6.0500000108731911E-4</c:v>
                </c:pt>
                <c:pt idx="9">
                  <c:v>2.5999999925261363E-3</c:v>
                </c:pt>
                <c:pt idx="10">
                  <c:v>-7.9499999992549419E-4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6D-4EC7-9BCA-5DC02EF0337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11">
                  <c:v>-1.3850000003003515E-2</c:v>
                </c:pt>
                <c:pt idx="12">
                  <c:v>-1.5260000000125729E-2</c:v>
                </c:pt>
                <c:pt idx="13">
                  <c:v>-1.3044999999692664E-2</c:v>
                </c:pt>
                <c:pt idx="14">
                  <c:v>-1.3620000005175825E-2</c:v>
                </c:pt>
                <c:pt idx="15">
                  <c:v>-1.3505000002624001E-2</c:v>
                </c:pt>
                <c:pt idx="16">
                  <c:v>-2.8800000000046566E-2</c:v>
                </c:pt>
                <c:pt idx="17">
                  <c:v>-3.3900000002176967E-2</c:v>
                </c:pt>
                <c:pt idx="18">
                  <c:v>-4.4250000006286427E-2</c:v>
                </c:pt>
                <c:pt idx="19">
                  <c:v>-5.4255000002740417E-2</c:v>
                </c:pt>
                <c:pt idx="20">
                  <c:v>-0.21209999999700813</c:v>
                </c:pt>
                <c:pt idx="21">
                  <c:v>-0.21215500000107568</c:v>
                </c:pt>
                <c:pt idx="22">
                  <c:v>-0.21215500000107568</c:v>
                </c:pt>
                <c:pt idx="23">
                  <c:v>-0.21202500000072177</c:v>
                </c:pt>
                <c:pt idx="24">
                  <c:v>-0.21202500000072177</c:v>
                </c:pt>
                <c:pt idx="25">
                  <c:v>-0.26106000000436325</c:v>
                </c:pt>
                <c:pt idx="28">
                  <c:v>-0.54402999999729218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6D-4EC7-9BCA-5DC02EF0337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26">
                  <c:v>-0.37829999999667052</c:v>
                </c:pt>
                <c:pt idx="27">
                  <c:v>-0.38169999999809079</c:v>
                </c:pt>
                <c:pt idx="29">
                  <c:v>-0.54502499999944121</c:v>
                </c:pt>
                <c:pt idx="30">
                  <c:v>-0.5542249999998603</c:v>
                </c:pt>
                <c:pt idx="31">
                  <c:v>-0.56809500000235857</c:v>
                </c:pt>
                <c:pt idx="32">
                  <c:v>-0.57844000000477536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6D-4EC7-9BCA-5DC02EF0337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6D-4EC7-9BCA-5DC02EF0337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6D-4EC7-9BCA-5DC02EF0337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6D-4EC7-9BCA-5DC02EF0337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6D-4EC7-9BCA-5DC02EF0337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1.6773193379390178E-2</c:v>
                </c:pt>
                <c:pt idx="1">
                  <c:v>1.6406890698289416E-2</c:v>
                </c:pt>
                <c:pt idx="2">
                  <c:v>1.5807486311033625E-2</c:v>
                </c:pt>
                <c:pt idx="3">
                  <c:v>1.569093545795611E-2</c:v>
                </c:pt>
                <c:pt idx="4">
                  <c:v>1.5674285336087893E-2</c:v>
                </c:pt>
                <c:pt idx="5">
                  <c:v>1.5574384604878594E-2</c:v>
                </c:pt>
                <c:pt idx="6">
                  <c:v>1.5557734483010377E-2</c:v>
                </c:pt>
                <c:pt idx="7">
                  <c:v>1.390937241805695E-2</c:v>
                </c:pt>
                <c:pt idx="8">
                  <c:v>1.3892722296188733E-2</c:v>
                </c:pt>
                <c:pt idx="9">
                  <c:v>1.3776171443111218E-2</c:v>
                </c:pt>
                <c:pt idx="10">
                  <c:v>1.3659620590033703E-2</c:v>
                </c:pt>
                <c:pt idx="11">
                  <c:v>-2.3353600323011453E-2</c:v>
                </c:pt>
                <c:pt idx="12">
                  <c:v>-2.3453501054220754E-2</c:v>
                </c:pt>
                <c:pt idx="13">
                  <c:v>-2.3470151176088964E-2</c:v>
                </c:pt>
                <c:pt idx="14">
                  <c:v>-2.4052905441476542E-2</c:v>
                </c:pt>
                <c:pt idx="15">
                  <c:v>-2.4069555563344759E-2</c:v>
                </c:pt>
                <c:pt idx="16">
                  <c:v>-7.0806447647428314E-2</c:v>
                </c:pt>
                <c:pt idx="17">
                  <c:v>-7.8798506144172206E-2</c:v>
                </c:pt>
                <c:pt idx="18">
                  <c:v>-0.11426326572347323</c:v>
                </c:pt>
                <c:pt idx="19">
                  <c:v>-0.15377400491675086</c:v>
                </c:pt>
                <c:pt idx="20">
                  <c:v>-0.19068732509858671</c:v>
                </c:pt>
                <c:pt idx="21">
                  <c:v>-0.19639831689938494</c:v>
                </c:pt>
                <c:pt idx="22">
                  <c:v>-0.19639831689938494</c:v>
                </c:pt>
                <c:pt idx="23">
                  <c:v>-0.19842963176730735</c:v>
                </c:pt>
                <c:pt idx="24">
                  <c:v>-0.19842963176730735</c:v>
                </c:pt>
                <c:pt idx="25">
                  <c:v>-0.251560170648786</c:v>
                </c:pt>
                <c:pt idx="26">
                  <c:v>-0.36784462177640964</c:v>
                </c:pt>
                <c:pt idx="27">
                  <c:v>-0.37417166808633195</c:v>
                </c:pt>
                <c:pt idx="28">
                  <c:v>-0.49734926966739712</c:v>
                </c:pt>
                <c:pt idx="29">
                  <c:v>-0.5044588717051256</c:v>
                </c:pt>
                <c:pt idx="30">
                  <c:v>-0.53909112519101576</c:v>
                </c:pt>
                <c:pt idx="31">
                  <c:v>-0.58541176422839392</c:v>
                </c:pt>
                <c:pt idx="32">
                  <c:v>-0.63065014534433805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6D-4EC7-9BCA-5DC02EF0337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2630</c:v>
                </c:pt>
                <c:pt idx="17">
                  <c:v>2870</c:v>
                </c:pt>
                <c:pt idx="18">
                  <c:v>3935</c:v>
                </c:pt>
                <c:pt idx="19">
                  <c:v>5121.5</c:v>
                </c:pt>
                <c:pt idx="20">
                  <c:v>6230</c:v>
                </c:pt>
                <c:pt idx="21">
                  <c:v>6401.5</c:v>
                </c:pt>
                <c:pt idx="22">
                  <c:v>6401.5</c:v>
                </c:pt>
                <c:pt idx="23">
                  <c:v>6462.5</c:v>
                </c:pt>
                <c:pt idx="24">
                  <c:v>6462.5</c:v>
                </c:pt>
                <c:pt idx="25">
                  <c:v>8058</c:v>
                </c:pt>
                <c:pt idx="26">
                  <c:v>11550</c:v>
                </c:pt>
                <c:pt idx="27">
                  <c:v>11740</c:v>
                </c:pt>
                <c:pt idx="28">
                  <c:v>15439</c:v>
                </c:pt>
                <c:pt idx="29">
                  <c:v>15652.5</c:v>
                </c:pt>
                <c:pt idx="30">
                  <c:v>16692.5</c:v>
                </c:pt>
                <c:pt idx="31">
                  <c:v>18083.5</c:v>
                </c:pt>
                <c:pt idx="32">
                  <c:v>19442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6D-4EC7-9BCA-5DC02EF0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8624"/>
        <c:axId val="1"/>
      </c:scatterChart>
      <c:valAx>
        <c:axId val="69235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9323182340495"/>
          <c:y val="0.92024539877300615"/>
          <c:w val="0.8578358965226277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V1005 Her - O-C Diagr.</a:t>
            </a:r>
          </a:p>
        </c:rich>
      </c:tx>
      <c:layout>
        <c:manualLayout>
          <c:xMode val="edge"/>
          <c:yMode val="edge"/>
          <c:x val="0.360258820636111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60681114551083"/>
          <c:w val="0.8093705899846258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Source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1.9999999494757503E-4</c:v>
                </c:pt>
                <c:pt idx="1">
                  <c:v>1.3000000035390258E-4</c:v>
                </c:pt>
                <c:pt idx="2">
                  <c:v>-6.3000000227475539E-4</c:v>
                </c:pt>
                <c:pt idx="3">
                  <c:v>-2.5000001187436283E-5</c:v>
                </c:pt>
                <c:pt idx="4">
                  <c:v>3.8999999378575012E-4</c:v>
                </c:pt>
                <c:pt idx="5">
                  <c:v>5.7999999989988282E-4</c:v>
                </c:pt>
                <c:pt idx="6">
                  <c:v>-5.0000016926787794E-6</c:v>
                </c:pt>
                <c:pt idx="7">
                  <c:v>-2.2000000171829015E-4</c:v>
                </c:pt>
                <c:pt idx="8">
                  <c:v>-6.0500000108731911E-4</c:v>
                </c:pt>
                <c:pt idx="9">
                  <c:v>2.5999999925261363E-3</c:v>
                </c:pt>
                <c:pt idx="10">
                  <c:v>-7.9499999992549419E-4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0-4CEC-B019-C434D0A3824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11">
                  <c:v>-1.3850000003003515E-2</c:v>
                </c:pt>
                <c:pt idx="12">
                  <c:v>-1.5260000000125729E-2</c:v>
                </c:pt>
                <c:pt idx="13">
                  <c:v>-1.3044999999692664E-2</c:v>
                </c:pt>
                <c:pt idx="14">
                  <c:v>-1.3620000005175825E-2</c:v>
                </c:pt>
                <c:pt idx="15">
                  <c:v>-1.3505000002624001E-2</c:v>
                </c:pt>
                <c:pt idx="16">
                  <c:v>-2.8800000000046566E-2</c:v>
                </c:pt>
                <c:pt idx="17">
                  <c:v>-3.3900000002176967E-2</c:v>
                </c:pt>
                <c:pt idx="18">
                  <c:v>-4.4250000006286427E-2</c:v>
                </c:pt>
                <c:pt idx="19">
                  <c:v>-5.4255000002740417E-2</c:v>
                </c:pt>
                <c:pt idx="20">
                  <c:v>-7.2614999997313134E-2</c:v>
                </c:pt>
                <c:pt idx="21">
                  <c:v>-7.2670000001380686E-2</c:v>
                </c:pt>
                <c:pt idx="22">
                  <c:v>-7.2670000001380686E-2</c:v>
                </c:pt>
                <c:pt idx="23">
                  <c:v>-7.2540000001026783E-2</c:v>
                </c:pt>
                <c:pt idx="24">
                  <c:v>-7.2540000001026783E-2</c:v>
                </c:pt>
                <c:pt idx="25">
                  <c:v>-0.12157500000466825</c:v>
                </c:pt>
                <c:pt idx="28">
                  <c:v>-0.33480250000138767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0-4CEC-B019-C434D0A3824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26">
                  <c:v>-0.23881499999697553</c:v>
                </c:pt>
                <c:pt idx="27">
                  <c:v>-0.2422149999983958</c:v>
                </c:pt>
                <c:pt idx="29">
                  <c:v>-0.3357975000035367</c:v>
                </c:pt>
                <c:pt idx="30">
                  <c:v>-0.34499750000395579</c:v>
                </c:pt>
                <c:pt idx="31">
                  <c:v>-0.35886750000645407</c:v>
                </c:pt>
                <c:pt idx="32">
                  <c:v>-0.36921250000159489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10-4CEC-B019-C434D0A3824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10-4CEC-B019-C434D0A3824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10-4CEC-B019-C434D0A3824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10-4CEC-B019-C434D0A3824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2.8E-3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5.0000000000000001E-4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10-4CEC-B019-C434D0A3824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0">
                  <c:v>1.5497535401595527E-2</c:v>
                </c:pt>
                <c:pt idx="1">
                  <c:v>1.5274026478013965E-2</c:v>
                </c:pt>
                <c:pt idx="2">
                  <c:v>1.4908284603062316E-2</c:v>
                </c:pt>
                <c:pt idx="3">
                  <c:v>1.4837168127377275E-2</c:v>
                </c:pt>
                <c:pt idx="4">
                  <c:v>1.4827008630850839E-2</c:v>
                </c:pt>
                <c:pt idx="5">
                  <c:v>1.4766051651692232E-2</c:v>
                </c:pt>
                <c:pt idx="6">
                  <c:v>1.4755892155165796E-2</c:v>
                </c:pt>
                <c:pt idx="7">
                  <c:v>1.3750101999048766E-2</c:v>
                </c:pt>
                <c:pt idx="8">
                  <c:v>1.3739942502522331E-2</c:v>
                </c:pt>
                <c:pt idx="9">
                  <c:v>1.3668826026837288E-2</c:v>
                </c:pt>
                <c:pt idx="10">
                  <c:v>1.3597709551152245E-2</c:v>
                </c:pt>
                <c:pt idx="11">
                  <c:v>-8.9868512271120068E-3</c:v>
                </c:pt>
                <c:pt idx="12">
                  <c:v>-9.0478082062706161E-3</c:v>
                </c:pt>
                <c:pt idx="13">
                  <c:v>-9.0579677027970498E-3</c:v>
                </c:pt>
                <c:pt idx="14">
                  <c:v>-9.4135500812222647E-3</c:v>
                </c:pt>
                <c:pt idx="15">
                  <c:v>-9.4237095777486984E-3</c:v>
                </c:pt>
                <c:pt idx="16">
                  <c:v>-3.7941416327450794E-2</c:v>
                </c:pt>
                <c:pt idx="17">
                  <c:v>-4.2817974660139431E-2</c:v>
                </c:pt>
                <c:pt idx="18">
                  <c:v>-6.445770226144526E-2</c:v>
                </c:pt>
                <c:pt idx="19">
                  <c:v>-8.8566187518674719E-2</c:v>
                </c:pt>
                <c:pt idx="20">
                  <c:v>-0.11107963182125392</c:v>
                </c:pt>
                <c:pt idx="21">
                  <c:v>-0.11456433912982102</c:v>
                </c:pt>
                <c:pt idx="22">
                  <c:v>-0.11456433912982102</c:v>
                </c:pt>
                <c:pt idx="23">
                  <c:v>-0.11580379770604605</c:v>
                </c:pt>
                <c:pt idx="24">
                  <c:v>-0.11580379770604605</c:v>
                </c:pt>
                <c:pt idx="25">
                  <c:v>-0.14822275112189903</c:v>
                </c:pt>
                <c:pt idx="26">
                  <c:v>-0.21917667486251874</c:v>
                </c:pt>
                <c:pt idx="27">
                  <c:v>-0.22303728354256391</c:v>
                </c:pt>
                <c:pt idx="28">
                  <c:v>-0.29819215909686431</c:v>
                </c:pt>
                <c:pt idx="29">
                  <c:v>-0.30253026411365191</c:v>
                </c:pt>
                <c:pt idx="30">
                  <c:v>-0.32366201688863599</c:v>
                </c:pt>
                <c:pt idx="31">
                  <c:v>-0.3519257362251772</c:v>
                </c:pt>
                <c:pt idx="32">
                  <c:v>-0.3795290882875002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10-4CEC-B019-C434D0A3824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</c:v>
                </c:pt>
                <c:pt idx="2">
                  <c:v>58</c:v>
                </c:pt>
                <c:pt idx="3">
                  <c:v>65</c:v>
                </c:pt>
                <c:pt idx="4">
                  <c:v>66</c:v>
                </c:pt>
                <c:pt idx="5">
                  <c:v>72</c:v>
                </c:pt>
                <c:pt idx="6">
                  <c:v>73</c:v>
                </c:pt>
                <c:pt idx="7">
                  <c:v>172</c:v>
                </c:pt>
                <c:pt idx="8">
                  <c:v>173</c:v>
                </c:pt>
                <c:pt idx="9">
                  <c:v>180</c:v>
                </c:pt>
                <c:pt idx="10">
                  <c:v>187</c:v>
                </c:pt>
                <c:pt idx="11">
                  <c:v>2410</c:v>
                </c:pt>
                <c:pt idx="12">
                  <c:v>2416</c:v>
                </c:pt>
                <c:pt idx="13">
                  <c:v>2417</c:v>
                </c:pt>
                <c:pt idx="14">
                  <c:v>2452</c:v>
                </c:pt>
                <c:pt idx="15">
                  <c:v>2453</c:v>
                </c:pt>
                <c:pt idx="16">
                  <c:v>5260</c:v>
                </c:pt>
                <c:pt idx="17">
                  <c:v>5740</c:v>
                </c:pt>
                <c:pt idx="18">
                  <c:v>7870</c:v>
                </c:pt>
                <c:pt idx="19">
                  <c:v>10243</c:v>
                </c:pt>
                <c:pt idx="20">
                  <c:v>12459</c:v>
                </c:pt>
                <c:pt idx="21">
                  <c:v>12802</c:v>
                </c:pt>
                <c:pt idx="22">
                  <c:v>12802</c:v>
                </c:pt>
                <c:pt idx="23">
                  <c:v>12924</c:v>
                </c:pt>
                <c:pt idx="24">
                  <c:v>12924</c:v>
                </c:pt>
                <c:pt idx="25">
                  <c:v>16115</c:v>
                </c:pt>
                <c:pt idx="26">
                  <c:v>23099</c:v>
                </c:pt>
                <c:pt idx="27">
                  <c:v>23479</c:v>
                </c:pt>
                <c:pt idx="28">
                  <c:v>30876.5</c:v>
                </c:pt>
                <c:pt idx="29">
                  <c:v>31303.5</c:v>
                </c:pt>
                <c:pt idx="30">
                  <c:v>33383.5</c:v>
                </c:pt>
                <c:pt idx="31">
                  <c:v>36165.5</c:v>
                </c:pt>
                <c:pt idx="32">
                  <c:v>38882.5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10-4CEC-B019-C434D0A3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1784"/>
        <c:axId val="1"/>
      </c:scatterChart>
      <c:valAx>
        <c:axId val="69235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7788448899461"/>
          <c:y val="0.91950464396284826"/>
          <c:w val="0.8578358965226277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V1005 Her - O-C Diagr.</a:t>
            </a:r>
          </a:p>
        </c:rich>
      </c:tx>
      <c:layout>
        <c:manualLayout>
          <c:xMode val="edge"/>
          <c:yMode val="edge"/>
          <c:x val="0.3602588206361119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Source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1.9999999494757503E-4</c:v>
                </c:pt>
                <c:pt idx="1">
                  <c:v>1.3000000035390258E-4</c:v>
                </c:pt>
                <c:pt idx="2">
                  <c:v>-6.3000000227475539E-4</c:v>
                </c:pt>
                <c:pt idx="3">
                  <c:v>-2.5000001187436283E-5</c:v>
                </c:pt>
                <c:pt idx="4">
                  <c:v>3.8999999378575012E-4</c:v>
                </c:pt>
                <c:pt idx="5">
                  <c:v>5.7999999989988282E-4</c:v>
                </c:pt>
                <c:pt idx="6">
                  <c:v>-5.0000016926787794E-6</c:v>
                </c:pt>
                <c:pt idx="7">
                  <c:v>-2.2000000171829015E-4</c:v>
                </c:pt>
                <c:pt idx="8">
                  <c:v>-6.0500000108731911E-4</c:v>
                </c:pt>
                <c:pt idx="9">
                  <c:v>2.5999999925261363E-3</c:v>
                </c:pt>
                <c:pt idx="10">
                  <c:v>-7.9499999992549419E-4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7-4875-B41D-9E34E91CE9A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1">
                  <c:v>-1.3850000003003515E-2</c:v>
                </c:pt>
                <c:pt idx="12">
                  <c:v>-1.5260000000125729E-2</c:v>
                </c:pt>
                <c:pt idx="13">
                  <c:v>-1.3044999999692664E-2</c:v>
                </c:pt>
                <c:pt idx="14">
                  <c:v>-1.3620000005175825E-2</c:v>
                </c:pt>
                <c:pt idx="15">
                  <c:v>-1.3505000002624001E-2</c:v>
                </c:pt>
                <c:pt idx="16">
                  <c:v>-7.2670000001380686E-2</c:v>
                </c:pt>
                <c:pt idx="17">
                  <c:v>-7.2670000001380686E-2</c:v>
                </c:pt>
                <c:pt idx="18">
                  <c:v>-7.2540000001026783E-2</c:v>
                </c:pt>
                <c:pt idx="19">
                  <c:v>-7.2540000001026783E-2</c:v>
                </c:pt>
                <c:pt idx="20">
                  <c:v>-0.12157500000466825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7-4875-B41D-9E34E91CE9A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21">
                  <c:v>-0.2422149999983958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7-4875-B41D-9E34E91CE9A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7-4875-B41D-9E34E91CE9A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7-4875-B41D-9E34E91CE9A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7-4875-B41D-9E34E91CE9A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1">
                    <c:v>3.0000000000000003E-4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5.0000000000000001E-4</c:v>
                  </c:pt>
                  <c:pt idx="16">
                    <c:v>2.8E-3</c:v>
                  </c:pt>
                  <c:pt idx="17">
                    <c:v>2.8E-3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1.1000000000000001E-3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7-4875-B41D-9E34E91CE9A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32.5</c:v>
                </c:pt>
                <c:pt idx="4">
                  <c:v>33</c:v>
                </c:pt>
                <c:pt idx="5">
                  <c:v>36</c:v>
                </c:pt>
                <c:pt idx="6">
                  <c:v>36.5</c:v>
                </c:pt>
                <c:pt idx="7">
                  <c:v>86</c:v>
                </c:pt>
                <c:pt idx="8">
                  <c:v>86.5</c:v>
                </c:pt>
                <c:pt idx="9">
                  <c:v>90</c:v>
                </c:pt>
                <c:pt idx="10">
                  <c:v>93.5</c:v>
                </c:pt>
                <c:pt idx="11">
                  <c:v>1205</c:v>
                </c:pt>
                <c:pt idx="12">
                  <c:v>1208</c:v>
                </c:pt>
                <c:pt idx="13">
                  <c:v>1208.5</c:v>
                </c:pt>
                <c:pt idx="14">
                  <c:v>1226</c:v>
                </c:pt>
                <c:pt idx="15">
                  <c:v>1226.5</c:v>
                </c:pt>
                <c:pt idx="16">
                  <c:v>6401</c:v>
                </c:pt>
                <c:pt idx="17">
                  <c:v>6401</c:v>
                </c:pt>
                <c:pt idx="18">
                  <c:v>6462</c:v>
                </c:pt>
                <c:pt idx="19">
                  <c:v>6462</c:v>
                </c:pt>
                <c:pt idx="20">
                  <c:v>8057.5</c:v>
                </c:pt>
                <c:pt idx="21">
                  <c:v>11739.5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5.3927421049578331E-3</c:v>
                </c:pt>
                <c:pt idx="1">
                  <c:v>5.2153886379249087E-3</c:v>
                </c:pt>
                <c:pt idx="2">
                  <c:v>4.9251738736892127E-3</c:v>
                </c:pt>
                <c:pt idx="3">
                  <c:v>4.8687432250878277E-3</c:v>
                </c:pt>
                <c:pt idx="4">
                  <c:v>4.8606817038590582E-3</c:v>
                </c:pt>
                <c:pt idx="5">
                  <c:v>4.8123125764864428E-3</c:v>
                </c:pt>
                <c:pt idx="6">
                  <c:v>4.8042510552576733E-3</c:v>
                </c:pt>
                <c:pt idx="7">
                  <c:v>4.0061604536095119E-3</c:v>
                </c:pt>
                <c:pt idx="8">
                  <c:v>3.9980989323807423E-3</c:v>
                </c:pt>
                <c:pt idx="9">
                  <c:v>3.9416682837793574E-3</c:v>
                </c:pt>
                <c:pt idx="10">
                  <c:v>3.8852376351779724E-3</c:v>
                </c:pt>
                <c:pt idx="11">
                  <c:v>-1.4035524056376203E-2</c:v>
                </c:pt>
                <c:pt idx="12">
                  <c:v>-1.4083893183748818E-2</c:v>
                </c:pt>
                <c:pt idx="13">
                  <c:v>-1.4091954704977587E-2</c:v>
                </c:pt>
                <c:pt idx="14">
                  <c:v>-1.4374107947984514E-2</c:v>
                </c:pt>
                <c:pt idx="15">
                  <c:v>-1.4382169469213283E-2</c:v>
                </c:pt>
                <c:pt idx="16">
                  <c:v>-9.7810852665746878E-2</c:v>
                </c:pt>
                <c:pt idx="17">
                  <c:v>-9.7810852665746878E-2</c:v>
                </c:pt>
                <c:pt idx="18">
                  <c:v>-9.8794358255656717E-2</c:v>
                </c:pt>
                <c:pt idx="19">
                  <c:v>-9.8794358255656717E-2</c:v>
                </c:pt>
                <c:pt idx="20">
                  <c:v>-0.1245186724966596</c:v>
                </c:pt>
                <c:pt idx="21">
                  <c:v>-0.18388371482531679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7-4875-B41D-9E34E91C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121520"/>
        <c:axId val="1"/>
      </c:scatterChart>
      <c:valAx>
        <c:axId val="69812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12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285962033421104"/>
          <c:y val="0.91925596256989606"/>
          <c:w val="0.92891845708301002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0</xdr:rowOff>
    </xdr:from>
    <xdr:to>
      <xdr:col>17</xdr:col>
      <xdr:colOff>447675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1FBE1D4-6B23-9F27-10EA-0E7080F29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9525</xdr:rowOff>
    </xdr:from>
    <xdr:to>
      <xdr:col>15</xdr:col>
      <xdr:colOff>257175</xdr:colOff>
      <xdr:row>18</xdr:row>
      <xdr:rowOff>47625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E2F7EAB-D88F-7C1E-71FA-59E7A1FA5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458E99-ACB8-12CD-724C-048EB57F5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04" TargetMode="External"/><Relationship Id="rId13" Type="http://schemas.openxmlformats.org/officeDocument/2006/relationships/hyperlink" Target="http://www.konkoly.hu/cgi-bin/IBVS?4611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504" TargetMode="External"/><Relationship Id="rId21" Type="http://schemas.openxmlformats.org/officeDocument/2006/relationships/hyperlink" Target="http://www.konkoly.hu/cgi-bin/IBVS?5713" TargetMode="External"/><Relationship Id="rId7" Type="http://schemas.openxmlformats.org/officeDocument/2006/relationships/hyperlink" Target="http://www.konkoly.hu/cgi-bin/IBVS?4504" TargetMode="External"/><Relationship Id="rId12" Type="http://schemas.openxmlformats.org/officeDocument/2006/relationships/hyperlink" Target="http://www.konkoly.hu/cgi-bin/IBVS?4611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4504" TargetMode="External"/><Relationship Id="rId16" Type="http://schemas.openxmlformats.org/officeDocument/2006/relationships/hyperlink" Target="http://www.konkoly.hu/cgi-bin/IBVS?4611" TargetMode="External"/><Relationship Id="rId20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504" TargetMode="External"/><Relationship Id="rId6" Type="http://schemas.openxmlformats.org/officeDocument/2006/relationships/hyperlink" Target="http://www.konkoly.hu/cgi-bin/IBVS?4504" TargetMode="External"/><Relationship Id="rId11" Type="http://schemas.openxmlformats.org/officeDocument/2006/relationships/hyperlink" Target="http://www.konkoly.hu/cgi-bin/IBVS?4504" TargetMode="External"/><Relationship Id="rId24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4504" TargetMode="External"/><Relationship Id="rId15" Type="http://schemas.openxmlformats.org/officeDocument/2006/relationships/hyperlink" Target="http://www.konkoly.hu/cgi-bin/IBVS?4611" TargetMode="External"/><Relationship Id="rId23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4504" TargetMode="External"/><Relationship Id="rId19" Type="http://schemas.openxmlformats.org/officeDocument/2006/relationships/hyperlink" Target="http://www.konkoly.hu/cgi-bin/IBVS?5645" TargetMode="External"/><Relationship Id="rId4" Type="http://schemas.openxmlformats.org/officeDocument/2006/relationships/hyperlink" Target="http://www.konkoly.hu/cgi-bin/IBVS?4504" TargetMode="External"/><Relationship Id="rId9" Type="http://schemas.openxmlformats.org/officeDocument/2006/relationships/hyperlink" Target="http://www.konkoly.hu/cgi-bin/IBVS?4504" TargetMode="External"/><Relationship Id="rId14" Type="http://schemas.openxmlformats.org/officeDocument/2006/relationships/hyperlink" Target="http://www.konkoly.hu/cgi-bin/IBVS?4611" TargetMode="External"/><Relationship Id="rId22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712"/>
  <sheetViews>
    <sheetView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L20" sqref="L2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s="48" t="s">
        <v>56</v>
      </c>
      <c r="C2" t="s">
        <v>31</v>
      </c>
    </row>
    <row r="3" spans="1:7" ht="13.5" thickBot="1" x14ac:dyDescent="0.25"/>
    <row r="4" spans="1:7" ht="14.25" thickTop="1" thickBot="1" x14ac:dyDescent="0.25">
      <c r="A4" s="8" t="s">
        <v>0</v>
      </c>
      <c r="C4" s="11" t="s">
        <v>33</v>
      </c>
      <c r="D4" s="12" t="s">
        <v>33</v>
      </c>
    </row>
    <row r="5" spans="1:7" ht="13.5" thickTop="1" x14ac:dyDescent="0.2">
      <c r="D5" s="75" t="s">
        <v>197</v>
      </c>
    </row>
    <row r="6" spans="1:7" x14ac:dyDescent="0.2">
      <c r="A6" s="8" t="s">
        <v>1</v>
      </c>
    </row>
    <row r="7" spans="1:7" x14ac:dyDescent="0.2">
      <c r="A7" t="s">
        <v>2</v>
      </c>
      <c r="C7">
        <v>50624.743000000002</v>
      </c>
      <c r="D7" s="13" t="s">
        <v>32</v>
      </c>
    </row>
    <row r="8" spans="1:7" x14ac:dyDescent="0.2">
      <c r="A8" t="s">
        <v>3</v>
      </c>
      <c r="C8">
        <v>0.27897</v>
      </c>
      <c r="D8" s="13" t="s">
        <v>32</v>
      </c>
    </row>
    <row r="9" spans="1:7" x14ac:dyDescent="0.2">
      <c r="A9" s="31" t="s">
        <v>47</v>
      </c>
      <c r="B9" s="19"/>
      <c r="C9" s="32">
        <v>-9.5</v>
      </c>
      <c r="D9" s="19" t="s">
        <v>48</v>
      </c>
      <c r="E9" s="19"/>
    </row>
    <row r="10" spans="1:7" ht="13.5" thickBot="1" x14ac:dyDescent="0.25">
      <c r="A10" s="19"/>
      <c r="B10" s="19"/>
      <c r="C10" s="7" t="s">
        <v>19</v>
      </c>
      <c r="D10" s="7" t="s">
        <v>20</v>
      </c>
      <c r="E10" s="19"/>
    </row>
    <row r="11" spans="1:7" x14ac:dyDescent="0.2">
      <c r="A11" s="19" t="s">
        <v>15</v>
      </c>
      <c r="B11" s="19"/>
      <c r="C11" s="43">
        <f ca="1">INTERCEPT(INDIRECT($G$11):G989,INDIRECT($F$11):F989)</f>
        <v>1.6773193379390178E-2</v>
      </c>
      <c r="D11" s="6"/>
      <c r="E11" s="19"/>
      <c r="F11" s="44" t="str">
        <f>"F"&amp;E19</f>
        <v>F21</v>
      </c>
      <c r="G11" s="23" t="str">
        <f>"G"&amp;E19</f>
        <v>G21</v>
      </c>
    </row>
    <row r="12" spans="1:7" x14ac:dyDescent="0.2">
      <c r="A12" s="19" t="s">
        <v>16</v>
      </c>
      <c r="B12" s="19"/>
      <c r="C12" s="43">
        <f ca="1">SLOPE(INDIRECT($G$11):G989,INDIRECT($F$11):F989)</f>
        <v>-3.3300243736432888E-5</v>
      </c>
      <c r="D12" s="6"/>
      <c r="E12" s="19"/>
    </row>
    <row r="13" spans="1:7" x14ac:dyDescent="0.2">
      <c r="A13" s="19" t="s">
        <v>18</v>
      </c>
      <c r="B13" s="19"/>
      <c r="C13" s="6" t="s">
        <v>13</v>
      </c>
      <c r="D13" s="35" t="s">
        <v>57</v>
      </c>
      <c r="E13" s="32">
        <v>1</v>
      </c>
    </row>
    <row r="14" spans="1:7" x14ac:dyDescent="0.2">
      <c r="A14" s="19"/>
      <c r="B14" s="19"/>
      <c r="C14" s="19"/>
      <c r="D14" s="35" t="s">
        <v>49</v>
      </c>
      <c r="E14" s="36">
        <f ca="1">NOW()+15018.5+$C$9/24</f>
        <v>60354.731298148145</v>
      </c>
    </row>
    <row r="15" spans="1:7" x14ac:dyDescent="0.2">
      <c r="A15" s="33" t="s">
        <v>17</v>
      </c>
      <c r="B15" s="19"/>
      <c r="C15" s="34">
        <f ca="1">(C7+C11)+(C8+C12)*INT(MAX(F21:F3530))</f>
        <v>56047.847089854651</v>
      </c>
      <c r="D15" s="35" t="s">
        <v>58</v>
      </c>
      <c r="E15" s="36">
        <f ca="1">ROUND(2*(E14-$C$7)/$C$8,0)/2+E13</f>
        <v>34879.5</v>
      </c>
    </row>
    <row r="16" spans="1:7" x14ac:dyDescent="0.2">
      <c r="A16" s="37" t="s">
        <v>4</v>
      </c>
      <c r="B16" s="19"/>
      <c r="C16" s="38">
        <f ca="1">+C8+C12</f>
        <v>0.27893669975626356</v>
      </c>
      <c r="D16" s="35" t="s">
        <v>50</v>
      </c>
      <c r="E16" s="23">
        <f ca="1">ROUND(2*(E14-$C$15)/$C$16,0)/2+E13</f>
        <v>15441.5</v>
      </c>
    </row>
    <row r="17" spans="1:21" ht="13.5" thickBot="1" x14ac:dyDescent="0.25">
      <c r="A17" s="35" t="s">
        <v>44</v>
      </c>
      <c r="B17" s="19"/>
      <c r="C17" s="19">
        <f>COUNT(C21:C2188)</f>
        <v>33</v>
      </c>
      <c r="D17" s="35" t="s">
        <v>51</v>
      </c>
      <c r="E17" s="39">
        <f ca="1">+$C$15+$C$16*E16-15018.5-$C$9/24</f>
        <v>45336.943972474328</v>
      </c>
    </row>
    <row r="18" spans="1:21" x14ac:dyDescent="0.2">
      <c r="A18" s="37" t="s">
        <v>5</v>
      </c>
      <c r="B18" s="19"/>
      <c r="C18" s="40">
        <f ca="1">+C15</f>
        <v>56047.847089854651</v>
      </c>
      <c r="D18" s="41">
        <f ca="1">+C16</f>
        <v>0.27893669975626356</v>
      </c>
      <c r="E18" s="42" t="s">
        <v>52</v>
      </c>
    </row>
    <row r="19" spans="1:21" ht="13.5" thickTop="1" x14ac:dyDescent="0.2">
      <c r="A19" s="45" t="s">
        <v>53</v>
      </c>
      <c r="E19" s="46">
        <v>21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6</v>
      </c>
      <c r="I20" s="10" t="s">
        <v>29</v>
      </c>
      <c r="J20" s="10" t="s">
        <v>42</v>
      </c>
      <c r="K20" s="10" t="s">
        <v>63</v>
      </c>
      <c r="L20" s="10" t="s">
        <v>26</v>
      </c>
      <c r="M20" s="10" t="s">
        <v>27</v>
      </c>
      <c r="N20" s="10" t="s">
        <v>28</v>
      </c>
      <c r="O20" s="10" t="s">
        <v>22</v>
      </c>
      <c r="P20" s="9" t="s">
        <v>21</v>
      </c>
      <c r="Q20" s="7" t="s">
        <v>14</v>
      </c>
      <c r="U20" s="71" t="s">
        <v>194</v>
      </c>
    </row>
    <row r="21" spans="1:21" x14ac:dyDescent="0.2">
      <c r="A21" t="s">
        <v>32</v>
      </c>
      <c r="C21" s="14">
        <v>50624.743199999997</v>
      </c>
      <c r="D21" s="14" t="s">
        <v>13</v>
      </c>
      <c r="E21">
        <f t="shared" ref="E21:E53" si="0">+(C21-C$7)/C$8</f>
        <v>7.1692294851623847E-4</v>
      </c>
      <c r="F21">
        <f t="shared" ref="F21:F40" si="1">ROUND(2*E21,0)/2</f>
        <v>0</v>
      </c>
      <c r="G21">
        <f t="shared" ref="G21:G53" si="2">+C21-(C$7+F21*C$8)</f>
        <v>1.9999999494757503E-4</v>
      </c>
      <c r="H21">
        <f t="shared" ref="H21:H31" si="3">+G21</f>
        <v>1.9999999494757503E-4</v>
      </c>
      <c r="O21">
        <f t="shared" ref="O21:O53" ca="1" si="4">+C$11+C$12*$F21</f>
        <v>1.6773193379390178E-2</v>
      </c>
      <c r="Q21" s="2">
        <f t="shared" ref="Q21:Q53" si="5">+C21-15018.5</f>
        <v>35606.243199999997</v>
      </c>
    </row>
    <row r="22" spans="1:21" x14ac:dyDescent="0.2">
      <c r="A22" t="s">
        <v>32</v>
      </c>
      <c r="C22" s="14">
        <v>50627.811800000003</v>
      </c>
      <c r="D22" s="14"/>
      <c r="E22">
        <f t="shared" si="0"/>
        <v>11.000465999931604</v>
      </c>
      <c r="F22">
        <f t="shared" si="1"/>
        <v>11</v>
      </c>
      <c r="G22">
        <f t="shared" si="2"/>
        <v>1.3000000035390258E-4</v>
      </c>
      <c r="H22">
        <f t="shared" si="3"/>
        <v>1.3000000035390258E-4</v>
      </c>
      <c r="O22">
        <f t="shared" ca="1" si="4"/>
        <v>1.6406890698289416E-2</v>
      </c>
      <c r="Q22" s="2">
        <f t="shared" si="5"/>
        <v>35609.311800000003</v>
      </c>
    </row>
    <row r="23" spans="1:21" x14ac:dyDescent="0.2">
      <c r="A23" t="s">
        <v>32</v>
      </c>
      <c r="C23" s="14">
        <v>50632.832499999997</v>
      </c>
      <c r="D23" s="14"/>
      <c r="E23">
        <f t="shared" si="0"/>
        <v>28.997741692635721</v>
      </c>
      <c r="F23">
        <f t="shared" si="1"/>
        <v>29</v>
      </c>
      <c r="G23">
        <f t="shared" si="2"/>
        <v>-6.3000000227475539E-4</v>
      </c>
      <c r="H23">
        <f t="shared" si="3"/>
        <v>-6.3000000227475539E-4</v>
      </c>
      <c r="O23">
        <f t="shared" ca="1" si="4"/>
        <v>1.5807486311033625E-2</v>
      </c>
      <c r="Q23" s="2">
        <f t="shared" si="5"/>
        <v>35614.332499999997</v>
      </c>
    </row>
    <row r="24" spans="1:21" x14ac:dyDescent="0.2">
      <c r="A24" t="s">
        <v>32</v>
      </c>
      <c r="C24" s="14">
        <v>50633.809500000003</v>
      </c>
      <c r="D24" s="14"/>
      <c r="E24">
        <f t="shared" si="0"/>
        <v>32.499910384632095</v>
      </c>
      <c r="F24">
        <f t="shared" si="1"/>
        <v>32.5</v>
      </c>
      <c r="G24">
        <f t="shared" si="2"/>
        <v>-2.5000001187436283E-5</v>
      </c>
      <c r="H24">
        <f t="shared" si="3"/>
        <v>-2.5000001187436283E-5</v>
      </c>
      <c r="O24">
        <f t="shared" ca="1" si="4"/>
        <v>1.569093545795611E-2</v>
      </c>
      <c r="Q24" s="2">
        <f t="shared" si="5"/>
        <v>35615.309500000003</v>
      </c>
    </row>
    <row r="25" spans="1:21" x14ac:dyDescent="0.2">
      <c r="A25" t="s">
        <v>32</v>
      </c>
      <c r="C25" s="14">
        <v>50633.949399999998</v>
      </c>
      <c r="D25" s="14"/>
      <c r="E25">
        <f t="shared" si="0"/>
        <v>33.001397999768734</v>
      </c>
      <c r="F25">
        <f t="shared" si="1"/>
        <v>33</v>
      </c>
      <c r="G25">
        <f t="shared" si="2"/>
        <v>3.8999999378575012E-4</v>
      </c>
      <c r="H25">
        <f t="shared" si="3"/>
        <v>3.8999999378575012E-4</v>
      </c>
      <c r="O25">
        <f t="shared" ca="1" si="4"/>
        <v>1.5674285336087893E-2</v>
      </c>
      <c r="Q25" s="2">
        <f t="shared" si="5"/>
        <v>35615.449399999998</v>
      </c>
    </row>
    <row r="26" spans="1:21" x14ac:dyDescent="0.2">
      <c r="A26" t="s">
        <v>32</v>
      </c>
      <c r="C26" s="14">
        <v>50634.786500000002</v>
      </c>
      <c r="D26" s="14"/>
      <c r="E26">
        <f t="shared" si="0"/>
        <v>36.002079076602385</v>
      </c>
      <c r="F26">
        <f t="shared" si="1"/>
        <v>36</v>
      </c>
      <c r="G26">
        <f t="shared" si="2"/>
        <v>5.7999999989988282E-4</v>
      </c>
      <c r="H26">
        <f t="shared" si="3"/>
        <v>5.7999999989988282E-4</v>
      </c>
      <c r="O26">
        <f t="shared" ca="1" si="4"/>
        <v>1.5574384604878594E-2</v>
      </c>
      <c r="Q26" s="2">
        <f t="shared" si="5"/>
        <v>35616.286500000002</v>
      </c>
    </row>
    <row r="27" spans="1:21" x14ac:dyDescent="0.2">
      <c r="A27" t="s">
        <v>32</v>
      </c>
      <c r="C27" s="14">
        <v>50634.9254</v>
      </c>
      <c r="D27" s="14"/>
      <c r="E27">
        <f t="shared" si="0"/>
        <v>36.499982076918201</v>
      </c>
      <c r="F27">
        <f t="shared" si="1"/>
        <v>36.5</v>
      </c>
      <c r="G27">
        <f t="shared" si="2"/>
        <v>-5.0000016926787794E-6</v>
      </c>
      <c r="H27">
        <f t="shared" si="3"/>
        <v>-5.0000016926787794E-6</v>
      </c>
      <c r="O27">
        <f t="shared" ca="1" si="4"/>
        <v>1.5557734483010377E-2</v>
      </c>
      <c r="Q27" s="2">
        <f t="shared" si="5"/>
        <v>35616.4254</v>
      </c>
    </row>
    <row r="28" spans="1:21" x14ac:dyDescent="0.2">
      <c r="A28" t="s">
        <v>32</v>
      </c>
      <c r="C28" s="14">
        <v>50648.734199999999</v>
      </c>
      <c r="D28" s="14"/>
      <c r="E28">
        <f t="shared" si="0"/>
        <v>85.999211384725072</v>
      </c>
      <c r="F28">
        <f t="shared" si="1"/>
        <v>86</v>
      </c>
      <c r="G28">
        <f t="shared" si="2"/>
        <v>-2.2000000171829015E-4</v>
      </c>
      <c r="H28">
        <f t="shared" si="3"/>
        <v>-2.2000000171829015E-4</v>
      </c>
      <c r="O28">
        <f t="shared" ca="1" si="4"/>
        <v>1.390937241805695E-2</v>
      </c>
      <c r="Q28" s="2">
        <f t="shared" si="5"/>
        <v>35630.234199999999</v>
      </c>
    </row>
    <row r="29" spans="1:21" x14ac:dyDescent="0.2">
      <c r="A29" t="s">
        <v>32</v>
      </c>
      <c r="C29" s="14">
        <v>50648.873299999999</v>
      </c>
      <c r="D29" s="14"/>
      <c r="E29">
        <f t="shared" si="0"/>
        <v>86.497831308015478</v>
      </c>
      <c r="F29">
        <f t="shared" si="1"/>
        <v>86.5</v>
      </c>
      <c r="G29">
        <f t="shared" si="2"/>
        <v>-6.0500000108731911E-4</v>
      </c>
      <c r="H29">
        <f t="shared" si="3"/>
        <v>-6.0500000108731911E-4</v>
      </c>
      <c r="O29">
        <f t="shared" ca="1" si="4"/>
        <v>1.3892722296188733E-2</v>
      </c>
      <c r="Q29" s="2">
        <f t="shared" si="5"/>
        <v>35630.373299999999</v>
      </c>
    </row>
    <row r="30" spans="1:21" x14ac:dyDescent="0.2">
      <c r="A30" t="s">
        <v>32</v>
      </c>
      <c r="C30" s="14">
        <v>50649.852899999998</v>
      </c>
      <c r="D30" s="14"/>
      <c r="E30">
        <f t="shared" si="0"/>
        <v>90.00931999855122</v>
      </c>
      <c r="F30">
        <f t="shared" si="1"/>
        <v>90</v>
      </c>
      <c r="G30">
        <f t="shared" si="2"/>
        <v>2.5999999925261363E-3</v>
      </c>
      <c r="H30">
        <f t="shared" si="3"/>
        <v>2.5999999925261363E-3</v>
      </c>
      <c r="O30">
        <f t="shared" ca="1" si="4"/>
        <v>1.3776171443111218E-2</v>
      </c>
      <c r="Q30" s="2">
        <f t="shared" si="5"/>
        <v>35631.352899999998</v>
      </c>
    </row>
    <row r="31" spans="1:21" x14ac:dyDescent="0.2">
      <c r="A31" t="s">
        <v>32</v>
      </c>
      <c r="C31" s="14">
        <v>50650.825900000003</v>
      </c>
      <c r="D31" s="14"/>
      <c r="E31">
        <f t="shared" si="0"/>
        <v>93.497150231212117</v>
      </c>
      <c r="F31">
        <f t="shared" si="1"/>
        <v>93.5</v>
      </c>
      <c r="G31">
        <f t="shared" si="2"/>
        <v>-7.9499999992549419E-4</v>
      </c>
      <c r="H31">
        <f t="shared" si="3"/>
        <v>-7.9499999992549419E-4</v>
      </c>
      <c r="O31">
        <f t="shared" ca="1" si="4"/>
        <v>1.3659620590033703E-2</v>
      </c>
      <c r="Q31" s="2">
        <f t="shared" si="5"/>
        <v>35632.325900000003</v>
      </c>
    </row>
    <row r="32" spans="1:21" x14ac:dyDescent="0.2">
      <c r="A32" t="s">
        <v>36</v>
      </c>
      <c r="B32" s="6" t="s">
        <v>34</v>
      </c>
      <c r="C32" s="14">
        <v>50960.887999999999</v>
      </c>
      <c r="D32" s="14">
        <v>3.0000000000000003E-4</v>
      </c>
      <c r="E32">
        <f t="shared" si="0"/>
        <v>1204.9503530845495</v>
      </c>
      <c r="F32">
        <f t="shared" si="1"/>
        <v>1205</v>
      </c>
      <c r="G32">
        <f t="shared" si="2"/>
        <v>-1.3850000003003515E-2</v>
      </c>
      <c r="I32">
        <f t="shared" ref="I32:I46" si="6">+G32</f>
        <v>-1.3850000003003515E-2</v>
      </c>
      <c r="O32">
        <f t="shared" ca="1" si="4"/>
        <v>-2.3353600323011453E-2</v>
      </c>
      <c r="Q32" s="2">
        <f t="shared" si="5"/>
        <v>35942.387999999999</v>
      </c>
    </row>
    <row r="33" spans="1:17" x14ac:dyDescent="0.2">
      <c r="A33" t="s">
        <v>36</v>
      </c>
      <c r="B33" s="6" t="s">
        <v>34</v>
      </c>
      <c r="C33" s="14">
        <v>50961.7235</v>
      </c>
      <c r="D33" s="14">
        <v>4.0000000000000002E-4</v>
      </c>
      <c r="E33">
        <f t="shared" si="0"/>
        <v>1207.9452987776385</v>
      </c>
      <c r="F33">
        <f t="shared" si="1"/>
        <v>1208</v>
      </c>
      <c r="G33">
        <f t="shared" si="2"/>
        <v>-1.5260000000125729E-2</v>
      </c>
      <c r="I33">
        <f t="shared" si="6"/>
        <v>-1.5260000000125729E-2</v>
      </c>
      <c r="O33">
        <f t="shared" ca="1" si="4"/>
        <v>-2.3453501054220754E-2</v>
      </c>
      <c r="Q33" s="2">
        <f t="shared" si="5"/>
        <v>35943.2235</v>
      </c>
    </row>
    <row r="34" spans="1:17" x14ac:dyDescent="0.2">
      <c r="A34" t="s">
        <v>36</v>
      </c>
      <c r="B34" s="6" t="s">
        <v>35</v>
      </c>
      <c r="C34" s="14">
        <v>50961.8652</v>
      </c>
      <c r="D34" s="14">
        <v>5.0000000000000001E-4</v>
      </c>
      <c r="E34">
        <f t="shared" si="0"/>
        <v>1208.4532386994945</v>
      </c>
      <c r="F34">
        <f t="shared" si="1"/>
        <v>1208.5</v>
      </c>
      <c r="G34">
        <f t="shared" si="2"/>
        <v>-1.3044999999692664E-2</v>
      </c>
      <c r="I34">
        <f t="shared" si="6"/>
        <v>-1.3044999999692664E-2</v>
      </c>
      <c r="O34">
        <f t="shared" ca="1" si="4"/>
        <v>-2.3470151176088964E-2</v>
      </c>
      <c r="Q34" s="2">
        <f t="shared" si="5"/>
        <v>35943.3652</v>
      </c>
    </row>
    <row r="35" spans="1:17" x14ac:dyDescent="0.2">
      <c r="A35" t="s">
        <v>36</v>
      </c>
      <c r="B35" s="6" t="s">
        <v>34</v>
      </c>
      <c r="C35" s="14">
        <v>50966.746599999999</v>
      </c>
      <c r="D35" s="14">
        <v>1.1000000000000001E-3</v>
      </c>
      <c r="E35">
        <f t="shared" si="0"/>
        <v>1225.9511775459596</v>
      </c>
      <c r="F35">
        <f t="shared" si="1"/>
        <v>1226</v>
      </c>
      <c r="G35">
        <f t="shared" si="2"/>
        <v>-1.3620000005175825E-2</v>
      </c>
      <c r="I35">
        <f t="shared" si="6"/>
        <v>-1.3620000005175825E-2</v>
      </c>
      <c r="O35">
        <f t="shared" ca="1" si="4"/>
        <v>-2.4052905441476542E-2</v>
      </c>
      <c r="Q35" s="2">
        <f t="shared" si="5"/>
        <v>35948.246599999999</v>
      </c>
    </row>
    <row r="36" spans="1:17" x14ac:dyDescent="0.2">
      <c r="A36" t="s">
        <v>36</v>
      </c>
      <c r="B36" s="6" t="s">
        <v>35</v>
      </c>
      <c r="C36" s="14">
        <v>50966.886200000001</v>
      </c>
      <c r="D36" s="14">
        <v>5.0000000000000001E-4</v>
      </c>
      <c r="E36">
        <f t="shared" si="0"/>
        <v>1226.4515897766735</v>
      </c>
      <c r="F36" s="22">
        <f t="shared" si="1"/>
        <v>1226.5</v>
      </c>
      <c r="G36">
        <f t="shared" si="2"/>
        <v>-1.3505000002624001E-2</v>
      </c>
      <c r="I36">
        <f t="shared" si="6"/>
        <v>-1.3505000002624001E-2</v>
      </c>
      <c r="O36">
        <f t="shared" ca="1" si="4"/>
        <v>-2.4069555563344759E-2</v>
      </c>
      <c r="Q36" s="2">
        <f t="shared" si="5"/>
        <v>35948.386200000001</v>
      </c>
    </row>
    <row r="37" spans="1:17" x14ac:dyDescent="0.2">
      <c r="A37" s="68" t="s">
        <v>129</v>
      </c>
      <c r="B37" s="70" t="s">
        <v>34</v>
      </c>
      <c r="C37" s="69">
        <v>51358.405299999999</v>
      </c>
      <c r="D37" s="69" t="s">
        <v>71</v>
      </c>
      <c r="E37">
        <f t="shared" si="0"/>
        <v>2629.8967630927928</v>
      </c>
      <c r="F37" s="22">
        <f t="shared" si="1"/>
        <v>2630</v>
      </c>
      <c r="G37">
        <f t="shared" si="2"/>
        <v>-2.8800000000046566E-2</v>
      </c>
      <c r="I37">
        <f t="shared" si="6"/>
        <v>-2.8800000000046566E-2</v>
      </c>
      <c r="O37">
        <f t="shared" ca="1" si="4"/>
        <v>-7.0806447647428314E-2</v>
      </c>
      <c r="Q37" s="2">
        <f t="shared" si="5"/>
        <v>36339.905299999999</v>
      </c>
    </row>
    <row r="38" spans="1:17" x14ac:dyDescent="0.2">
      <c r="A38" s="68" t="s">
        <v>134</v>
      </c>
      <c r="B38" s="70" t="s">
        <v>34</v>
      </c>
      <c r="C38" s="69">
        <v>51425.353000000003</v>
      </c>
      <c r="D38" s="69" t="s">
        <v>71</v>
      </c>
      <c r="E38">
        <f t="shared" si="0"/>
        <v>2869.8784815571589</v>
      </c>
      <c r="F38" s="22">
        <f t="shared" si="1"/>
        <v>2870</v>
      </c>
      <c r="G38">
        <f t="shared" si="2"/>
        <v>-3.3900000002176967E-2</v>
      </c>
      <c r="I38">
        <f t="shared" si="6"/>
        <v>-3.3900000002176967E-2</v>
      </c>
      <c r="O38">
        <f t="shared" ca="1" si="4"/>
        <v>-7.8798506144172206E-2</v>
      </c>
      <c r="Q38" s="2">
        <f t="shared" si="5"/>
        <v>36406.853000000003</v>
      </c>
    </row>
    <row r="39" spans="1:17" x14ac:dyDescent="0.2">
      <c r="A39" s="68" t="s">
        <v>138</v>
      </c>
      <c r="B39" s="70" t="s">
        <v>34</v>
      </c>
      <c r="C39" s="69">
        <v>51722.445699999997</v>
      </c>
      <c r="D39" s="69" t="s">
        <v>71</v>
      </c>
      <c r="E39">
        <f t="shared" si="0"/>
        <v>3934.8413807936136</v>
      </c>
      <c r="F39" s="22">
        <f t="shared" si="1"/>
        <v>3935</v>
      </c>
      <c r="G39">
        <f t="shared" si="2"/>
        <v>-4.4250000006286427E-2</v>
      </c>
      <c r="I39">
        <f t="shared" si="6"/>
        <v>-4.4250000006286427E-2</v>
      </c>
      <c r="O39">
        <f t="shared" ca="1" si="4"/>
        <v>-0.11426326572347323</v>
      </c>
      <c r="Q39" s="2">
        <f t="shared" si="5"/>
        <v>36703.945699999997</v>
      </c>
    </row>
    <row r="40" spans="1:17" x14ac:dyDescent="0.2">
      <c r="A40" s="68" t="s">
        <v>142</v>
      </c>
      <c r="B40" s="70" t="s">
        <v>35</v>
      </c>
      <c r="C40" s="69">
        <v>52053.433599999997</v>
      </c>
      <c r="D40" s="69" t="s">
        <v>71</v>
      </c>
      <c r="E40">
        <f t="shared" si="0"/>
        <v>5121.3055167222083</v>
      </c>
      <c r="F40" s="22">
        <f t="shared" si="1"/>
        <v>5121.5</v>
      </c>
      <c r="G40">
        <f t="shared" si="2"/>
        <v>-5.4255000002740417E-2</v>
      </c>
      <c r="I40">
        <f t="shared" si="6"/>
        <v>-5.4255000002740417E-2</v>
      </c>
      <c r="O40">
        <f t="shared" ca="1" si="4"/>
        <v>-0.15377400491675086</v>
      </c>
      <c r="Q40" s="2">
        <f t="shared" si="5"/>
        <v>37034.933599999997</v>
      </c>
    </row>
    <row r="41" spans="1:17" x14ac:dyDescent="0.2">
      <c r="A41" s="68" t="s">
        <v>146</v>
      </c>
      <c r="B41" s="70" t="s">
        <v>35</v>
      </c>
      <c r="C41" s="69">
        <v>52362.514000000003</v>
      </c>
      <c r="D41" s="69" t="s">
        <v>71</v>
      </c>
      <c r="E41">
        <f t="shared" si="0"/>
        <v>6229.2397031938945</v>
      </c>
      <c r="F41" s="24">
        <f t="shared" ref="F41:F46" si="7">ROUND(2*E41,0)/2+1</f>
        <v>6230</v>
      </c>
      <c r="G41">
        <f t="shared" si="2"/>
        <v>-0.21209999999700813</v>
      </c>
      <c r="I41">
        <f t="shared" si="6"/>
        <v>-0.21209999999700813</v>
      </c>
      <c r="O41">
        <f t="shared" ca="1" si="4"/>
        <v>-0.19068732509858671</v>
      </c>
      <c r="Q41" s="2">
        <f t="shared" si="5"/>
        <v>37344.014000000003</v>
      </c>
    </row>
    <row r="42" spans="1:17" x14ac:dyDescent="0.2">
      <c r="A42" s="25" t="s">
        <v>37</v>
      </c>
      <c r="B42" s="26" t="s">
        <v>34</v>
      </c>
      <c r="C42" s="17">
        <v>52410.357300000003</v>
      </c>
      <c r="D42" s="18">
        <v>2.8E-3</v>
      </c>
      <c r="E42">
        <f t="shared" si="0"/>
        <v>6400.7395060400804</v>
      </c>
      <c r="F42" s="24">
        <f t="shared" si="7"/>
        <v>6401.5</v>
      </c>
      <c r="G42">
        <f t="shared" si="2"/>
        <v>-0.21215500000107568</v>
      </c>
      <c r="I42">
        <f t="shared" si="6"/>
        <v>-0.21215500000107568</v>
      </c>
      <c r="O42">
        <f t="shared" ca="1" si="4"/>
        <v>-0.19639831689938494</v>
      </c>
      <c r="Q42" s="2">
        <f t="shared" si="5"/>
        <v>37391.857300000003</v>
      </c>
    </row>
    <row r="43" spans="1:17" x14ac:dyDescent="0.2">
      <c r="A43" s="25" t="s">
        <v>37</v>
      </c>
      <c r="B43" s="26" t="s">
        <v>34</v>
      </c>
      <c r="C43" s="17">
        <v>52410.357300000003</v>
      </c>
      <c r="D43" s="17">
        <v>2.8E-3</v>
      </c>
      <c r="E43">
        <f t="shared" si="0"/>
        <v>6400.7395060400804</v>
      </c>
      <c r="F43" s="24">
        <f t="shared" si="7"/>
        <v>6401.5</v>
      </c>
      <c r="G43">
        <f t="shared" si="2"/>
        <v>-0.21215500000107568</v>
      </c>
      <c r="I43">
        <f t="shared" si="6"/>
        <v>-0.21215500000107568</v>
      </c>
      <c r="O43">
        <f t="shared" ca="1" si="4"/>
        <v>-0.19639831689938494</v>
      </c>
      <c r="Q43" s="2">
        <f t="shared" si="5"/>
        <v>37391.857300000003</v>
      </c>
    </row>
    <row r="44" spans="1:17" x14ac:dyDescent="0.2">
      <c r="A44" s="25" t="s">
        <v>37</v>
      </c>
      <c r="B44" s="26" t="s">
        <v>34</v>
      </c>
      <c r="C44" s="17">
        <v>52427.374600000003</v>
      </c>
      <c r="D44" s="18">
        <v>3.0000000000000001E-3</v>
      </c>
      <c r="E44">
        <f t="shared" si="0"/>
        <v>6461.7399720400063</v>
      </c>
      <c r="F44" s="24">
        <f t="shared" si="7"/>
        <v>6462.5</v>
      </c>
      <c r="G44">
        <f t="shared" si="2"/>
        <v>-0.21202500000072177</v>
      </c>
      <c r="I44">
        <f t="shared" si="6"/>
        <v>-0.21202500000072177</v>
      </c>
      <c r="O44">
        <f t="shared" ca="1" si="4"/>
        <v>-0.19842963176730735</v>
      </c>
      <c r="Q44" s="2">
        <f t="shared" si="5"/>
        <v>37408.874600000003</v>
      </c>
    </row>
    <row r="45" spans="1:17" x14ac:dyDescent="0.2">
      <c r="A45" s="25" t="s">
        <v>37</v>
      </c>
      <c r="B45" s="26" t="s">
        <v>34</v>
      </c>
      <c r="C45" s="17">
        <v>52427.374600000003</v>
      </c>
      <c r="D45" s="17">
        <v>3.0000000000000001E-3</v>
      </c>
      <c r="E45">
        <f t="shared" si="0"/>
        <v>6461.7399720400063</v>
      </c>
      <c r="F45" s="24">
        <f t="shared" si="7"/>
        <v>6462.5</v>
      </c>
      <c r="G45">
        <f t="shared" si="2"/>
        <v>-0.21202500000072177</v>
      </c>
      <c r="I45">
        <f t="shared" si="6"/>
        <v>-0.21202500000072177</v>
      </c>
      <c r="O45">
        <f t="shared" ca="1" si="4"/>
        <v>-0.19842963176730735</v>
      </c>
      <c r="Q45" s="2">
        <f t="shared" si="5"/>
        <v>37408.874600000003</v>
      </c>
    </row>
    <row r="46" spans="1:17" x14ac:dyDescent="0.2">
      <c r="A46" s="19" t="s">
        <v>38</v>
      </c>
      <c r="B46" s="27" t="s">
        <v>39</v>
      </c>
      <c r="C46" s="21">
        <v>52872.422200000001</v>
      </c>
      <c r="D46" s="21">
        <v>1.1000000000000001E-3</v>
      </c>
      <c r="E46">
        <f t="shared" si="0"/>
        <v>8057.0642004516567</v>
      </c>
      <c r="F46" s="24">
        <f t="shared" si="7"/>
        <v>8058</v>
      </c>
      <c r="G46">
        <f t="shared" si="2"/>
        <v>-0.26106000000436325</v>
      </c>
      <c r="I46">
        <f t="shared" si="6"/>
        <v>-0.26106000000436325</v>
      </c>
      <c r="O46">
        <f t="shared" ca="1" si="4"/>
        <v>-0.251560170648786</v>
      </c>
      <c r="Q46" s="2">
        <f t="shared" si="5"/>
        <v>37853.922200000001</v>
      </c>
    </row>
    <row r="47" spans="1:17" x14ac:dyDescent="0.2">
      <c r="A47" s="28" t="s">
        <v>46</v>
      </c>
      <c r="B47" s="49"/>
      <c r="C47" s="30">
        <v>53846.468200000003</v>
      </c>
      <c r="D47" s="30">
        <v>6.9999999999999999E-4</v>
      </c>
      <c r="E47">
        <f t="shared" si="0"/>
        <v>11548.643940208627</v>
      </c>
      <c r="F47" s="24">
        <f>ROUND(2*E47,0)/2+1.5</f>
        <v>11550</v>
      </c>
      <c r="G47">
        <f t="shared" si="2"/>
        <v>-0.37829999999667052</v>
      </c>
      <c r="J47">
        <f>G47</f>
        <v>-0.37829999999667052</v>
      </c>
      <c r="O47">
        <f t="shared" ca="1" si="4"/>
        <v>-0.36784462177640964</v>
      </c>
      <c r="Q47" s="2">
        <f t="shared" si="5"/>
        <v>38827.968200000003</v>
      </c>
    </row>
    <row r="48" spans="1:17" x14ac:dyDescent="0.2">
      <c r="A48" s="28" t="s">
        <v>40</v>
      </c>
      <c r="B48" s="29" t="s">
        <v>34</v>
      </c>
      <c r="C48" s="30">
        <v>53899.469100000002</v>
      </c>
      <c r="D48" s="30">
        <v>5.0000000000000001E-4</v>
      </c>
      <c r="E48">
        <f t="shared" si="0"/>
        <v>11738.631752518191</v>
      </c>
      <c r="F48" s="24">
        <f>ROUND(2*E48,0)/2+1.5</f>
        <v>11740</v>
      </c>
      <c r="G48">
        <f t="shared" si="2"/>
        <v>-0.38169999999809079</v>
      </c>
      <c r="J48">
        <f>G48</f>
        <v>-0.38169999999809079</v>
      </c>
      <c r="O48">
        <f t="shared" ca="1" si="4"/>
        <v>-0.37417166808633195</v>
      </c>
      <c r="Q48" s="2">
        <f t="shared" si="5"/>
        <v>38880.969100000002</v>
      </c>
    </row>
    <row r="49" spans="1:17" x14ac:dyDescent="0.2">
      <c r="A49" s="68" t="s">
        <v>177</v>
      </c>
      <c r="B49" s="70" t="s">
        <v>35</v>
      </c>
      <c r="C49" s="69">
        <v>54931.216800000002</v>
      </c>
      <c r="D49" s="69" t="s">
        <v>71</v>
      </c>
      <c r="E49">
        <f t="shared" si="0"/>
        <v>15437.049861992329</v>
      </c>
      <c r="F49" s="47">
        <f>ROUND(2*E49,0)/2+2</f>
        <v>15439</v>
      </c>
      <c r="G49">
        <f t="shared" si="2"/>
        <v>-0.54402999999729218</v>
      </c>
      <c r="I49">
        <f>+G49</f>
        <v>-0.54402999999729218</v>
      </c>
      <c r="O49">
        <f t="shared" ca="1" si="4"/>
        <v>-0.49734926966739712</v>
      </c>
      <c r="Q49" s="2">
        <f t="shared" si="5"/>
        <v>39912.716800000002</v>
      </c>
    </row>
    <row r="50" spans="1:17" x14ac:dyDescent="0.2">
      <c r="A50" s="30" t="s">
        <v>54</v>
      </c>
      <c r="B50" s="29" t="s">
        <v>35</v>
      </c>
      <c r="C50" s="30">
        <v>54990.775900000001</v>
      </c>
      <c r="D50" s="30">
        <v>4.0000000000000002E-4</v>
      </c>
      <c r="E50">
        <f t="shared" si="0"/>
        <v>15650.546295300564</v>
      </c>
      <c r="F50" s="47">
        <f>ROUND(2*E50,0)/2+2</f>
        <v>15652.5</v>
      </c>
      <c r="G50">
        <f t="shared" si="2"/>
        <v>-0.54502499999944121</v>
      </c>
      <c r="J50">
        <f>G50</f>
        <v>-0.54502499999944121</v>
      </c>
      <c r="O50">
        <f t="shared" ca="1" si="4"/>
        <v>-0.5044588717051256</v>
      </c>
      <c r="Q50" s="2">
        <f t="shared" si="5"/>
        <v>39972.275900000001</v>
      </c>
    </row>
    <row r="51" spans="1:17" x14ac:dyDescent="0.2">
      <c r="A51" s="50" t="s">
        <v>55</v>
      </c>
      <c r="B51" s="51" t="s">
        <v>34</v>
      </c>
      <c r="C51" s="50">
        <v>55280.895499999999</v>
      </c>
      <c r="D51" s="50">
        <v>2.9999999999999997E-4</v>
      </c>
      <c r="E51">
        <f t="shared" si="0"/>
        <v>16690.513316844092</v>
      </c>
      <c r="F51" s="47">
        <f>ROUND(2*E51,0)/2+2</f>
        <v>16692.5</v>
      </c>
      <c r="G51">
        <f t="shared" si="2"/>
        <v>-0.5542249999998603</v>
      </c>
      <c r="J51">
        <f>G51</f>
        <v>-0.5542249999998603</v>
      </c>
      <c r="O51">
        <f t="shared" ca="1" si="4"/>
        <v>-0.53909112519101576</v>
      </c>
      <c r="Q51" s="2">
        <f t="shared" si="5"/>
        <v>40262.395499999999</v>
      </c>
    </row>
    <row r="52" spans="1:17" x14ac:dyDescent="0.2">
      <c r="A52" s="50" t="s">
        <v>59</v>
      </c>
      <c r="B52" s="51" t="s">
        <v>34</v>
      </c>
      <c r="C52" s="50">
        <v>55668.928899999999</v>
      </c>
      <c r="D52" s="50">
        <v>2.0000000000000001E-4</v>
      </c>
      <c r="E52">
        <f t="shared" si="0"/>
        <v>18081.463598236358</v>
      </c>
      <c r="F52" s="47">
        <f>ROUND(2*E52,0)/2+2</f>
        <v>18083.5</v>
      </c>
      <c r="G52">
        <f t="shared" si="2"/>
        <v>-0.56809500000235857</v>
      </c>
      <c r="J52">
        <f>G52</f>
        <v>-0.56809500000235857</v>
      </c>
      <c r="O52">
        <f t="shared" ca="1" si="4"/>
        <v>-0.58541176422839392</v>
      </c>
      <c r="Q52" s="2">
        <f t="shared" si="5"/>
        <v>40650.428899999999</v>
      </c>
    </row>
    <row r="53" spans="1:17" x14ac:dyDescent="0.2">
      <c r="A53" s="52" t="s">
        <v>60</v>
      </c>
      <c r="B53" s="53" t="s">
        <v>35</v>
      </c>
      <c r="C53" s="52">
        <v>56047.899299999997</v>
      </c>
      <c r="D53" s="52">
        <v>5.0000000000000001E-4</v>
      </c>
      <c r="E53">
        <f t="shared" si="0"/>
        <v>19439.926515395902</v>
      </c>
      <c r="F53" s="47">
        <f>ROUND(2*E53,0)/2+2</f>
        <v>19442</v>
      </c>
      <c r="G53">
        <f t="shared" si="2"/>
        <v>-0.57844000000477536</v>
      </c>
      <c r="J53">
        <f>G53</f>
        <v>-0.57844000000477536</v>
      </c>
      <c r="O53">
        <f t="shared" ca="1" si="4"/>
        <v>-0.63065014534433805</v>
      </c>
      <c r="Q53" s="2">
        <f t="shared" si="5"/>
        <v>41029.399299999997</v>
      </c>
    </row>
    <row r="54" spans="1:17" x14ac:dyDescent="0.2">
      <c r="C54" s="14"/>
      <c r="D54" s="14"/>
    </row>
    <row r="55" spans="1:17" x14ac:dyDescent="0.2">
      <c r="C55" s="14"/>
      <c r="D55" s="14"/>
    </row>
    <row r="56" spans="1:17" x14ac:dyDescent="0.2">
      <c r="C56" s="14"/>
      <c r="D56" s="14"/>
    </row>
    <row r="57" spans="1:17" x14ac:dyDescent="0.2">
      <c r="C57" s="14"/>
      <c r="D57" s="14"/>
    </row>
    <row r="58" spans="1:17" x14ac:dyDescent="0.2">
      <c r="C58" s="14"/>
      <c r="D58" s="14"/>
    </row>
    <row r="59" spans="1:17" x14ac:dyDescent="0.2">
      <c r="C59" s="14"/>
      <c r="D59" s="14"/>
    </row>
    <row r="60" spans="1:17" x14ac:dyDescent="0.2">
      <c r="C60" s="14"/>
      <c r="D60" s="14"/>
    </row>
    <row r="61" spans="1:17" x14ac:dyDescent="0.2">
      <c r="C61" s="14"/>
      <c r="D61" s="14"/>
    </row>
    <row r="62" spans="1:17" x14ac:dyDescent="0.2">
      <c r="C62" s="14"/>
      <c r="D62" s="14"/>
    </row>
    <row r="63" spans="1:17" x14ac:dyDescent="0.2">
      <c r="C63" s="14"/>
      <c r="D63" s="14"/>
    </row>
    <row r="64" spans="1:17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1712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s="48" t="s">
        <v>56</v>
      </c>
      <c r="C2" t="s">
        <v>31</v>
      </c>
    </row>
    <row r="3" spans="1:7" ht="13.5" thickBot="1" x14ac:dyDescent="0.25">
      <c r="A3" s="74" t="s">
        <v>195</v>
      </c>
    </row>
    <row r="4" spans="1:7" x14ac:dyDescent="0.2">
      <c r="A4" s="8" t="s">
        <v>0</v>
      </c>
      <c r="C4" s="11" t="s">
        <v>33</v>
      </c>
      <c r="D4" s="12" t="s">
        <v>33</v>
      </c>
    </row>
    <row r="5" spans="1:7" x14ac:dyDescent="0.2">
      <c r="A5" s="73" t="s">
        <v>196</v>
      </c>
    </row>
    <row r="6" spans="1:7" x14ac:dyDescent="0.2">
      <c r="A6" s="8" t="s">
        <v>1</v>
      </c>
    </row>
    <row r="7" spans="1:7" x14ac:dyDescent="0.2">
      <c r="A7" t="s">
        <v>2</v>
      </c>
      <c r="C7">
        <v>50624.743000000002</v>
      </c>
      <c r="D7" s="13" t="s">
        <v>32</v>
      </c>
    </row>
    <row r="8" spans="1:7" x14ac:dyDescent="0.2">
      <c r="A8" t="s">
        <v>3</v>
      </c>
      <c r="C8">
        <f>+E8/2</f>
        <v>0.139485</v>
      </c>
      <c r="D8" s="13" t="s">
        <v>32</v>
      </c>
      <c r="E8">
        <v>0.27897</v>
      </c>
    </row>
    <row r="9" spans="1:7" x14ac:dyDescent="0.2">
      <c r="A9" s="31" t="s">
        <v>47</v>
      </c>
      <c r="B9" s="19"/>
      <c r="C9" s="32">
        <v>8</v>
      </c>
      <c r="D9" s="19" t="s">
        <v>48</v>
      </c>
      <c r="E9" s="19"/>
    </row>
    <row r="10" spans="1:7" ht="13.5" thickBot="1" x14ac:dyDescent="0.25">
      <c r="A10" s="19"/>
      <c r="B10" s="19"/>
      <c r="C10" s="7" t="s">
        <v>19</v>
      </c>
      <c r="D10" s="7" t="s">
        <v>20</v>
      </c>
      <c r="E10" s="19"/>
    </row>
    <row r="11" spans="1:7" x14ac:dyDescent="0.2">
      <c r="A11" s="19" t="s">
        <v>15</v>
      </c>
      <c r="B11" s="19"/>
      <c r="C11" s="43">
        <f ca="1">INTERCEPT(INDIRECT($G$11):G989,INDIRECT($F$11):F989)</f>
        <v>1.5497535401595527E-2</v>
      </c>
      <c r="D11" s="6"/>
      <c r="E11" s="19"/>
      <c r="F11" s="44" t="str">
        <f>"F"&amp;E19</f>
        <v>F21</v>
      </c>
      <c r="G11" s="23" t="str">
        <f>"G"&amp;E19</f>
        <v>G21</v>
      </c>
    </row>
    <row r="12" spans="1:7" x14ac:dyDescent="0.2">
      <c r="A12" s="19" t="s">
        <v>16</v>
      </c>
      <c r="B12" s="19"/>
      <c r="C12" s="43">
        <f ca="1">SLOPE(INDIRECT($G$11):G989,INDIRECT($F$11):F989)</f>
        <v>-1.0159496526434662E-5</v>
      </c>
      <c r="D12" s="6"/>
      <c r="E12" s="19"/>
    </row>
    <row r="13" spans="1:7" x14ac:dyDescent="0.2">
      <c r="A13" s="19" t="s">
        <v>18</v>
      </c>
      <c r="B13" s="19"/>
      <c r="C13" s="6" t="s">
        <v>13</v>
      </c>
      <c r="D13" s="35" t="s">
        <v>57</v>
      </c>
      <c r="E13" s="32">
        <v>1</v>
      </c>
    </row>
    <row r="14" spans="1:7" x14ac:dyDescent="0.2">
      <c r="A14" s="19"/>
      <c r="B14" s="19"/>
      <c r="C14" s="19"/>
      <c r="D14" s="35" t="s">
        <v>49</v>
      </c>
      <c r="E14" s="36">
        <f ca="1">NOW()+15018.5+$C$9/24</f>
        <v>60355.460464814816</v>
      </c>
    </row>
    <row r="15" spans="1:7" x14ac:dyDescent="0.2">
      <c r="A15" s="33" t="s">
        <v>17</v>
      </c>
      <c r="B15" s="19"/>
      <c r="C15" s="34">
        <f ca="1">(C7+C11)+(C8+C12)*INT(MAX(F21:F3530))</f>
        <v>56047.819245991464</v>
      </c>
      <c r="D15" s="35" t="s">
        <v>58</v>
      </c>
      <c r="E15" s="36">
        <f ca="1">ROUND(2*(E14-$C$7)/$C$8,0)/2+E13</f>
        <v>69762.5</v>
      </c>
    </row>
    <row r="16" spans="1:7" x14ac:dyDescent="0.2">
      <c r="A16" s="37" t="s">
        <v>4</v>
      </c>
      <c r="B16" s="19"/>
      <c r="C16" s="38">
        <f ca="1">+C8+C12</f>
        <v>0.13947484050347356</v>
      </c>
      <c r="D16" s="35" t="s">
        <v>50</v>
      </c>
      <c r="E16" s="23">
        <f ca="1">ROUND(2*(E14-$C$15)/$C$16,0)/2+E13</f>
        <v>30885.5</v>
      </c>
    </row>
    <row r="17" spans="1:21" ht="13.5" thickBot="1" x14ac:dyDescent="0.25">
      <c r="A17" s="35" t="s">
        <v>44</v>
      </c>
      <c r="B17" s="19"/>
      <c r="C17" s="19">
        <f>COUNT(C21:C2188)</f>
        <v>33</v>
      </c>
      <c r="D17" s="35" t="s">
        <v>51</v>
      </c>
      <c r="E17" s="39">
        <f ca="1">+$C$15+$C$16*E16-15018.5-$C$9/24</f>
        <v>45336.73609902816</v>
      </c>
    </row>
    <row r="18" spans="1:21" x14ac:dyDescent="0.2">
      <c r="A18" s="37" t="s">
        <v>5</v>
      </c>
      <c r="B18" s="19"/>
      <c r="C18" s="40">
        <f ca="1">+C15</f>
        <v>56047.819245991464</v>
      </c>
      <c r="D18" s="41">
        <f ca="1">+C16</f>
        <v>0.13947484050347356</v>
      </c>
      <c r="E18" s="42" t="s">
        <v>52</v>
      </c>
    </row>
    <row r="19" spans="1:21" ht="13.5" thickTop="1" x14ac:dyDescent="0.2">
      <c r="A19" s="45" t="s">
        <v>53</v>
      </c>
      <c r="E19" s="46">
        <v>21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6</v>
      </c>
      <c r="I20" s="10" t="s">
        <v>29</v>
      </c>
      <c r="J20" s="10" t="s">
        <v>42</v>
      </c>
      <c r="K20" s="10" t="s">
        <v>63</v>
      </c>
      <c r="L20" s="10" t="s">
        <v>26</v>
      </c>
      <c r="M20" s="10" t="s">
        <v>27</v>
      </c>
      <c r="N20" s="10" t="s">
        <v>28</v>
      </c>
      <c r="O20" s="10" t="s">
        <v>22</v>
      </c>
      <c r="P20" s="9" t="s">
        <v>21</v>
      </c>
      <c r="Q20" s="7" t="s">
        <v>14</v>
      </c>
      <c r="U20" s="71" t="s">
        <v>194</v>
      </c>
    </row>
    <row r="21" spans="1:21" x14ac:dyDescent="0.2">
      <c r="A21" t="s">
        <v>32</v>
      </c>
      <c r="C21" s="14">
        <v>50624.743199999997</v>
      </c>
      <c r="D21" s="14" t="s">
        <v>13</v>
      </c>
      <c r="E21">
        <f t="shared" ref="E21:E53" si="0">+(C21-C$7)/C$8</f>
        <v>1.4338458970324769E-3</v>
      </c>
      <c r="F21">
        <f t="shared" ref="F21:F38" si="1">ROUND(2*E21,0)/2</f>
        <v>0</v>
      </c>
      <c r="G21">
        <f t="shared" ref="G21:G53" si="2">+C21-(C$7+F21*C$8)</f>
        <v>1.9999999494757503E-4</v>
      </c>
      <c r="H21">
        <f t="shared" ref="H21:H31" si="3">+G21</f>
        <v>1.9999999494757503E-4</v>
      </c>
      <c r="O21">
        <f t="shared" ref="O21:O53" ca="1" si="4">+C$11+C$12*$F21</f>
        <v>1.5497535401595527E-2</v>
      </c>
      <c r="Q21" s="2">
        <f t="shared" ref="Q21:Q53" si="5">+C21-15018.5</f>
        <v>35606.243199999997</v>
      </c>
    </row>
    <row r="22" spans="1:21" x14ac:dyDescent="0.2">
      <c r="A22" t="s">
        <v>32</v>
      </c>
      <c r="C22" s="14">
        <v>50627.811800000003</v>
      </c>
      <c r="D22" s="14"/>
      <c r="E22">
        <f t="shared" si="0"/>
        <v>22.000931999863209</v>
      </c>
      <c r="F22">
        <f t="shared" si="1"/>
        <v>22</v>
      </c>
      <c r="G22">
        <f t="shared" si="2"/>
        <v>1.3000000035390258E-4</v>
      </c>
      <c r="H22">
        <f t="shared" si="3"/>
        <v>1.3000000035390258E-4</v>
      </c>
      <c r="O22">
        <f t="shared" ca="1" si="4"/>
        <v>1.5274026478013965E-2</v>
      </c>
      <c r="Q22" s="2">
        <f t="shared" si="5"/>
        <v>35609.311800000003</v>
      </c>
    </row>
    <row r="23" spans="1:21" x14ac:dyDescent="0.2">
      <c r="A23" t="s">
        <v>32</v>
      </c>
      <c r="C23" s="14">
        <v>50632.832499999997</v>
      </c>
      <c r="D23" s="14"/>
      <c r="E23">
        <f t="shared" si="0"/>
        <v>57.995483385271442</v>
      </c>
      <c r="F23">
        <f t="shared" si="1"/>
        <v>58</v>
      </c>
      <c r="G23">
        <f t="shared" si="2"/>
        <v>-6.3000000227475539E-4</v>
      </c>
      <c r="H23">
        <f t="shared" si="3"/>
        <v>-6.3000000227475539E-4</v>
      </c>
      <c r="O23">
        <f t="shared" ca="1" si="4"/>
        <v>1.4908284603062316E-2</v>
      </c>
      <c r="Q23" s="2">
        <f t="shared" si="5"/>
        <v>35614.332499999997</v>
      </c>
    </row>
    <row r="24" spans="1:21" x14ac:dyDescent="0.2">
      <c r="A24" t="s">
        <v>32</v>
      </c>
      <c r="C24" s="14">
        <v>50633.809500000003</v>
      </c>
      <c r="D24" s="14"/>
      <c r="E24">
        <f t="shared" si="0"/>
        <v>64.99982076926419</v>
      </c>
      <c r="F24">
        <f t="shared" si="1"/>
        <v>65</v>
      </c>
      <c r="G24">
        <f t="shared" si="2"/>
        <v>-2.5000001187436283E-5</v>
      </c>
      <c r="H24">
        <f t="shared" si="3"/>
        <v>-2.5000001187436283E-5</v>
      </c>
      <c r="O24">
        <f t="shared" ca="1" si="4"/>
        <v>1.4837168127377275E-2</v>
      </c>
      <c r="Q24" s="2">
        <f t="shared" si="5"/>
        <v>35615.309500000003</v>
      </c>
    </row>
    <row r="25" spans="1:21" x14ac:dyDescent="0.2">
      <c r="A25" t="s">
        <v>32</v>
      </c>
      <c r="C25" s="14">
        <v>50633.949399999998</v>
      </c>
      <c r="D25" s="14"/>
      <c r="E25">
        <f t="shared" si="0"/>
        <v>66.002795999537469</v>
      </c>
      <c r="F25">
        <f t="shared" si="1"/>
        <v>66</v>
      </c>
      <c r="G25">
        <f t="shared" si="2"/>
        <v>3.8999999378575012E-4</v>
      </c>
      <c r="H25">
        <f t="shared" si="3"/>
        <v>3.8999999378575012E-4</v>
      </c>
      <c r="O25">
        <f t="shared" ca="1" si="4"/>
        <v>1.4827008630850839E-2</v>
      </c>
      <c r="Q25" s="2">
        <f t="shared" si="5"/>
        <v>35615.449399999998</v>
      </c>
    </row>
    <row r="26" spans="1:21" x14ac:dyDescent="0.2">
      <c r="A26" t="s">
        <v>32</v>
      </c>
      <c r="C26" s="14">
        <v>50634.786500000002</v>
      </c>
      <c r="D26" s="14"/>
      <c r="E26">
        <f t="shared" si="0"/>
        <v>72.00415815320477</v>
      </c>
      <c r="F26">
        <f t="shared" si="1"/>
        <v>72</v>
      </c>
      <c r="G26">
        <f t="shared" si="2"/>
        <v>5.7999999989988282E-4</v>
      </c>
      <c r="H26">
        <f t="shared" si="3"/>
        <v>5.7999999989988282E-4</v>
      </c>
      <c r="O26">
        <f t="shared" ca="1" si="4"/>
        <v>1.4766051651692232E-2</v>
      </c>
      <c r="Q26" s="2">
        <f t="shared" si="5"/>
        <v>35616.286500000002</v>
      </c>
    </row>
    <row r="27" spans="1:21" x14ac:dyDescent="0.2">
      <c r="A27" t="s">
        <v>32</v>
      </c>
      <c r="C27" s="14">
        <v>50634.9254</v>
      </c>
      <c r="D27" s="14"/>
      <c r="E27">
        <f t="shared" si="0"/>
        <v>72.999964153836402</v>
      </c>
      <c r="F27">
        <f t="shared" si="1"/>
        <v>73</v>
      </c>
      <c r="G27">
        <f t="shared" si="2"/>
        <v>-5.0000016926787794E-6</v>
      </c>
      <c r="H27">
        <f t="shared" si="3"/>
        <v>-5.0000016926787794E-6</v>
      </c>
      <c r="O27">
        <f t="shared" ca="1" si="4"/>
        <v>1.4755892155165796E-2</v>
      </c>
      <c r="Q27" s="2">
        <f t="shared" si="5"/>
        <v>35616.4254</v>
      </c>
    </row>
    <row r="28" spans="1:21" x14ac:dyDescent="0.2">
      <c r="A28" t="s">
        <v>32</v>
      </c>
      <c r="C28" s="14">
        <v>50648.734199999999</v>
      </c>
      <c r="D28" s="14"/>
      <c r="E28">
        <f t="shared" si="0"/>
        <v>171.99842276945014</v>
      </c>
      <c r="F28">
        <f t="shared" si="1"/>
        <v>172</v>
      </c>
      <c r="G28">
        <f t="shared" si="2"/>
        <v>-2.2000000171829015E-4</v>
      </c>
      <c r="H28">
        <f t="shared" si="3"/>
        <v>-2.2000000171829015E-4</v>
      </c>
      <c r="O28">
        <f t="shared" ca="1" si="4"/>
        <v>1.3750101999048766E-2</v>
      </c>
      <c r="Q28" s="2">
        <f t="shared" si="5"/>
        <v>35630.234199999999</v>
      </c>
    </row>
    <row r="29" spans="1:21" x14ac:dyDescent="0.2">
      <c r="A29" t="s">
        <v>32</v>
      </c>
      <c r="C29" s="14">
        <v>50648.873299999999</v>
      </c>
      <c r="D29" s="14"/>
      <c r="E29">
        <f t="shared" si="0"/>
        <v>172.99566261603096</v>
      </c>
      <c r="F29">
        <f t="shared" si="1"/>
        <v>173</v>
      </c>
      <c r="G29">
        <f t="shared" si="2"/>
        <v>-6.0500000108731911E-4</v>
      </c>
      <c r="H29">
        <f t="shared" si="3"/>
        <v>-6.0500000108731911E-4</v>
      </c>
      <c r="O29">
        <f t="shared" ca="1" si="4"/>
        <v>1.3739942502522331E-2</v>
      </c>
      <c r="Q29" s="2">
        <f t="shared" si="5"/>
        <v>35630.373299999999</v>
      </c>
    </row>
    <row r="30" spans="1:21" x14ac:dyDescent="0.2">
      <c r="A30" t="s">
        <v>32</v>
      </c>
      <c r="C30" s="14">
        <v>50649.852899999998</v>
      </c>
      <c r="D30" s="14"/>
      <c r="E30">
        <f t="shared" si="0"/>
        <v>180.01863999710244</v>
      </c>
      <c r="F30">
        <f t="shared" si="1"/>
        <v>180</v>
      </c>
      <c r="G30">
        <f t="shared" si="2"/>
        <v>2.5999999925261363E-3</v>
      </c>
      <c r="H30">
        <f t="shared" si="3"/>
        <v>2.5999999925261363E-3</v>
      </c>
      <c r="O30">
        <f t="shared" ca="1" si="4"/>
        <v>1.3668826026837288E-2</v>
      </c>
      <c r="Q30" s="2">
        <f t="shared" si="5"/>
        <v>35631.352899999998</v>
      </c>
    </row>
    <row r="31" spans="1:21" x14ac:dyDescent="0.2">
      <c r="A31" t="s">
        <v>32</v>
      </c>
      <c r="C31" s="14">
        <v>50650.825900000003</v>
      </c>
      <c r="D31" s="14"/>
      <c r="E31">
        <f t="shared" si="0"/>
        <v>186.99430046242423</v>
      </c>
      <c r="F31">
        <f t="shared" si="1"/>
        <v>187</v>
      </c>
      <c r="G31">
        <f t="shared" si="2"/>
        <v>-7.9499999992549419E-4</v>
      </c>
      <c r="H31">
        <f t="shared" si="3"/>
        <v>-7.9499999992549419E-4</v>
      </c>
      <c r="O31">
        <f t="shared" ca="1" si="4"/>
        <v>1.3597709551152245E-2</v>
      </c>
      <c r="Q31" s="2">
        <f t="shared" si="5"/>
        <v>35632.325900000003</v>
      </c>
    </row>
    <row r="32" spans="1:21" x14ac:dyDescent="0.2">
      <c r="A32" t="s">
        <v>36</v>
      </c>
      <c r="B32" s="6" t="s">
        <v>34</v>
      </c>
      <c r="C32" s="14">
        <v>50960.887999999999</v>
      </c>
      <c r="D32" s="14">
        <v>3.0000000000000003E-4</v>
      </c>
      <c r="E32">
        <f t="shared" si="0"/>
        <v>2409.9007061690991</v>
      </c>
      <c r="F32">
        <f t="shared" si="1"/>
        <v>2410</v>
      </c>
      <c r="G32">
        <f t="shared" si="2"/>
        <v>-1.3850000003003515E-2</v>
      </c>
      <c r="I32">
        <f t="shared" ref="I32:I46" si="6">+G32</f>
        <v>-1.3850000003003515E-2</v>
      </c>
      <c r="O32">
        <f t="shared" ca="1" si="4"/>
        <v>-8.9868512271120068E-3</v>
      </c>
      <c r="Q32" s="2">
        <f t="shared" si="5"/>
        <v>35942.387999999999</v>
      </c>
    </row>
    <row r="33" spans="1:17" x14ac:dyDescent="0.2">
      <c r="A33" t="s">
        <v>36</v>
      </c>
      <c r="B33" s="6" t="s">
        <v>34</v>
      </c>
      <c r="C33" s="14">
        <v>50961.7235</v>
      </c>
      <c r="D33" s="14">
        <v>4.0000000000000002E-4</v>
      </c>
      <c r="E33">
        <f t="shared" si="0"/>
        <v>2415.8905975552771</v>
      </c>
      <c r="F33">
        <f t="shared" si="1"/>
        <v>2416</v>
      </c>
      <c r="G33">
        <f t="shared" si="2"/>
        <v>-1.5260000000125729E-2</v>
      </c>
      <c r="I33">
        <f t="shared" si="6"/>
        <v>-1.5260000000125729E-2</v>
      </c>
      <c r="O33">
        <f t="shared" ca="1" si="4"/>
        <v>-9.0478082062706161E-3</v>
      </c>
      <c r="Q33" s="2">
        <f t="shared" si="5"/>
        <v>35943.2235</v>
      </c>
    </row>
    <row r="34" spans="1:17" x14ac:dyDescent="0.2">
      <c r="A34" t="s">
        <v>36</v>
      </c>
      <c r="B34" s="6" t="s">
        <v>35</v>
      </c>
      <c r="C34" s="14">
        <v>50961.8652</v>
      </c>
      <c r="D34" s="14">
        <v>5.0000000000000001E-4</v>
      </c>
      <c r="E34">
        <f t="shared" si="0"/>
        <v>2416.906477398989</v>
      </c>
      <c r="F34">
        <f t="shared" si="1"/>
        <v>2417</v>
      </c>
      <c r="G34">
        <f t="shared" si="2"/>
        <v>-1.3044999999692664E-2</v>
      </c>
      <c r="I34">
        <f t="shared" si="6"/>
        <v>-1.3044999999692664E-2</v>
      </c>
      <c r="O34">
        <f t="shared" ca="1" si="4"/>
        <v>-9.0579677027970498E-3</v>
      </c>
      <c r="Q34" s="2">
        <f t="shared" si="5"/>
        <v>35943.3652</v>
      </c>
    </row>
    <row r="35" spans="1:17" x14ac:dyDescent="0.2">
      <c r="A35" t="s">
        <v>36</v>
      </c>
      <c r="B35" s="6" t="s">
        <v>34</v>
      </c>
      <c r="C35" s="14">
        <v>50966.746599999999</v>
      </c>
      <c r="D35" s="14">
        <v>1.1000000000000001E-3</v>
      </c>
      <c r="E35">
        <f t="shared" si="0"/>
        <v>2451.9023550919192</v>
      </c>
      <c r="F35">
        <f t="shared" si="1"/>
        <v>2452</v>
      </c>
      <c r="G35">
        <f t="shared" si="2"/>
        <v>-1.3620000005175825E-2</v>
      </c>
      <c r="I35">
        <f t="shared" si="6"/>
        <v>-1.3620000005175825E-2</v>
      </c>
      <c r="O35">
        <f t="shared" ca="1" si="4"/>
        <v>-9.4135500812222647E-3</v>
      </c>
      <c r="Q35" s="2">
        <f t="shared" si="5"/>
        <v>35948.246599999999</v>
      </c>
    </row>
    <row r="36" spans="1:17" x14ac:dyDescent="0.2">
      <c r="A36" t="s">
        <v>36</v>
      </c>
      <c r="B36" s="6" t="s">
        <v>35</v>
      </c>
      <c r="C36" s="14">
        <v>50966.886200000001</v>
      </c>
      <c r="D36" s="14">
        <v>5.0000000000000001E-4</v>
      </c>
      <c r="E36">
        <f t="shared" si="0"/>
        <v>2452.9031795533469</v>
      </c>
      <c r="F36" s="22">
        <f t="shared" si="1"/>
        <v>2453</v>
      </c>
      <c r="G36">
        <f t="shared" si="2"/>
        <v>-1.3505000002624001E-2</v>
      </c>
      <c r="I36">
        <f t="shared" si="6"/>
        <v>-1.3505000002624001E-2</v>
      </c>
      <c r="O36">
        <f t="shared" ca="1" si="4"/>
        <v>-9.4237095777486984E-3</v>
      </c>
      <c r="Q36" s="2">
        <f t="shared" si="5"/>
        <v>35948.386200000001</v>
      </c>
    </row>
    <row r="37" spans="1:17" x14ac:dyDescent="0.2">
      <c r="A37" s="68" t="s">
        <v>129</v>
      </c>
      <c r="B37" s="70" t="s">
        <v>34</v>
      </c>
      <c r="C37" s="69">
        <v>51358.405299999999</v>
      </c>
      <c r="D37" s="69" t="s">
        <v>71</v>
      </c>
      <c r="E37">
        <f t="shared" si="0"/>
        <v>5259.7935261855855</v>
      </c>
      <c r="F37" s="22">
        <f t="shared" si="1"/>
        <v>5260</v>
      </c>
      <c r="G37">
        <f t="shared" si="2"/>
        <v>-2.8800000000046566E-2</v>
      </c>
      <c r="I37">
        <f t="shared" si="6"/>
        <v>-2.8800000000046566E-2</v>
      </c>
      <c r="O37">
        <f t="shared" ca="1" si="4"/>
        <v>-3.7941416327450794E-2</v>
      </c>
      <c r="Q37" s="2">
        <f t="shared" si="5"/>
        <v>36339.905299999999</v>
      </c>
    </row>
    <row r="38" spans="1:17" x14ac:dyDescent="0.2">
      <c r="A38" s="68" t="s">
        <v>134</v>
      </c>
      <c r="B38" s="70" t="s">
        <v>34</v>
      </c>
      <c r="C38" s="69">
        <v>51425.353000000003</v>
      </c>
      <c r="D38" s="69" t="s">
        <v>71</v>
      </c>
      <c r="E38">
        <f t="shared" si="0"/>
        <v>5739.7569631143178</v>
      </c>
      <c r="F38" s="22">
        <f t="shared" si="1"/>
        <v>5740</v>
      </c>
      <c r="G38">
        <f t="shared" si="2"/>
        <v>-3.3900000002176967E-2</v>
      </c>
      <c r="I38">
        <f t="shared" si="6"/>
        <v>-3.3900000002176967E-2</v>
      </c>
      <c r="O38">
        <f t="shared" ca="1" si="4"/>
        <v>-4.2817974660139431E-2</v>
      </c>
      <c r="Q38" s="2">
        <f t="shared" si="5"/>
        <v>36406.853000000003</v>
      </c>
    </row>
    <row r="39" spans="1:17" x14ac:dyDescent="0.2">
      <c r="A39" s="68" t="s">
        <v>138</v>
      </c>
      <c r="B39" s="70" t="s">
        <v>34</v>
      </c>
      <c r="C39" s="69">
        <v>51722.445699999997</v>
      </c>
      <c r="D39" s="69" t="s">
        <v>71</v>
      </c>
      <c r="E39">
        <f t="shared" si="0"/>
        <v>7869.6827615872271</v>
      </c>
      <c r="F39" s="72">
        <f t="shared" ref="F39:F45" si="7">ROUND(2*E39,0)/2+0.5</f>
        <v>7870</v>
      </c>
      <c r="G39">
        <f t="shared" si="2"/>
        <v>-4.4250000006286427E-2</v>
      </c>
      <c r="I39">
        <f t="shared" si="6"/>
        <v>-4.4250000006286427E-2</v>
      </c>
      <c r="O39">
        <f t="shared" ca="1" si="4"/>
        <v>-6.445770226144526E-2</v>
      </c>
      <c r="Q39" s="2">
        <f t="shared" si="5"/>
        <v>36703.945699999997</v>
      </c>
    </row>
    <row r="40" spans="1:17" x14ac:dyDescent="0.2">
      <c r="A40" s="68" t="s">
        <v>142</v>
      </c>
      <c r="B40" s="70" t="s">
        <v>35</v>
      </c>
      <c r="C40" s="69">
        <v>52053.433599999997</v>
      </c>
      <c r="D40" s="69" t="s">
        <v>71</v>
      </c>
      <c r="E40">
        <f t="shared" si="0"/>
        <v>10242.611033444417</v>
      </c>
      <c r="F40" s="72">
        <f t="shared" si="7"/>
        <v>10243</v>
      </c>
      <c r="G40">
        <f t="shared" si="2"/>
        <v>-5.4255000002740417E-2</v>
      </c>
      <c r="I40">
        <f t="shared" si="6"/>
        <v>-5.4255000002740417E-2</v>
      </c>
      <c r="O40">
        <f t="shared" ca="1" si="4"/>
        <v>-8.8566187518674719E-2</v>
      </c>
      <c r="Q40" s="2">
        <f t="shared" si="5"/>
        <v>37034.933599999997</v>
      </c>
    </row>
    <row r="41" spans="1:17" x14ac:dyDescent="0.2">
      <c r="A41" s="68" t="s">
        <v>146</v>
      </c>
      <c r="B41" s="70" t="s">
        <v>35</v>
      </c>
      <c r="C41" s="69">
        <v>52362.514000000003</v>
      </c>
      <c r="D41" s="69" t="s">
        <v>71</v>
      </c>
      <c r="E41">
        <f t="shared" si="0"/>
        <v>12458.479406387789</v>
      </c>
      <c r="F41" s="72">
        <f t="shared" si="7"/>
        <v>12459</v>
      </c>
      <c r="G41">
        <f t="shared" si="2"/>
        <v>-7.2614999997313134E-2</v>
      </c>
      <c r="I41">
        <f t="shared" si="6"/>
        <v>-7.2614999997313134E-2</v>
      </c>
      <c r="O41">
        <f t="shared" ca="1" si="4"/>
        <v>-0.11107963182125392</v>
      </c>
      <c r="Q41" s="2">
        <f t="shared" si="5"/>
        <v>37344.014000000003</v>
      </c>
    </row>
    <row r="42" spans="1:17" x14ac:dyDescent="0.2">
      <c r="A42" s="25" t="s">
        <v>37</v>
      </c>
      <c r="B42" s="26" t="s">
        <v>34</v>
      </c>
      <c r="C42" s="17">
        <v>52410.357300000003</v>
      </c>
      <c r="D42" s="18">
        <v>2.8E-3</v>
      </c>
      <c r="E42">
        <f t="shared" si="0"/>
        <v>12801.479012080161</v>
      </c>
      <c r="F42" s="72">
        <f t="shared" si="7"/>
        <v>12802</v>
      </c>
      <c r="G42">
        <f t="shared" si="2"/>
        <v>-7.2670000001380686E-2</v>
      </c>
      <c r="I42">
        <f t="shared" si="6"/>
        <v>-7.2670000001380686E-2</v>
      </c>
      <c r="O42">
        <f t="shared" ca="1" si="4"/>
        <v>-0.11456433912982102</v>
      </c>
      <c r="Q42" s="2">
        <f t="shared" si="5"/>
        <v>37391.857300000003</v>
      </c>
    </row>
    <row r="43" spans="1:17" x14ac:dyDescent="0.2">
      <c r="A43" s="25" t="s">
        <v>37</v>
      </c>
      <c r="B43" s="26" t="s">
        <v>34</v>
      </c>
      <c r="C43" s="17">
        <v>52410.357300000003</v>
      </c>
      <c r="D43" s="17">
        <v>2.8E-3</v>
      </c>
      <c r="E43">
        <f t="shared" si="0"/>
        <v>12801.479012080161</v>
      </c>
      <c r="F43" s="72">
        <f t="shared" si="7"/>
        <v>12802</v>
      </c>
      <c r="G43">
        <f t="shared" si="2"/>
        <v>-7.2670000001380686E-2</v>
      </c>
      <c r="I43">
        <f t="shared" si="6"/>
        <v>-7.2670000001380686E-2</v>
      </c>
      <c r="O43">
        <f t="shared" ca="1" si="4"/>
        <v>-0.11456433912982102</v>
      </c>
      <c r="Q43" s="2">
        <f t="shared" si="5"/>
        <v>37391.857300000003</v>
      </c>
    </row>
    <row r="44" spans="1:17" x14ac:dyDescent="0.2">
      <c r="A44" s="25" t="s">
        <v>37</v>
      </c>
      <c r="B44" s="26" t="s">
        <v>34</v>
      </c>
      <c r="C44" s="17">
        <v>52427.374600000003</v>
      </c>
      <c r="D44" s="18">
        <v>3.0000000000000001E-3</v>
      </c>
      <c r="E44">
        <f t="shared" si="0"/>
        <v>12923.479944080013</v>
      </c>
      <c r="F44" s="72">
        <f t="shared" si="7"/>
        <v>12924</v>
      </c>
      <c r="G44">
        <f t="shared" si="2"/>
        <v>-7.2540000001026783E-2</v>
      </c>
      <c r="I44">
        <f t="shared" si="6"/>
        <v>-7.2540000001026783E-2</v>
      </c>
      <c r="O44">
        <f t="shared" ca="1" si="4"/>
        <v>-0.11580379770604605</v>
      </c>
      <c r="Q44" s="2">
        <f t="shared" si="5"/>
        <v>37408.874600000003</v>
      </c>
    </row>
    <row r="45" spans="1:17" x14ac:dyDescent="0.2">
      <c r="A45" s="25" t="s">
        <v>37</v>
      </c>
      <c r="B45" s="26" t="s">
        <v>34</v>
      </c>
      <c r="C45" s="17">
        <v>52427.374600000003</v>
      </c>
      <c r="D45" s="17">
        <v>3.0000000000000001E-3</v>
      </c>
      <c r="E45">
        <f t="shared" si="0"/>
        <v>12923.479944080013</v>
      </c>
      <c r="F45" s="72">
        <f t="shared" si="7"/>
        <v>12924</v>
      </c>
      <c r="G45">
        <f t="shared" si="2"/>
        <v>-7.2540000001026783E-2</v>
      </c>
      <c r="I45">
        <f t="shared" si="6"/>
        <v>-7.2540000001026783E-2</v>
      </c>
      <c r="O45">
        <f t="shared" ca="1" si="4"/>
        <v>-0.11580379770604605</v>
      </c>
      <c r="Q45" s="2">
        <f t="shared" si="5"/>
        <v>37408.874600000003</v>
      </c>
    </row>
    <row r="46" spans="1:17" x14ac:dyDescent="0.2">
      <c r="A46" s="19" t="s">
        <v>38</v>
      </c>
      <c r="B46" s="27" t="s">
        <v>39</v>
      </c>
      <c r="C46" s="21">
        <v>52872.422200000001</v>
      </c>
      <c r="D46" s="21">
        <v>1.1000000000000001E-3</v>
      </c>
      <c r="E46">
        <f t="shared" si="0"/>
        <v>16114.128400903313</v>
      </c>
      <c r="F46" s="24">
        <f>ROUND(2*E46,0)/2+1</f>
        <v>16115</v>
      </c>
      <c r="G46">
        <f t="shared" si="2"/>
        <v>-0.12157500000466825</v>
      </c>
      <c r="I46">
        <f t="shared" si="6"/>
        <v>-0.12157500000466825</v>
      </c>
      <c r="O46">
        <f t="shared" ca="1" si="4"/>
        <v>-0.14822275112189903</v>
      </c>
      <c r="Q46" s="2">
        <f t="shared" si="5"/>
        <v>37853.922200000001</v>
      </c>
    </row>
    <row r="47" spans="1:17" x14ac:dyDescent="0.2">
      <c r="A47" s="28" t="s">
        <v>46</v>
      </c>
      <c r="B47" s="49"/>
      <c r="C47" s="30">
        <v>53846.468200000003</v>
      </c>
      <c r="D47" s="30">
        <v>6.9999999999999999E-4</v>
      </c>
      <c r="E47">
        <f t="shared" si="0"/>
        <v>23097.287880417254</v>
      </c>
      <c r="F47" s="24">
        <f>ROUND(2*E47,0)/2+1.5</f>
        <v>23099</v>
      </c>
      <c r="G47">
        <f t="shared" si="2"/>
        <v>-0.23881499999697553</v>
      </c>
      <c r="J47">
        <f>G47</f>
        <v>-0.23881499999697553</v>
      </c>
      <c r="O47">
        <f t="shared" ca="1" si="4"/>
        <v>-0.21917667486251874</v>
      </c>
      <c r="Q47" s="2">
        <f t="shared" si="5"/>
        <v>38827.968200000003</v>
      </c>
    </row>
    <row r="48" spans="1:17" x14ac:dyDescent="0.2">
      <c r="A48" s="28" t="s">
        <v>40</v>
      </c>
      <c r="B48" s="29" t="s">
        <v>34</v>
      </c>
      <c r="C48" s="30">
        <v>53899.469100000002</v>
      </c>
      <c r="D48" s="30">
        <v>5.0000000000000001E-4</v>
      </c>
      <c r="E48">
        <f t="shared" si="0"/>
        <v>23477.263505036382</v>
      </c>
      <c r="F48" s="24">
        <f>ROUND(2*E48,0)/2+1.5</f>
        <v>23479</v>
      </c>
      <c r="G48">
        <f t="shared" si="2"/>
        <v>-0.2422149999983958</v>
      </c>
      <c r="J48">
        <f>G48</f>
        <v>-0.2422149999983958</v>
      </c>
      <c r="O48">
        <f t="shared" ca="1" si="4"/>
        <v>-0.22303728354256391</v>
      </c>
      <c r="Q48" s="2">
        <f t="shared" si="5"/>
        <v>38880.969100000002</v>
      </c>
    </row>
    <row r="49" spans="1:17" x14ac:dyDescent="0.2">
      <c r="A49" s="68" t="s">
        <v>177</v>
      </c>
      <c r="B49" s="70" t="s">
        <v>35</v>
      </c>
      <c r="C49" s="69">
        <v>54931.216800000002</v>
      </c>
      <c r="D49" s="69" t="s">
        <v>71</v>
      </c>
      <c r="E49">
        <f t="shared" si="0"/>
        <v>30874.099723984658</v>
      </c>
      <c r="F49" s="47">
        <f>ROUND(2*E49,0)/2+2.5</f>
        <v>30876.5</v>
      </c>
      <c r="G49">
        <f t="shared" si="2"/>
        <v>-0.33480250000138767</v>
      </c>
      <c r="I49">
        <f>+G49</f>
        <v>-0.33480250000138767</v>
      </c>
      <c r="O49">
        <f t="shared" ca="1" si="4"/>
        <v>-0.29819215909686431</v>
      </c>
      <c r="Q49" s="2">
        <f t="shared" si="5"/>
        <v>39912.716800000002</v>
      </c>
    </row>
    <row r="50" spans="1:17" x14ac:dyDescent="0.2">
      <c r="A50" s="30" t="s">
        <v>54</v>
      </c>
      <c r="B50" s="29" t="s">
        <v>35</v>
      </c>
      <c r="C50" s="30">
        <v>54990.775900000001</v>
      </c>
      <c r="D50" s="30">
        <v>4.0000000000000002E-4</v>
      </c>
      <c r="E50">
        <f t="shared" si="0"/>
        <v>31301.092590601129</v>
      </c>
      <c r="F50" s="47">
        <f>ROUND(2*E50,0)/2+2.5</f>
        <v>31303.5</v>
      </c>
      <c r="G50">
        <f t="shared" si="2"/>
        <v>-0.3357975000035367</v>
      </c>
      <c r="J50">
        <f>G50</f>
        <v>-0.3357975000035367</v>
      </c>
      <c r="O50">
        <f t="shared" ca="1" si="4"/>
        <v>-0.30253026411365191</v>
      </c>
      <c r="Q50" s="2">
        <f t="shared" si="5"/>
        <v>39972.275900000001</v>
      </c>
    </row>
    <row r="51" spans="1:17" x14ac:dyDescent="0.2">
      <c r="A51" s="50" t="s">
        <v>55</v>
      </c>
      <c r="B51" s="51" t="s">
        <v>34</v>
      </c>
      <c r="C51" s="50">
        <v>55280.895499999999</v>
      </c>
      <c r="D51" s="50">
        <v>2.9999999999999997E-4</v>
      </c>
      <c r="E51">
        <f t="shared" si="0"/>
        <v>33381.026633688183</v>
      </c>
      <c r="F51" s="47">
        <f>ROUND(2*E51,0)/2+2.5</f>
        <v>33383.5</v>
      </c>
      <c r="G51">
        <f t="shared" si="2"/>
        <v>-0.34499750000395579</v>
      </c>
      <c r="J51">
        <f>G51</f>
        <v>-0.34499750000395579</v>
      </c>
      <c r="O51">
        <f t="shared" ca="1" si="4"/>
        <v>-0.32366201688863599</v>
      </c>
      <c r="Q51" s="2">
        <f t="shared" si="5"/>
        <v>40262.395499999999</v>
      </c>
    </row>
    <row r="52" spans="1:17" x14ac:dyDescent="0.2">
      <c r="A52" s="50" t="s">
        <v>59</v>
      </c>
      <c r="B52" s="51" t="s">
        <v>34</v>
      </c>
      <c r="C52" s="50">
        <v>55668.928899999999</v>
      </c>
      <c r="D52" s="50">
        <v>2.0000000000000001E-4</v>
      </c>
      <c r="E52">
        <f t="shared" si="0"/>
        <v>36162.927196472716</v>
      </c>
      <c r="F52" s="47">
        <f>ROUND(2*E52,0)/2+2.5</f>
        <v>36165.5</v>
      </c>
      <c r="G52">
        <f t="shared" si="2"/>
        <v>-0.35886750000645407</v>
      </c>
      <c r="J52">
        <f>G52</f>
        <v>-0.35886750000645407</v>
      </c>
      <c r="O52">
        <f t="shared" ca="1" si="4"/>
        <v>-0.3519257362251772</v>
      </c>
      <c r="Q52" s="2">
        <f t="shared" si="5"/>
        <v>40650.428899999999</v>
      </c>
    </row>
    <row r="53" spans="1:17" x14ac:dyDescent="0.2">
      <c r="A53" s="52" t="s">
        <v>60</v>
      </c>
      <c r="B53" s="53" t="s">
        <v>35</v>
      </c>
      <c r="C53" s="52">
        <v>56047.899299999997</v>
      </c>
      <c r="D53" s="52">
        <v>5.0000000000000001E-4</v>
      </c>
      <c r="E53">
        <f t="shared" si="0"/>
        <v>38879.853030791804</v>
      </c>
      <c r="F53" s="47">
        <f>ROUND(2*E53,0)/2+2.5</f>
        <v>38882.5</v>
      </c>
      <c r="G53">
        <f t="shared" si="2"/>
        <v>-0.36921250000159489</v>
      </c>
      <c r="J53">
        <f>G53</f>
        <v>-0.36921250000159489</v>
      </c>
      <c r="O53">
        <f t="shared" ca="1" si="4"/>
        <v>-0.3795290882875002</v>
      </c>
      <c r="Q53" s="2">
        <f t="shared" si="5"/>
        <v>41029.399299999997</v>
      </c>
    </row>
    <row r="54" spans="1:17" x14ac:dyDescent="0.2">
      <c r="C54" s="14"/>
      <c r="D54" s="14"/>
    </row>
    <row r="55" spans="1:17" x14ac:dyDescent="0.2">
      <c r="C55" s="14"/>
      <c r="D55" s="14"/>
    </row>
    <row r="56" spans="1:17" x14ac:dyDescent="0.2">
      <c r="C56" s="14"/>
      <c r="D56" s="14"/>
    </row>
    <row r="57" spans="1:17" x14ac:dyDescent="0.2">
      <c r="C57" s="14"/>
      <c r="D57" s="14"/>
    </row>
    <row r="58" spans="1:17" x14ac:dyDescent="0.2">
      <c r="C58" s="14"/>
      <c r="D58" s="14"/>
    </row>
    <row r="59" spans="1:17" x14ac:dyDescent="0.2">
      <c r="C59" s="14"/>
      <c r="D59" s="14"/>
    </row>
    <row r="60" spans="1:17" x14ac:dyDescent="0.2">
      <c r="C60" s="14"/>
      <c r="D60" s="14"/>
    </row>
    <row r="61" spans="1:17" x14ac:dyDescent="0.2">
      <c r="C61" s="14"/>
      <c r="D61" s="14"/>
    </row>
    <row r="62" spans="1:17" x14ac:dyDescent="0.2">
      <c r="C62" s="14"/>
      <c r="D62" s="14"/>
    </row>
    <row r="63" spans="1:17" x14ac:dyDescent="0.2">
      <c r="C63" s="14"/>
      <c r="D63" s="14"/>
    </row>
    <row r="64" spans="1:17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30</v>
      </c>
      <c r="C1" t="s">
        <v>31</v>
      </c>
    </row>
    <row r="2" spans="1:4" x14ac:dyDescent="0.2">
      <c r="A2" t="s">
        <v>24</v>
      </c>
      <c r="C2" s="23" t="s">
        <v>43</v>
      </c>
    </row>
    <row r="4" spans="1:4" x14ac:dyDescent="0.2">
      <c r="A4" s="8" t="s">
        <v>0</v>
      </c>
      <c r="C4" s="11" t="s">
        <v>33</v>
      </c>
      <c r="D4" s="12" t="s">
        <v>33</v>
      </c>
    </row>
    <row r="6" spans="1:4" x14ac:dyDescent="0.2">
      <c r="A6" s="8" t="s">
        <v>1</v>
      </c>
    </row>
    <row r="7" spans="1:4" x14ac:dyDescent="0.2">
      <c r="A7" t="s">
        <v>2</v>
      </c>
      <c r="C7">
        <v>50624.743000000002</v>
      </c>
      <c r="D7" s="13" t="s">
        <v>32</v>
      </c>
    </row>
    <row r="8" spans="1:4" x14ac:dyDescent="0.2">
      <c r="A8" t="s">
        <v>3</v>
      </c>
      <c r="C8">
        <v>0.27897</v>
      </c>
      <c r="D8" s="13" t="s">
        <v>32</v>
      </c>
    </row>
    <row r="10" spans="1:4" ht="13.5" thickBot="1" x14ac:dyDescent="0.25">
      <c r="C10" s="7" t="s">
        <v>19</v>
      </c>
      <c r="D10" s="7" t="s">
        <v>20</v>
      </c>
    </row>
    <row r="11" spans="1:4" x14ac:dyDescent="0.2">
      <c r="A11" t="s">
        <v>15</v>
      </c>
      <c r="C11">
        <f>INTERCEPT(G21:G999,$F21:$F999)</f>
        <v>5.3927421049578331E-3</v>
      </c>
      <c r="D11" s="6"/>
    </row>
    <row r="12" spans="1:4" x14ac:dyDescent="0.2">
      <c r="A12" t="s">
        <v>16</v>
      </c>
      <c r="C12">
        <f>SLOPE(G21:G999,$F21:$F999)</f>
        <v>-1.6123042457538619E-5</v>
      </c>
      <c r="D12" s="6"/>
    </row>
    <row r="13" spans="1:4" x14ac:dyDescent="0.2">
      <c r="A13" t="s">
        <v>18</v>
      </c>
      <c r="C13" s="6" t="s">
        <v>13</v>
      </c>
      <c r="D13" s="6"/>
    </row>
    <row r="14" spans="1:4" x14ac:dyDescent="0.2">
      <c r="A14" t="s">
        <v>23</v>
      </c>
    </row>
    <row r="15" spans="1:4" x14ac:dyDescent="0.2">
      <c r="A15" s="3" t="s">
        <v>17</v>
      </c>
      <c r="C15" s="17">
        <v>52427.374600000003</v>
      </c>
    </row>
    <row r="16" spans="1:4" x14ac:dyDescent="0.2">
      <c r="A16" s="8" t="s">
        <v>4</v>
      </c>
      <c r="C16">
        <f>+C8+C12</f>
        <v>0.27895387695754248</v>
      </c>
    </row>
    <row r="17" spans="1:17" ht="13.5" thickBot="1" x14ac:dyDescent="0.25"/>
    <row r="18" spans="1:17" x14ac:dyDescent="0.2">
      <c r="A18" s="8" t="s">
        <v>5</v>
      </c>
      <c r="C18" s="4">
        <f>+C15</f>
        <v>52427.374600000003</v>
      </c>
      <c r="D18" s="5">
        <f>+C16</f>
        <v>0.27895387695754248</v>
      </c>
    </row>
    <row r="19" spans="1:17" ht="13.5" thickTop="1" x14ac:dyDescent="0.2">
      <c r="C19">
        <f>COUNT(C21:C2191)</f>
        <v>22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6</v>
      </c>
      <c r="I20" s="10" t="s">
        <v>29</v>
      </c>
      <c r="J20" s="10" t="s">
        <v>42</v>
      </c>
      <c r="K20" s="10" t="s">
        <v>25</v>
      </c>
      <c r="L20" s="10" t="s">
        <v>26</v>
      </c>
      <c r="M20" s="10" t="s">
        <v>27</v>
      </c>
      <c r="N20" s="10" t="s">
        <v>28</v>
      </c>
      <c r="O20" s="10" t="s">
        <v>22</v>
      </c>
      <c r="P20" s="9" t="s">
        <v>21</v>
      </c>
      <c r="Q20" s="7" t="s">
        <v>14</v>
      </c>
    </row>
    <row r="21" spans="1:17" x14ac:dyDescent="0.2">
      <c r="A21" t="s">
        <v>32</v>
      </c>
      <c r="C21">
        <v>50624.743199999997</v>
      </c>
      <c r="D21" s="6" t="s">
        <v>13</v>
      </c>
      <c r="E21">
        <f>+(C21-C$7)/C$8</f>
        <v>7.1692294851623847E-4</v>
      </c>
      <c r="F21">
        <f>ROUND(2*E21,0)/2</f>
        <v>0</v>
      </c>
      <c r="G21">
        <f>+C21-(C$7+F21*C$8)</f>
        <v>1.9999999494757503E-4</v>
      </c>
      <c r="H21">
        <f>+G21</f>
        <v>1.9999999494757503E-4</v>
      </c>
      <c r="O21">
        <f>+C$11+C$12*$F21</f>
        <v>5.3927421049578331E-3</v>
      </c>
      <c r="Q21" s="2">
        <f>+C21-15018.5</f>
        <v>35606.243199999997</v>
      </c>
    </row>
    <row r="22" spans="1:17" x14ac:dyDescent="0.2">
      <c r="A22" t="s">
        <v>32</v>
      </c>
      <c r="C22">
        <v>50627.811800000003</v>
      </c>
      <c r="E22">
        <f t="shared" ref="E22:E31" si="0">+(C22-C$7)/C$8</f>
        <v>11.000465999931604</v>
      </c>
      <c r="F22">
        <f t="shared" ref="F22:F36" si="1">ROUND(2*E22,0)/2</f>
        <v>11</v>
      </c>
      <c r="G22">
        <f t="shared" ref="G22:G31" si="2">+C22-(C$7+F22*C$8)</f>
        <v>1.3000000035390258E-4</v>
      </c>
      <c r="H22">
        <f t="shared" ref="H22:H31" si="3">+G22</f>
        <v>1.3000000035390258E-4</v>
      </c>
      <c r="O22">
        <f t="shared" ref="O22:O31" si="4">+C$11+C$12*$F22</f>
        <v>5.2153886379249087E-3</v>
      </c>
      <c r="Q22" s="2">
        <f t="shared" ref="Q22:Q31" si="5">+C22-15018.5</f>
        <v>35609.311800000003</v>
      </c>
    </row>
    <row r="23" spans="1:17" x14ac:dyDescent="0.2">
      <c r="A23" t="s">
        <v>32</v>
      </c>
      <c r="C23">
        <v>50632.832499999997</v>
      </c>
      <c r="E23">
        <f t="shared" si="0"/>
        <v>28.997741692635721</v>
      </c>
      <c r="F23">
        <f t="shared" si="1"/>
        <v>29</v>
      </c>
      <c r="G23">
        <f t="shared" si="2"/>
        <v>-6.3000000227475539E-4</v>
      </c>
      <c r="H23">
        <f t="shared" si="3"/>
        <v>-6.3000000227475539E-4</v>
      </c>
      <c r="O23">
        <f t="shared" si="4"/>
        <v>4.9251738736892127E-3</v>
      </c>
      <c r="Q23" s="2">
        <f t="shared" si="5"/>
        <v>35614.332499999997</v>
      </c>
    </row>
    <row r="24" spans="1:17" x14ac:dyDescent="0.2">
      <c r="A24" t="s">
        <v>32</v>
      </c>
      <c r="C24">
        <v>50633.809500000003</v>
      </c>
      <c r="E24">
        <f t="shared" si="0"/>
        <v>32.499910384632095</v>
      </c>
      <c r="F24">
        <f t="shared" si="1"/>
        <v>32.5</v>
      </c>
      <c r="G24">
        <f t="shared" si="2"/>
        <v>-2.5000001187436283E-5</v>
      </c>
      <c r="H24">
        <f t="shared" si="3"/>
        <v>-2.5000001187436283E-5</v>
      </c>
      <c r="O24">
        <f t="shared" si="4"/>
        <v>4.8687432250878277E-3</v>
      </c>
      <c r="Q24" s="2">
        <f t="shared" si="5"/>
        <v>35615.309500000003</v>
      </c>
    </row>
    <row r="25" spans="1:17" x14ac:dyDescent="0.2">
      <c r="A25" t="s">
        <v>32</v>
      </c>
      <c r="C25">
        <v>50633.949399999998</v>
      </c>
      <c r="E25">
        <f t="shared" si="0"/>
        <v>33.001397999768734</v>
      </c>
      <c r="F25">
        <f t="shared" si="1"/>
        <v>33</v>
      </c>
      <c r="G25">
        <f t="shared" si="2"/>
        <v>3.8999999378575012E-4</v>
      </c>
      <c r="H25">
        <f t="shared" si="3"/>
        <v>3.8999999378575012E-4</v>
      </c>
      <c r="O25">
        <f t="shared" si="4"/>
        <v>4.8606817038590582E-3</v>
      </c>
      <c r="Q25" s="2">
        <f t="shared" si="5"/>
        <v>35615.449399999998</v>
      </c>
    </row>
    <row r="26" spans="1:17" x14ac:dyDescent="0.2">
      <c r="A26" t="s">
        <v>32</v>
      </c>
      <c r="C26">
        <v>50634.786500000002</v>
      </c>
      <c r="E26">
        <f t="shared" si="0"/>
        <v>36.002079076602385</v>
      </c>
      <c r="F26">
        <f t="shared" si="1"/>
        <v>36</v>
      </c>
      <c r="G26">
        <f t="shared" si="2"/>
        <v>5.7999999989988282E-4</v>
      </c>
      <c r="H26">
        <f t="shared" si="3"/>
        <v>5.7999999989988282E-4</v>
      </c>
      <c r="O26">
        <f t="shared" si="4"/>
        <v>4.8123125764864428E-3</v>
      </c>
      <c r="Q26" s="2">
        <f t="shared" si="5"/>
        <v>35616.286500000002</v>
      </c>
    </row>
    <row r="27" spans="1:17" x14ac:dyDescent="0.2">
      <c r="A27" t="s">
        <v>32</v>
      </c>
      <c r="C27">
        <v>50634.9254</v>
      </c>
      <c r="E27">
        <f t="shared" si="0"/>
        <v>36.499982076918201</v>
      </c>
      <c r="F27">
        <f t="shared" si="1"/>
        <v>36.5</v>
      </c>
      <c r="G27">
        <f t="shared" si="2"/>
        <v>-5.0000016926787794E-6</v>
      </c>
      <c r="H27">
        <f t="shared" si="3"/>
        <v>-5.0000016926787794E-6</v>
      </c>
      <c r="O27">
        <f t="shared" si="4"/>
        <v>4.8042510552576733E-3</v>
      </c>
      <c r="Q27" s="2">
        <f t="shared" si="5"/>
        <v>35616.4254</v>
      </c>
    </row>
    <row r="28" spans="1:17" x14ac:dyDescent="0.2">
      <c r="A28" t="s">
        <v>32</v>
      </c>
      <c r="C28">
        <v>50648.734199999999</v>
      </c>
      <c r="E28">
        <f t="shared" si="0"/>
        <v>85.999211384725072</v>
      </c>
      <c r="F28">
        <f t="shared" si="1"/>
        <v>86</v>
      </c>
      <c r="G28">
        <f t="shared" si="2"/>
        <v>-2.2000000171829015E-4</v>
      </c>
      <c r="H28">
        <f t="shared" si="3"/>
        <v>-2.2000000171829015E-4</v>
      </c>
      <c r="O28">
        <f t="shared" si="4"/>
        <v>4.0061604536095119E-3</v>
      </c>
      <c r="Q28" s="2">
        <f t="shared" si="5"/>
        <v>35630.234199999999</v>
      </c>
    </row>
    <row r="29" spans="1:17" x14ac:dyDescent="0.2">
      <c r="A29" t="s">
        <v>32</v>
      </c>
      <c r="C29">
        <v>50648.873299999999</v>
      </c>
      <c r="E29">
        <f t="shared" si="0"/>
        <v>86.497831308015478</v>
      </c>
      <c r="F29">
        <f t="shared" si="1"/>
        <v>86.5</v>
      </c>
      <c r="G29">
        <f t="shared" si="2"/>
        <v>-6.0500000108731911E-4</v>
      </c>
      <c r="H29">
        <f t="shared" si="3"/>
        <v>-6.0500000108731911E-4</v>
      </c>
      <c r="O29">
        <f t="shared" si="4"/>
        <v>3.9980989323807423E-3</v>
      </c>
      <c r="Q29" s="2">
        <f t="shared" si="5"/>
        <v>35630.373299999999</v>
      </c>
    </row>
    <row r="30" spans="1:17" x14ac:dyDescent="0.2">
      <c r="A30" t="s">
        <v>32</v>
      </c>
      <c r="C30">
        <v>50649.852899999998</v>
      </c>
      <c r="E30">
        <f t="shared" si="0"/>
        <v>90.00931999855122</v>
      </c>
      <c r="F30">
        <f t="shared" si="1"/>
        <v>90</v>
      </c>
      <c r="G30">
        <f t="shared" si="2"/>
        <v>2.5999999925261363E-3</v>
      </c>
      <c r="H30">
        <f t="shared" si="3"/>
        <v>2.5999999925261363E-3</v>
      </c>
      <c r="O30">
        <f t="shared" si="4"/>
        <v>3.9416682837793574E-3</v>
      </c>
      <c r="Q30" s="2">
        <f t="shared" si="5"/>
        <v>35631.352899999998</v>
      </c>
    </row>
    <row r="31" spans="1:17" x14ac:dyDescent="0.2">
      <c r="A31" t="s">
        <v>32</v>
      </c>
      <c r="C31">
        <v>50650.825900000003</v>
      </c>
      <c r="E31">
        <f t="shared" si="0"/>
        <v>93.497150231212117</v>
      </c>
      <c r="F31">
        <f t="shared" si="1"/>
        <v>93.5</v>
      </c>
      <c r="G31">
        <f t="shared" si="2"/>
        <v>-7.9499999992549419E-4</v>
      </c>
      <c r="H31">
        <f t="shared" si="3"/>
        <v>-7.9499999992549419E-4</v>
      </c>
      <c r="O31">
        <f t="shared" si="4"/>
        <v>3.8852376351779724E-3</v>
      </c>
      <c r="Q31" s="2">
        <f t="shared" si="5"/>
        <v>35632.325900000003</v>
      </c>
    </row>
    <row r="32" spans="1:17" x14ac:dyDescent="0.2">
      <c r="A32" t="s">
        <v>36</v>
      </c>
      <c r="B32" s="6" t="s">
        <v>34</v>
      </c>
      <c r="C32">
        <v>50960.887999999999</v>
      </c>
      <c r="D32" s="14">
        <v>3.0000000000000003E-4</v>
      </c>
      <c r="E32">
        <f t="shared" ref="E32:E42" si="6">+(C32-C$7)/C$8</f>
        <v>1204.9503530845495</v>
      </c>
      <c r="F32">
        <f t="shared" si="1"/>
        <v>1205</v>
      </c>
      <c r="G32">
        <f>+C32-(C$7+F32*C$8)</f>
        <v>-1.3850000003003515E-2</v>
      </c>
      <c r="I32">
        <f t="shared" ref="I32:I41" si="7">+G32</f>
        <v>-1.3850000003003515E-2</v>
      </c>
      <c r="O32">
        <f t="shared" ref="O32:O42" si="8">+C$11+C$12*$F32</f>
        <v>-1.4035524056376203E-2</v>
      </c>
      <c r="Q32" s="2">
        <f t="shared" ref="Q32:Q42" si="9">+C32-15018.5</f>
        <v>35942.387999999999</v>
      </c>
    </row>
    <row r="33" spans="1:17" x14ac:dyDescent="0.2">
      <c r="A33" t="s">
        <v>36</v>
      </c>
      <c r="B33" s="6" t="s">
        <v>34</v>
      </c>
      <c r="C33">
        <v>50961.7235</v>
      </c>
      <c r="D33" s="14">
        <v>4.0000000000000002E-4</v>
      </c>
      <c r="E33">
        <f t="shared" si="6"/>
        <v>1207.9452987776385</v>
      </c>
      <c r="F33">
        <f t="shared" si="1"/>
        <v>1208</v>
      </c>
      <c r="G33">
        <f>+C33-(C$7+F33*C$8)</f>
        <v>-1.5260000000125729E-2</v>
      </c>
      <c r="I33">
        <f t="shared" si="7"/>
        <v>-1.5260000000125729E-2</v>
      </c>
      <c r="O33">
        <f t="shared" si="8"/>
        <v>-1.4083893183748818E-2</v>
      </c>
      <c r="Q33" s="2">
        <f t="shared" si="9"/>
        <v>35943.2235</v>
      </c>
    </row>
    <row r="34" spans="1:17" x14ac:dyDescent="0.2">
      <c r="A34" t="s">
        <v>36</v>
      </c>
      <c r="B34" s="6" t="s">
        <v>35</v>
      </c>
      <c r="C34">
        <v>50961.8652</v>
      </c>
      <c r="D34" s="14">
        <v>5.0000000000000001E-4</v>
      </c>
      <c r="E34">
        <f t="shared" si="6"/>
        <v>1208.4532386994945</v>
      </c>
      <c r="F34">
        <f t="shared" si="1"/>
        <v>1208.5</v>
      </c>
      <c r="G34">
        <f>+C34-(C$7+F34*C$8)</f>
        <v>-1.3044999999692664E-2</v>
      </c>
      <c r="I34">
        <f t="shared" si="7"/>
        <v>-1.3044999999692664E-2</v>
      </c>
      <c r="O34">
        <f t="shared" si="8"/>
        <v>-1.4091954704977587E-2</v>
      </c>
      <c r="Q34" s="2">
        <f t="shared" si="9"/>
        <v>35943.3652</v>
      </c>
    </row>
    <row r="35" spans="1:17" x14ac:dyDescent="0.2">
      <c r="A35" t="s">
        <v>36</v>
      </c>
      <c r="B35" s="6" t="s">
        <v>34</v>
      </c>
      <c r="C35">
        <v>50966.746599999999</v>
      </c>
      <c r="D35" s="14">
        <v>1.1000000000000001E-3</v>
      </c>
      <c r="E35">
        <f t="shared" si="6"/>
        <v>1225.9511775459596</v>
      </c>
      <c r="F35">
        <f t="shared" si="1"/>
        <v>1226</v>
      </c>
      <c r="G35">
        <f>+C35-(C$7+F35*C$8)</f>
        <v>-1.3620000005175825E-2</v>
      </c>
      <c r="I35">
        <f t="shared" si="7"/>
        <v>-1.3620000005175825E-2</v>
      </c>
      <c r="O35">
        <f t="shared" si="8"/>
        <v>-1.4374107947984514E-2</v>
      </c>
      <c r="Q35" s="2">
        <f t="shared" si="9"/>
        <v>35948.246599999999</v>
      </c>
    </row>
    <row r="36" spans="1:17" x14ac:dyDescent="0.2">
      <c r="A36" t="s">
        <v>36</v>
      </c>
      <c r="B36" s="6" t="s">
        <v>35</v>
      </c>
      <c r="C36">
        <v>50966.886200000001</v>
      </c>
      <c r="D36" s="14">
        <v>5.0000000000000001E-4</v>
      </c>
      <c r="E36">
        <f t="shared" si="6"/>
        <v>1226.4515897766735</v>
      </c>
      <c r="F36" s="22">
        <f t="shared" si="1"/>
        <v>1226.5</v>
      </c>
      <c r="G36">
        <f>+C36-(C$7+F36*C$8)</f>
        <v>-1.3505000002624001E-2</v>
      </c>
      <c r="I36">
        <f t="shared" si="7"/>
        <v>-1.3505000002624001E-2</v>
      </c>
      <c r="O36">
        <f t="shared" si="8"/>
        <v>-1.4382169469213283E-2</v>
      </c>
      <c r="Q36" s="2">
        <f t="shared" si="9"/>
        <v>35948.386200000001</v>
      </c>
    </row>
    <row r="37" spans="1:17" x14ac:dyDescent="0.2">
      <c r="A37" s="15" t="s">
        <v>37</v>
      </c>
      <c r="B37" s="16" t="s">
        <v>34</v>
      </c>
      <c r="C37" s="17">
        <v>52410.357300000003</v>
      </c>
      <c r="D37" s="18">
        <v>2.8E-3</v>
      </c>
      <c r="E37">
        <f t="shared" si="6"/>
        <v>6400.7395060400804</v>
      </c>
      <c r="F37" s="24">
        <f>ROUND(2*E37,0)/2+0.5</f>
        <v>6401</v>
      </c>
      <c r="G37">
        <f t="shared" ref="G37:G42" si="10">+C37-(C$7+F37*C$8)</f>
        <v>-7.2670000001380686E-2</v>
      </c>
      <c r="I37">
        <f t="shared" si="7"/>
        <v>-7.2670000001380686E-2</v>
      </c>
      <c r="O37">
        <f t="shared" si="8"/>
        <v>-9.7810852665746878E-2</v>
      </c>
      <c r="Q37" s="2">
        <f t="shared" si="9"/>
        <v>37391.857300000003</v>
      </c>
    </row>
    <row r="38" spans="1:17" x14ac:dyDescent="0.2">
      <c r="A38" s="15" t="s">
        <v>37</v>
      </c>
      <c r="B38" s="16" t="s">
        <v>34</v>
      </c>
      <c r="C38" s="17">
        <v>52410.357300000003</v>
      </c>
      <c r="D38" s="17">
        <v>2.8E-3</v>
      </c>
      <c r="E38">
        <f t="shared" si="6"/>
        <v>6400.7395060400804</v>
      </c>
      <c r="F38" s="24">
        <f>ROUND(2*E38,0)/2+0.5</f>
        <v>6401</v>
      </c>
      <c r="G38">
        <f t="shared" si="10"/>
        <v>-7.2670000001380686E-2</v>
      </c>
      <c r="I38">
        <f t="shared" si="7"/>
        <v>-7.2670000001380686E-2</v>
      </c>
      <c r="O38">
        <f t="shared" si="8"/>
        <v>-9.7810852665746878E-2</v>
      </c>
      <c r="Q38" s="2">
        <f t="shared" si="9"/>
        <v>37391.857300000003</v>
      </c>
    </row>
    <row r="39" spans="1:17" x14ac:dyDescent="0.2">
      <c r="A39" s="15" t="s">
        <v>37</v>
      </c>
      <c r="B39" s="16" t="s">
        <v>34</v>
      </c>
      <c r="C39" s="17">
        <v>52427.374600000003</v>
      </c>
      <c r="D39" s="18">
        <v>3.0000000000000001E-3</v>
      </c>
      <c r="E39">
        <f t="shared" si="6"/>
        <v>6461.7399720400063</v>
      </c>
      <c r="F39" s="24">
        <f>ROUND(2*E39,0)/2+0.5</f>
        <v>6462</v>
      </c>
      <c r="G39">
        <f t="shared" si="10"/>
        <v>-7.2540000001026783E-2</v>
      </c>
      <c r="I39">
        <f t="shared" si="7"/>
        <v>-7.2540000001026783E-2</v>
      </c>
      <c r="O39">
        <f t="shared" si="8"/>
        <v>-9.8794358255656717E-2</v>
      </c>
      <c r="Q39" s="2">
        <f t="shared" si="9"/>
        <v>37408.874600000003</v>
      </c>
    </row>
    <row r="40" spans="1:17" x14ac:dyDescent="0.2">
      <c r="A40" s="15" t="s">
        <v>37</v>
      </c>
      <c r="B40" s="16" t="s">
        <v>34</v>
      </c>
      <c r="C40" s="17">
        <v>52427.374600000003</v>
      </c>
      <c r="D40" s="17">
        <v>3.0000000000000001E-3</v>
      </c>
      <c r="E40">
        <f t="shared" si="6"/>
        <v>6461.7399720400063</v>
      </c>
      <c r="F40" s="24">
        <f>ROUND(2*E40,0)/2+0.5</f>
        <v>6462</v>
      </c>
      <c r="G40">
        <f t="shared" si="10"/>
        <v>-7.2540000001026783E-2</v>
      </c>
      <c r="I40">
        <f t="shared" si="7"/>
        <v>-7.2540000001026783E-2</v>
      </c>
      <c r="O40">
        <f t="shared" si="8"/>
        <v>-9.8794358255656717E-2</v>
      </c>
      <c r="Q40" s="2">
        <f t="shared" si="9"/>
        <v>37408.874600000003</v>
      </c>
    </row>
    <row r="41" spans="1:17" x14ac:dyDescent="0.2">
      <c r="A41" s="19" t="s">
        <v>38</v>
      </c>
      <c r="B41" s="20" t="s">
        <v>39</v>
      </c>
      <c r="C41" s="21">
        <v>52872.422200000001</v>
      </c>
      <c r="D41" s="21">
        <v>1.1000000000000001E-3</v>
      </c>
      <c r="E41">
        <f t="shared" si="6"/>
        <v>8057.0642004516567</v>
      </c>
      <c r="F41" s="24">
        <f>ROUND(2*E41,0)/2+0.5</f>
        <v>8057.5</v>
      </c>
      <c r="G41">
        <f t="shared" si="10"/>
        <v>-0.12157500000466825</v>
      </c>
      <c r="I41">
        <f t="shared" si="7"/>
        <v>-0.12157500000466825</v>
      </c>
      <c r="O41">
        <f t="shared" si="8"/>
        <v>-0.1245186724966596</v>
      </c>
      <c r="Q41" s="2">
        <f t="shared" si="9"/>
        <v>37853.922200000001</v>
      </c>
    </row>
    <row r="42" spans="1:17" x14ac:dyDescent="0.2">
      <c r="A42" s="25" t="s">
        <v>40</v>
      </c>
      <c r="C42">
        <v>53899.469100000002</v>
      </c>
      <c r="D42" s="6" t="s">
        <v>41</v>
      </c>
      <c r="E42">
        <f t="shared" si="6"/>
        <v>11738.631752518191</v>
      </c>
      <c r="F42" s="24">
        <f>ROUND(2*E42,0)/2+1</f>
        <v>11739.5</v>
      </c>
      <c r="G42">
        <f t="shared" si="10"/>
        <v>-0.2422149999983958</v>
      </c>
      <c r="J42">
        <f>G42</f>
        <v>-0.2422149999983958</v>
      </c>
      <c r="O42">
        <f t="shared" si="8"/>
        <v>-0.18388371482531679</v>
      </c>
      <c r="Q42" s="2">
        <f t="shared" si="9"/>
        <v>38880.969100000002</v>
      </c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8"/>
  <sheetViews>
    <sheetView workbookViewId="0">
      <selection activeCell="A36" sqref="A36:D41"/>
    </sheetView>
  </sheetViews>
  <sheetFormatPr defaultRowHeight="12.75" x14ac:dyDescent="0.2"/>
  <cols>
    <col min="1" max="1" width="19.7109375" style="14" customWidth="1"/>
    <col min="2" max="2" width="4.42578125" style="19" customWidth="1"/>
    <col min="3" max="3" width="12.7109375" style="1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4" t="s">
        <v>61</v>
      </c>
      <c r="I1" s="55" t="s">
        <v>62</v>
      </c>
      <c r="J1" s="56" t="s">
        <v>63</v>
      </c>
    </row>
    <row r="2" spans="1:16" x14ac:dyDescent="0.2">
      <c r="I2" s="57" t="s">
        <v>64</v>
      </c>
      <c r="J2" s="58" t="s">
        <v>65</v>
      </c>
    </row>
    <row r="3" spans="1:16" x14ac:dyDescent="0.2">
      <c r="A3" s="59" t="s">
        <v>66</v>
      </c>
      <c r="I3" s="57" t="s">
        <v>67</v>
      </c>
      <c r="J3" s="58" t="s">
        <v>68</v>
      </c>
    </row>
    <row r="4" spans="1:16" x14ac:dyDescent="0.2">
      <c r="I4" s="57" t="s">
        <v>69</v>
      </c>
      <c r="J4" s="58" t="s">
        <v>68</v>
      </c>
    </row>
    <row r="5" spans="1:16" ht="13.5" thickBot="1" x14ac:dyDescent="0.25">
      <c r="I5" s="60" t="s">
        <v>70</v>
      </c>
      <c r="J5" s="61" t="s">
        <v>71</v>
      </c>
    </row>
    <row r="10" spans="1:16" ht="13.5" thickBot="1" x14ac:dyDescent="0.25"/>
    <row r="11" spans="1:16" ht="12.75" customHeight="1" thickBot="1" x14ac:dyDescent="0.25">
      <c r="A11" s="14" t="str">
        <f t="shared" ref="A11:A41" si="0">P11</f>
        <v>IBVS 4504 </v>
      </c>
      <c r="B11" s="6" t="str">
        <f t="shared" ref="B11:B41" si="1">IF(H11=INT(H11),"I","II")</f>
        <v>I</v>
      </c>
      <c r="C11" s="14">
        <f t="shared" ref="C11:C41" si="2">1*G11</f>
        <v>50624.743199999997</v>
      </c>
      <c r="D11" s="19" t="str">
        <f t="shared" ref="D11:D41" si="3">VLOOKUP(F11,I$1:J$5,2,FALSE)</f>
        <v>vis</v>
      </c>
      <c r="E11" s="62">
        <f>VLOOKUP(C11,'Active 1'!C$21:E$973,3,FALSE)</f>
        <v>7.1692294851623847E-4</v>
      </c>
      <c r="F11" s="6" t="s">
        <v>70</v>
      </c>
      <c r="G11" s="19" t="str">
        <f t="shared" ref="G11:G41" si="4">MID(I11,3,LEN(I11)-3)</f>
        <v>50624.7432</v>
      </c>
      <c r="H11" s="14">
        <f t="shared" ref="H11:H41" si="5">1*K11</f>
        <v>-6723</v>
      </c>
      <c r="I11" s="63" t="s">
        <v>72</v>
      </c>
      <c r="J11" s="64" t="s">
        <v>73</v>
      </c>
      <c r="K11" s="63">
        <v>-6723</v>
      </c>
      <c r="L11" s="63" t="s">
        <v>74</v>
      </c>
      <c r="M11" s="64" t="s">
        <v>75</v>
      </c>
      <c r="N11" s="64" t="s">
        <v>76</v>
      </c>
      <c r="O11" s="65" t="s">
        <v>77</v>
      </c>
      <c r="P11" s="66" t="s">
        <v>78</v>
      </c>
    </row>
    <row r="12" spans="1:16" ht="12.75" customHeight="1" thickBot="1" x14ac:dyDescent="0.25">
      <c r="A12" s="14" t="str">
        <f t="shared" si="0"/>
        <v>IBVS 4504 </v>
      </c>
      <c r="B12" s="6" t="str">
        <f t="shared" si="1"/>
        <v>I</v>
      </c>
      <c r="C12" s="14">
        <f t="shared" si="2"/>
        <v>50627.811800000003</v>
      </c>
      <c r="D12" s="19" t="str">
        <f t="shared" si="3"/>
        <v>vis</v>
      </c>
      <c r="E12" s="62">
        <f>VLOOKUP(C12,'Active 1'!C$21:E$973,3,FALSE)</f>
        <v>11.000465999931604</v>
      </c>
      <c r="F12" s="6" t="s">
        <v>70</v>
      </c>
      <c r="G12" s="19" t="str">
        <f t="shared" si="4"/>
        <v>50627.8118</v>
      </c>
      <c r="H12" s="14">
        <f t="shared" si="5"/>
        <v>-6712</v>
      </c>
      <c r="I12" s="63" t="s">
        <v>79</v>
      </c>
      <c r="J12" s="64" t="s">
        <v>80</v>
      </c>
      <c r="K12" s="63">
        <v>-6712</v>
      </c>
      <c r="L12" s="63" t="s">
        <v>74</v>
      </c>
      <c r="M12" s="64" t="s">
        <v>75</v>
      </c>
      <c r="N12" s="64" t="s">
        <v>76</v>
      </c>
      <c r="O12" s="65" t="s">
        <v>77</v>
      </c>
      <c r="P12" s="66" t="s">
        <v>78</v>
      </c>
    </row>
    <row r="13" spans="1:16" ht="12.75" customHeight="1" thickBot="1" x14ac:dyDescent="0.25">
      <c r="A13" s="14" t="str">
        <f t="shared" si="0"/>
        <v>IBVS 4504 </v>
      </c>
      <c r="B13" s="6" t="str">
        <f t="shared" si="1"/>
        <v>I</v>
      </c>
      <c r="C13" s="14">
        <f t="shared" si="2"/>
        <v>50632.832499999997</v>
      </c>
      <c r="D13" s="19" t="str">
        <f t="shared" si="3"/>
        <v>vis</v>
      </c>
      <c r="E13" s="62">
        <f>VLOOKUP(C13,'Active 1'!C$21:E$973,3,FALSE)</f>
        <v>28.997741692635721</v>
      </c>
      <c r="F13" s="6" t="s">
        <v>70</v>
      </c>
      <c r="G13" s="19" t="str">
        <f t="shared" si="4"/>
        <v>50632.8325</v>
      </c>
      <c r="H13" s="14">
        <f t="shared" si="5"/>
        <v>-6694</v>
      </c>
      <c r="I13" s="63" t="s">
        <v>81</v>
      </c>
      <c r="J13" s="64" t="s">
        <v>82</v>
      </c>
      <c r="K13" s="63">
        <v>-6694</v>
      </c>
      <c r="L13" s="63" t="s">
        <v>83</v>
      </c>
      <c r="M13" s="64" t="s">
        <v>75</v>
      </c>
      <c r="N13" s="64" t="s">
        <v>76</v>
      </c>
      <c r="O13" s="65" t="s">
        <v>77</v>
      </c>
      <c r="P13" s="66" t="s">
        <v>78</v>
      </c>
    </row>
    <row r="14" spans="1:16" ht="12.75" customHeight="1" thickBot="1" x14ac:dyDescent="0.25">
      <c r="A14" s="14" t="str">
        <f t="shared" si="0"/>
        <v>IBVS 4504 </v>
      </c>
      <c r="B14" s="6" t="str">
        <f t="shared" si="1"/>
        <v>II</v>
      </c>
      <c r="C14" s="14">
        <f t="shared" si="2"/>
        <v>50633.809500000003</v>
      </c>
      <c r="D14" s="19" t="str">
        <f t="shared" si="3"/>
        <v>vis</v>
      </c>
      <c r="E14" s="62">
        <f>VLOOKUP(C14,'Active 1'!C$21:E$973,3,FALSE)</f>
        <v>32.499910384632095</v>
      </c>
      <c r="F14" s="6" t="s">
        <v>70</v>
      </c>
      <c r="G14" s="19" t="str">
        <f t="shared" si="4"/>
        <v>50633.8095</v>
      </c>
      <c r="H14" s="14">
        <f t="shared" si="5"/>
        <v>-6690.5</v>
      </c>
      <c r="I14" s="63" t="s">
        <v>84</v>
      </c>
      <c r="J14" s="64" t="s">
        <v>85</v>
      </c>
      <c r="K14" s="63">
        <v>-6690.5</v>
      </c>
      <c r="L14" s="63" t="s">
        <v>74</v>
      </c>
      <c r="M14" s="64" t="s">
        <v>75</v>
      </c>
      <c r="N14" s="64" t="s">
        <v>76</v>
      </c>
      <c r="O14" s="65" t="s">
        <v>77</v>
      </c>
      <c r="P14" s="66" t="s">
        <v>78</v>
      </c>
    </row>
    <row r="15" spans="1:16" ht="12.75" customHeight="1" thickBot="1" x14ac:dyDescent="0.25">
      <c r="A15" s="14" t="str">
        <f t="shared" si="0"/>
        <v>IBVS 4504 </v>
      </c>
      <c r="B15" s="6" t="str">
        <f t="shared" si="1"/>
        <v>I</v>
      </c>
      <c r="C15" s="14">
        <f t="shared" si="2"/>
        <v>50633.949399999998</v>
      </c>
      <c r="D15" s="19" t="str">
        <f t="shared" si="3"/>
        <v>vis</v>
      </c>
      <c r="E15" s="62">
        <f>VLOOKUP(C15,'Active 1'!C$21:E$973,3,FALSE)</f>
        <v>33.001397999768734</v>
      </c>
      <c r="F15" s="6" t="s">
        <v>70</v>
      </c>
      <c r="G15" s="19" t="str">
        <f t="shared" si="4"/>
        <v>50633.9494</v>
      </c>
      <c r="H15" s="14">
        <f t="shared" si="5"/>
        <v>-6690</v>
      </c>
      <c r="I15" s="63" t="s">
        <v>86</v>
      </c>
      <c r="J15" s="64" t="s">
        <v>87</v>
      </c>
      <c r="K15" s="63">
        <v>-6690</v>
      </c>
      <c r="L15" s="63" t="s">
        <v>88</v>
      </c>
      <c r="M15" s="64" t="s">
        <v>75</v>
      </c>
      <c r="N15" s="64" t="s">
        <v>76</v>
      </c>
      <c r="O15" s="65" t="s">
        <v>77</v>
      </c>
      <c r="P15" s="66" t="s">
        <v>78</v>
      </c>
    </row>
    <row r="16" spans="1:16" ht="12.75" customHeight="1" thickBot="1" x14ac:dyDescent="0.25">
      <c r="A16" s="14" t="str">
        <f t="shared" si="0"/>
        <v>IBVS 4504 </v>
      </c>
      <c r="B16" s="6" t="str">
        <f t="shared" si="1"/>
        <v>I</v>
      </c>
      <c r="C16" s="14">
        <f t="shared" si="2"/>
        <v>50634.786500000002</v>
      </c>
      <c r="D16" s="19" t="str">
        <f t="shared" si="3"/>
        <v>vis</v>
      </c>
      <c r="E16" s="62">
        <f>VLOOKUP(C16,'Active 1'!C$21:E$973,3,FALSE)</f>
        <v>36.002079076602385</v>
      </c>
      <c r="F16" s="6" t="s">
        <v>70</v>
      </c>
      <c r="G16" s="19" t="str">
        <f t="shared" si="4"/>
        <v>50634.7865</v>
      </c>
      <c r="H16" s="14">
        <f t="shared" si="5"/>
        <v>-6687</v>
      </c>
      <c r="I16" s="63" t="s">
        <v>89</v>
      </c>
      <c r="J16" s="64" t="s">
        <v>90</v>
      </c>
      <c r="K16" s="63">
        <v>-6687</v>
      </c>
      <c r="L16" s="63" t="s">
        <v>91</v>
      </c>
      <c r="M16" s="64" t="s">
        <v>75</v>
      </c>
      <c r="N16" s="64" t="s">
        <v>76</v>
      </c>
      <c r="O16" s="65" t="s">
        <v>77</v>
      </c>
      <c r="P16" s="66" t="s">
        <v>78</v>
      </c>
    </row>
    <row r="17" spans="1:16" ht="12.75" customHeight="1" thickBot="1" x14ac:dyDescent="0.25">
      <c r="A17" s="14" t="str">
        <f t="shared" si="0"/>
        <v>IBVS 4504 </v>
      </c>
      <c r="B17" s="6" t="str">
        <f t="shared" si="1"/>
        <v>II</v>
      </c>
      <c r="C17" s="14">
        <f t="shared" si="2"/>
        <v>50634.9254</v>
      </c>
      <c r="D17" s="19" t="str">
        <f t="shared" si="3"/>
        <v>vis</v>
      </c>
      <c r="E17" s="62">
        <f>VLOOKUP(C17,'Active 1'!C$21:E$973,3,FALSE)</f>
        <v>36.499982076918201</v>
      </c>
      <c r="F17" s="6" t="s">
        <v>70</v>
      </c>
      <c r="G17" s="19" t="str">
        <f t="shared" si="4"/>
        <v>50634.9254</v>
      </c>
      <c r="H17" s="14">
        <f t="shared" si="5"/>
        <v>-6686.5</v>
      </c>
      <c r="I17" s="63" t="s">
        <v>92</v>
      </c>
      <c r="J17" s="64" t="s">
        <v>93</v>
      </c>
      <c r="K17" s="63">
        <v>-6686.5</v>
      </c>
      <c r="L17" s="63" t="s">
        <v>94</v>
      </c>
      <c r="M17" s="64" t="s">
        <v>75</v>
      </c>
      <c r="N17" s="64" t="s">
        <v>76</v>
      </c>
      <c r="O17" s="65" t="s">
        <v>77</v>
      </c>
      <c r="P17" s="66" t="s">
        <v>78</v>
      </c>
    </row>
    <row r="18" spans="1:16" ht="12.75" customHeight="1" thickBot="1" x14ac:dyDescent="0.25">
      <c r="A18" s="14" t="str">
        <f t="shared" si="0"/>
        <v>IBVS 4504 </v>
      </c>
      <c r="B18" s="6" t="str">
        <f t="shared" si="1"/>
        <v>I</v>
      </c>
      <c r="C18" s="14">
        <f t="shared" si="2"/>
        <v>50648.734199999999</v>
      </c>
      <c r="D18" s="19" t="str">
        <f t="shared" si="3"/>
        <v>vis</v>
      </c>
      <c r="E18" s="62">
        <f>VLOOKUP(C18,'Active 1'!C$21:E$973,3,FALSE)</f>
        <v>85.999211384725072</v>
      </c>
      <c r="F18" s="6" t="s">
        <v>70</v>
      </c>
      <c r="G18" s="19" t="str">
        <f t="shared" si="4"/>
        <v>50648.7342</v>
      </c>
      <c r="H18" s="14">
        <f t="shared" si="5"/>
        <v>-6637</v>
      </c>
      <c r="I18" s="63" t="s">
        <v>95</v>
      </c>
      <c r="J18" s="64" t="s">
        <v>96</v>
      </c>
      <c r="K18" s="63">
        <v>-6637</v>
      </c>
      <c r="L18" s="63" t="s">
        <v>97</v>
      </c>
      <c r="M18" s="64" t="s">
        <v>75</v>
      </c>
      <c r="N18" s="64" t="s">
        <v>76</v>
      </c>
      <c r="O18" s="65" t="s">
        <v>77</v>
      </c>
      <c r="P18" s="66" t="s">
        <v>78</v>
      </c>
    </row>
    <row r="19" spans="1:16" ht="12.75" customHeight="1" thickBot="1" x14ac:dyDescent="0.25">
      <c r="A19" s="14" t="str">
        <f t="shared" si="0"/>
        <v>IBVS 4504 </v>
      </c>
      <c r="B19" s="6" t="str">
        <f t="shared" si="1"/>
        <v>II</v>
      </c>
      <c r="C19" s="14">
        <f t="shared" si="2"/>
        <v>50648.873299999999</v>
      </c>
      <c r="D19" s="19" t="str">
        <f t="shared" si="3"/>
        <v>vis</v>
      </c>
      <c r="E19" s="62">
        <f>VLOOKUP(C19,'Active 1'!C$21:E$973,3,FALSE)</f>
        <v>86.497831308015478</v>
      </c>
      <c r="F19" s="6" t="s">
        <v>70</v>
      </c>
      <c r="G19" s="19" t="str">
        <f t="shared" si="4"/>
        <v>50648.8733</v>
      </c>
      <c r="H19" s="14">
        <f t="shared" si="5"/>
        <v>-6636.5</v>
      </c>
      <c r="I19" s="63" t="s">
        <v>98</v>
      </c>
      <c r="J19" s="64" t="s">
        <v>99</v>
      </c>
      <c r="K19" s="63">
        <v>-6636.5</v>
      </c>
      <c r="L19" s="63" t="s">
        <v>100</v>
      </c>
      <c r="M19" s="64" t="s">
        <v>75</v>
      </c>
      <c r="N19" s="64" t="s">
        <v>76</v>
      </c>
      <c r="O19" s="65" t="s">
        <v>77</v>
      </c>
      <c r="P19" s="66" t="s">
        <v>78</v>
      </c>
    </row>
    <row r="20" spans="1:16" ht="12.75" customHeight="1" thickBot="1" x14ac:dyDescent="0.25">
      <c r="A20" s="14" t="str">
        <f t="shared" si="0"/>
        <v>IBVS 4504 </v>
      </c>
      <c r="B20" s="6" t="str">
        <f t="shared" si="1"/>
        <v>I</v>
      </c>
      <c r="C20" s="14">
        <f t="shared" si="2"/>
        <v>50649.852899999998</v>
      </c>
      <c r="D20" s="19" t="str">
        <f t="shared" si="3"/>
        <v>vis</v>
      </c>
      <c r="E20" s="62">
        <f>VLOOKUP(C20,'Active 1'!C$21:E$973,3,FALSE)</f>
        <v>90.00931999855122</v>
      </c>
      <c r="F20" s="6" t="s">
        <v>70</v>
      </c>
      <c r="G20" s="19" t="str">
        <f t="shared" si="4"/>
        <v>50649.8529</v>
      </c>
      <c r="H20" s="14">
        <f t="shared" si="5"/>
        <v>-6633</v>
      </c>
      <c r="I20" s="63" t="s">
        <v>101</v>
      </c>
      <c r="J20" s="64" t="s">
        <v>102</v>
      </c>
      <c r="K20" s="63">
        <v>-6633</v>
      </c>
      <c r="L20" s="63" t="s">
        <v>103</v>
      </c>
      <c r="M20" s="64" t="s">
        <v>75</v>
      </c>
      <c r="N20" s="64" t="s">
        <v>34</v>
      </c>
      <c r="O20" s="65" t="s">
        <v>77</v>
      </c>
      <c r="P20" s="66" t="s">
        <v>78</v>
      </c>
    </row>
    <row r="21" spans="1:16" ht="12.75" customHeight="1" thickBot="1" x14ac:dyDescent="0.25">
      <c r="A21" s="14" t="str">
        <f t="shared" si="0"/>
        <v>IBVS 4504 </v>
      </c>
      <c r="B21" s="6" t="str">
        <f t="shared" si="1"/>
        <v>II</v>
      </c>
      <c r="C21" s="14">
        <f t="shared" si="2"/>
        <v>50650.825900000003</v>
      </c>
      <c r="D21" s="19" t="str">
        <f t="shared" si="3"/>
        <v>vis</v>
      </c>
      <c r="E21" s="62">
        <f>VLOOKUP(C21,'Active 1'!C$21:E$973,3,FALSE)</f>
        <v>93.497150231212117</v>
      </c>
      <c r="F21" s="6" t="s">
        <v>70</v>
      </c>
      <c r="G21" s="19" t="str">
        <f t="shared" si="4"/>
        <v>50650.8259</v>
      </c>
      <c r="H21" s="14">
        <f t="shared" si="5"/>
        <v>-6629.5</v>
      </c>
      <c r="I21" s="63" t="s">
        <v>104</v>
      </c>
      <c r="J21" s="64" t="s">
        <v>105</v>
      </c>
      <c r="K21" s="63">
        <v>-6629.5</v>
      </c>
      <c r="L21" s="63" t="s">
        <v>106</v>
      </c>
      <c r="M21" s="64" t="s">
        <v>75</v>
      </c>
      <c r="N21" s="64" t="s">
        <v>34</v>
      </c>
      <c r="O21" s="65" t="s">
        <v>77</v>
      </c>
      <c r="P21" s="66" t="s">
        <v>78</v>
      </c>
    </row>
    <row r="22" spans="1:16" ht="12.75" customHeight="1" thickBot="1" x14ac:dyDescent="0.25">
      <c r="A22" s="14" t="str">
        <f t="shared" si="0"/>
        <v>IBVS 4611 </v>
      </c>
      <c r="B22" s="6" t="str">
        <f t="shared" si="1"/>
        <v>I</v>
      </c>
      <c r="C22" s="14">
        <f t="shared" si="2"/>
        <v>50960.887999999999</v>
      </c>
      <c r="D22" s="19" t="str">
        <f t="shared" si="3"/>
        <v>vis</v>
      </c>
      <c r="E22" s="62">
        <f>VLOOKUP(C22,'Active 1'!C$21:E$973,3,FALSE)</f>
        <v>1204.9503530845495</v>
      </c>
      <c r="F22" s="6" t="s">
        <v>70</v>
      </c>
      <c r="G22" s="19" t="str">
        <f t="shared" si="4"/>
        <v>50960.8880</v>
      </c>
      <c r="H22" s="14">
        <f t="shared" si="5"/>
        <v>-5518</v>
      </c>
      <c r="I22" s="63" t="s">
        <v>107</v>
      </c>
      <c r="J22" s="64" t="s">
        <v>108</v>
      </c>
      <c r="K22" s="63">
        <v>-5518</v>
      </c>
      <c r="L22" s="63" t="s">
        <v>109</v>
      </c>
      <c r="M22" s="64" t="s">
        <v>75</v>
      </c>
      <c r="N22" s="64" t="s">
        <v>110</v>
      </c>
      <c r="O22" s="65" t="s">
        <v>111</v>
      </c>
      <c r="P22" s="66" t="s">
        <v>112</v>
      </c>
    </row>
    <row r="23" spans="1:16" ht="12.75" customHeight="1" thickBot="1" x14ac:dyDescent="0.25">
      <c r="A23" s="14" t="str">
        <f t="shared" si="0"/>
        <v>IBVS 4611 </v>
      </c>
      <c r="B23" s="6" t="str">
        <f t="shared" si="1"/>
        <v>I</v>
      </c>
      <c r="C23" s="14">
        <f t="shared" si="2"/>
        <v>50961.7235</v>
      </c>
      <c r="D23" s="19" t="str">
        <f t="shared" si="3"/>
        <v>vis</v>
      </c>
      <c r="E23" s="62">
        <f>VLOOKUP(C23,'Active 1'!C$21:E$973,3,FALSE)</f>
        <v>1207.9452987776385</v>
      </c>
      <c r="F23" s="6" t="s">
        <v>70</v>
      </c>
      <c r="G23" s="19" t="str">
        <f t="shared" si="4"/>
        <v>50961.7235</v>
      </c>
      <c r="H23" s="14">
        <f t="shared" si="5"/>
        <v>-5515</v>
      </c>
      <c r="I23" s="63" t="s">
        <v>113</v>
      </c>
      <c r="J23" s="64" t="s">
        <v>114</v>
      </c>
      <c r="K23" s="63">
        <v>-5515</v>
      </c>
      <c r="L23" s="63" t="s">
        <v>115</v>
      </c>
      <c r="M23" s="64" t="s">
        <v>75</v>
      </c>
      <c r="N23" s="64" t="s">
        <v>110</v>
      </c>
      <c r="O23" s="65" t="s">
        <v>111</v>
      </c>
      <c r="P23" s="66" t="s">
        <v>112</v>
      </c>
    </row>
    <row r="24" spans="1:16" ht="12.75" customHeight="1" thickBot="1" x14ac:dyDescent="0.25">
      <c r="A24" s="14" t="str">
        <f t="shared" si="0"/>
        <v>IBVS 4611 </v>
      </c>
      <c r="B24" s="6" t="str">
        <f t="shared" si="1"/>
        <v>II</v>
      </c>
      <c r="C24" s="14">
        <f t="shared" si="2"/>
        <v>50961.8652</v>
      </c>
      <c r="D24" s="19" t="str">
        <f t="shared" si="3"/>
        <v>vis</v>
      </c>
      <c r="E24" s="62">
        <f>VLOOKUP(C24,'Active 1'!C$21:E$973,3,FALSE)</f>
        <v>1208.4532386994945</v>
      </c>
      <c r="F24" s="6" t="s">
        <v>70</v>
      </c>
      <c r="G24" s="19" t="str">
        <f t="shared" si="4"/>
        <v>50961.8652</v>
      </c>
      <c r="H24" s="14">
        <f t="shared" si="5"/>
        <v>-5514.5</v>
      </c>
      <c r="I24" s="63" t="s">
        <v>116</v>
      </c>
      <c r="J24" s="64" t="s">
        <v>117</v>
      </c>
      <c r="K24" s="63">
        <v>-5514.5</v>
      </c>
      <c r="L24" s="63" t="s">
        <v>118</v>
      </c>
      <c r="M24" s="64" t="s">
        <v>75</v>
      </c>
      <c r="N24" s="64" t="s">
        <v>110</v>
      </c>
      <c r="O24" s="65" t="s">
        <v>111</v>
      </c>
      <c r="P24" s="66" t="s">
        <v>112</v>
      </c>
    </row>
    <row r="25" spans="1:16" ht="12.75" customHeight="1" thickBot="1" x14ac:dyDescent="0.25">
      <c r="A25" s="14" t="str">
        <f t="shared" si="0"/>
        <v>IBVS 4611 </v>
      </c>
      <c r="B25" s="6" t="str">
        <f t="shared" si="1"/>
        <v>I</v>
      </c>
      <c r="C25" s="14">
        <f t="shared" si="2"/>
        <v>50966.746599999999</v>
      </c>
      <c r="D25" s="19" t="str">
        <f t="shared" si="3"/>
        <v>vis</v>
      </c>
      <c r="E25" s="62">
        <f>VLOOKUP(C25,'Active 1'!C$21:E$973,3,FALSE)</f>
        <v>1225.9511775459596</v>
      </c>
      <c r="F25" s="6" t="s">
        <v>70</v>
      </c>
      <c r="G25" s="19" t="str">
        <f t="shared" si="4"/>
        <v>50966.7466</v>
      </c>
      <c r="H25" s="14">
        <f t="shared" si="5"/>
        <v>-5497</v>
      </c>
      <c r="I25" s="63" t="s">
        <v>119</v>
      </c>
      <c r="J25" s="64" t="s">
        <v>120</v>
      </c>
      <c r="K25" s="63">
        <v>-5497</v>
      </c>
      <c r="L25" s="63" t="s">
        <v>121</v>
      </c>
      <c r="M25" s="64" t="s">
        <v>75</v>
      </c>
      <c r="N25" s="64" t="s">
        <v>110</v>
      </c>
      <c r="O25" s="65" t="s">
        <v>111</v>
      </c>
      <c r="P25" s="66" t="s">
        <v>112</v>
      </c>
    </row>
    <row r="26" spans="1:16" ht="12.75" customHeight="1" thickBot="1" x14ac:dyDescent="0.25">
      <c r="A26" s="14" t="str">
        <f t="shared" si="0"/>
        <v>IBVS 4611 </v>
      </c>
      <c r="B26" s="6" t="str">
        <f t="shared" si="1"/>
        <v>II</v>
      </c>
      <c r="C26" s="14">
        <f t="shared" si="2"/>
        <v>50966.886200000001</v>
      </c>
      <c r="D26" s="19" t="str">
        <f t="shared" si="3"/>
        <v>vis</v>
      </c>
      <c r="E26" s="62">
        <f>VLOOKUP(C26,'Active 1'!C$21:E$973,3,FALSE)</f>
        <v>1226.4515897766735</v>
      </c>
      <c r="F26" s="6" t="s">
        <v>70</v>
      </c>
      <c r="G26" s="19" t="str">
        <f t="shared" si="4"/>
        <v>50966.8862</v>
      </c>
      <c r="H26" s="14">
        <f t="shared" si="5"/>
        <v>-5496.5</v>
      </c>
      <c r="I26" s="63" t="s">
        <v>122</v>
      </c>
      <c r="J26" s="64" t="s">
        <v>123</v>
      </c>
      <c r="K26" s="63">
        <v>-5496.5</v>
      </c>
      <c r="L26" s="63" t="s">
        <v>124</v>
      </c>
      <c r="M26" s="64" t="s">
        <v>75</v>
      </c>
      <c r="N26" s="64" t="s">
        <v>110</v>
      </c>
      <c r="O26" s="65" t="s">
        <v>111</v>
      </c>
      <c r="P26" s="66" t="s">
        <v>112</v>
      </c>
    </row>
    <row r="27" spans="1:16" ht="12.75" customHeight="1" thickBot="1" x14ac:dyDescent="0.25">
      <c r="A27" s="14" t="str">
        <f t="shared" si="0"/>
        <v>IBVS 5583 </v>
      </c>
      <c r="B27" s="6" t="str">
        <f t="shared" si="1"/>
        <v>I</v>
      </c>
      <c r="C27" s="14">
        <f t="shared" si="2"/>
        <v>52410.357300000003</v>
      </c>
      <c r="D27" s="19" t="str">
        <f t="shared" si="3"/>
        <v>vis</v>
      </c>
      <c r="E27" s="62">
        <f>VLOOKUP(C27,'Active 1'!C$21:E$973,3,FALSE)</f>
        <v>6400.7395060400804</v>
      </c>
      <c r="F27" s="6" t="s">
        <v>70</v>
      </c>
      <c r="G27" s="19" t="str">
        <f t="shared" si="4"/>
        <v>52410.3573</v>
      </c>
      <c r="H27" s="14">
        <f t="shared" si="5"/>
        <v>-322</v>
      </c>
      <c r="I27" s="63" t="s">
        <v>147</v>
      </c>
      <c r="J27" s="64" t="s">
        <v>148</v>
      </c>
      <c r="K27" s="63">
        <v>-322</v>
      </c>
      <c r="L27" s="63" t="s">
        <v>149</v>
      </c>
      <c r="M27" s="64" t="s">
        <v>75</v>
      </c>
      <c r="N27" s="64" t="s">
        <v>110</v>
      </c>
      <c r="O27" s="65" t="s">
        <v>150</v>
      </c>
      <c r="P27" s="66" t="s">
        <v>151</v>
      </c>
    </row>
    <row r="28" spans="1:16" ht="12.75" customHeight="1" thickBot="1" x14ac:dyDescent="0.25">
      <c r="A28" s="14" t="str">
        <f t="shared" si="0"/>
        <v>IBVS 5583 </v>
      </c>
      <c r="B28" s="6" t="str">
        <f t="shared" si="1"/>
        <v>I</v>
      </c>
      <c r="C28" s="14">
        <f t="shared" si="2"/>
        <v>52427.374600000003</v>
      </c>
      <c r="D28" s="19" t="str">
        <f t="shared" si="3"/>
        <v>vis</v>
      </c>
      <c r="E28" s="62">
        <f>VLOOKUP(C28,'Active 1'!C$21:E$973,3,FALSE)</f>
        <v>6461.7399720400063</v>
      </c>
      <c r="F28" s="6" t="s">
        <v>70</v>
      </c>
      <c r="G28" s="19" t="str">
        <f t="shared" si="4"/>
        <v>52427.3746</v>
      </c>
      <c r="H28" s="14">
        <f t="shared" si="5"/>
        <v>-261</v>
      </c>
      <c r="I28" s="63" t="s">
        <v>152</v>
      </c>
      <c r="J28" s="64" t="s">
        <v>153</v>
      </c>
      <c r="K28" s="63">
        <v>-261</v>
      </c>
      <c r="L28" s="63" t="s">
        <v>154</v>
      </c>
      <c r="M28" s="64" t="s">
        <v>75</v>
      </c>
      <c r="N28" s="64" t="s">
        <v>110</v>
      </c>
      <c r="O28" s="65" t="s">
        <v>150</v>
      </c>
      <c r="P28" s="66" t="s">
        <v>151</v>
      </c>
    </row>
    <row r="29" spans="1:16" ht="12.75" customHeight="1" thickBot="1" x14ac:dyDescent="0.25">
      <c r="A29" s="14" t="str">
        <f t="shared" si="0"/>
        <v>IBVS 5645 </v>
      </c>
      <c r="B29" s="6" t="str">
        <f t="shared" si="1"/>
        <v>II</v>
      </c>
      <c r="C29" s="14">
        <f t="shared" si="2"/>
        <v>52872.422200000001</v>
      </c>
      <c r="D29" s="19" t="str">
        <f t="shared" si="3"/>
        <v>vis</v>
      </c>
      <c r="E29" s="62">
        <f>VLOOKUP(C29,'Active 1'!C$21:E$973,3,FALSE)</f>
        <v>8057.0642004516567</v>
      </c>
      <c r="F29" s="6" t="s">
        <v>70</v>
      </c>
      <c r="G29" s="19" t="str">
        <f t="shared" si="4"/>
        <v>52872.4222</v>
      </c>
      <c r="H29" s="14">
        <f t="shared" si="5"/>
        <v>1334.5</v>
      </c>
      <c r="I29" s="63" t="s">
        <v>155</v>
      </c>
      <c r="J29" s="64" t="s">
        <v>156</v>
      </c>
      <c r="K29" s="63">
        <v>1334.5</v>
      </c>
      <c r="L29" s="63" t="s">
        <v>157</v>
      </c>
      <c r="M29" s="64" t="s">
        <v>75</v>
      </c>
      <c r="N29" s="64" t="s">
        <v>110</v>
      </c>
      <c r="O29" s="65" t="s">
        <v>158</v>
      </c>
      <c r="P29" s="66" t="s">
        <v>159</v>
      </c>
    </row>
    <row r="30" spans="1:16" ht="12.75" customHeight="1" thickBot="1" x14ac:dyDescent="0.25">
      <c r="A30" s="14" t="str">
        <f t="shared" si="0"/>
        <v>BAVM 178 </v>
      </c>
      <c r="B30" s="6" t="str">
        <f t="shared" si="1"/>
        <v>I</v>
      </c>
      <c r="C30" s="14">
        <f t="shared" si="2"/>
        <v>53846.468200000003</v>
      </c>
      <c r="D30" s="19" t="str">
        <f t="shared" si="3"/>
        <v>vis</v>
      </c>
      <c r="E30" s="62">
        <f>VLOOKUP(C30,'Active 1'!C$21:E$973,3,FALSE)</f>
        <v>11548.643940208627</v>
      </c>
      <c r="F30" s="6" t="s">
        <v>70</v>
      </c>
      <c r="G30" s="19" t="str">
        <f t="shared" si="4"/>
        <v>53846.4682</v>
      </c>
      <c r="H30" s="14">
        <f t="shared" si="5"/>
        <v>4826</v>
      </c>
      <c r="I30" s="63" t="s">
        <v>160</v>
      </c>
      <c r="J30" s="64" t="s">
        <v>161</v>
      </c>
      <c r="K30" s="63">
        <v>4826</v>
      </c>
      <c r="L30" s="63" t="s">
        <v>162</v>
      </c>
      <c r="M30" s="64" t="s">
        <v>163</v>
      </c>
      <c r="N30" s="67" t="s">
        <v>164</v>
      </c>
      <c r="O30" s="65" t="s">
        <v>165</v>
      </c>
      <c r="P30" s="66" t="s">
        <v>166</v>
      </c>
    </row>
    <row r="31" spans="1:16" ht="12.75" customHeight="1" thickBot="1" x14ac:dyDescent="0.25">
      <c r="A31" s="14" t="str">
        <f t="shared" si="0"/>
        <v>IBVS 5713 </v>
      </c>
      <c r="B31" s="6" t="str">
        <f t="shared" si="1"/>
        <v>I</v>
      </c>
      <c r="C31" s="14">
        <f t="shared" si="2"/>
        <v>53899.469100000002</v>
      </c>
      <c r="D31" s="19" t="str">
        <f t="shared" si="3"/>
        <v>vis</v>
      </c>
      <c r="E31" s="62">
        <f>VLOOKUP(C31,'Active 1'!C$21:E$973,3,FALSE)</f>
        <v>11738.631752518191</v>
      </c>
      <c r="F31" s="6" t="s">
        <v>70</v>
      </c>
      <c r="G31" s="19" t="str">
        <f t="shared" si="4"/>
        <v>53899.4691</v>
      </c>
      <c r="H31" s="14">
        <f t="shared" si="5"/>
        <v>5016</v>
      </c>
      <c r="I31" s="63" t="s">
        <v>167</v>
      </c>
      <c r="J31" s="64" t="s">
        <v>168</v>
      </c>
      <c r="K31" s="63">
        <v>5016</v>
      </c>
      <c r="L31" s="63" t="s">
        <v>169</v>
      </c>
      <c r="M31" s="64" t="s">
        <v>75</v>
      </c>
      <c r="N31" s="64" t="s">
        <v>110</v>
      </c>
      <c r="O31" s="65" t="s">
        <v>170</v>
      </c>
      <c r="P31" s="66" t="s">
        <v>171</v>
      </c>
    </row>
    <row r="32" spans="1:16" ht="12.75" customHeight="1" thickBot="1" x14ac:dyDescent="0.25">
      <c r="A32" s="14" t="str">
        <f t="shared" si="0"/>
        <v>IBVS 5894 </v>
      </c>
      <c r="B32" s="6" t="str">
        <f t="shared" si="1"/>
        <v>I</v>
      </c>
      <c r="C32" s="14">
        <f t="shared" si="2"/>
        <v>54990.775900000001</v>
      </c>
      <c r="D32" s="19" t="str">
        <f t="shared" si="3"/>
        <v>vis</v>
      </c>
      <c r="E32" s="62">
        <f>VLOOKUP(C32,'Active 1'!C$21:E$973,3,FALSE)</f>
        <v>15650.546295300564</v>
      </c>
      <c r="F32" s="6" t="s">
        <v>70</v>
      </c>
      <c r="G32" s="19" t="str">
        <f t="shared" si="4"/>
        <v>54990.7759</v>
      </c>
      <c r="H32" s="14">
        <f t="shared" si="5"/>
        <v>8928</v>
      </c>
      <c r="I32" s="63" t="s">
        <v>178</v>
      </c>
      <c r="J32" s="64" t="s">
        <v>179</v>
      </c>
      <c r="K32" s="63">
        <v>8928</v>
      </c>
      <c r="L32" s="63" t="s">
        <v>180</v>
      </c>
      <c r="M32" s="64" t="s">
        <v>163</v>
      </c>
      <c r="N32" s="64" t="s">
        <v>70</v>
      </c>
      <c r="O32" s="65" t="s">
        <v>128</v>
      </c>
      <c r="P32" s="66" t="s">
        <v>181</v>
      </c>
    </row>
    <row r="33" spans="1:16" ht="12.75" customHeight="1" thickBot="1" x14ac:dyDescent="0.25">
      <c r="A33" s="14" t="str">
        <f t="shared" si="0"/>
        <v>IBVS 5945 </v>
      </c>
      <c r="B33" s="6" t="str">
        <f t="shared" si="1"/>
        <v>I</v>
      </c>
      <c r="C33" s="14">
        <f t="shared" si="2"/>
        <v>55280.895499999999</v>
      </c>
      <c r="D33" s="19" t="str">
        <f t="shared" si="3"/>
        <v>vis</v>
      </c>
      <c r="E33" s="62">
        <f>VLOOKUP(C33,'Active 1'!C$21:E$973,3,FALSE)</f>
        <v>16690.513316844092</v>
      </c>
      <c r="F33" s="6" t="s">
        <v>70</v>
      </c>
      <c r="G33" s="19" t="str">
        <f t="shared" si="4"/>
        <v>55280.8955</v>
      </c>
      <c r="H33" s="14">
        <f t="shared" si="5"/>
        <v>9968</v>
      </c>
      <c r="I33" s="63" t="s">
        <v>182</v>
      </c>
      <c r="J33" s="64" t="s">
        <v>183</v>
      </c>
      <c r="K33" s="63">
        <v>9968</v>
      </c>
      <c r="L33" s="63" t="s">
        <v>184</v>
      </c>
      <c r="M33" s="64" t="s">
        <v>163</v>
      </c>
      <c r="N33" s="64" t="s">
        <v>70</v>
      </c>
      <c r="O33" s="65" t="s">
        <v>128</v>
      </c>
      <c r="P33" s="66" t="s">
        <v>185</v>
      </c>
    </row>
    <row r="34" spans="1:16" ht="12.75" customHeight="1" thickBot="1" x14ac:dyDescent="0.25">
      <c r="A34" s="14" t="str">
        <f t="shared" si="0"/>
        <v>IBVS 5992 </v>
      </c>
      <c r="B34" s="6" t="str">
        <f t="shared" si="1"/>
        <v>I</v>
      </c>
      <c r="C34" s="14">
        <f t="shared" si="2"/>
        <v>55668.928899999999</v>
      </c>
      <c r="D34" s="19" t="str">
        <f t="shared" si="3"/>
        <v>vis</v>
      </c>
      <c r="E34" s="62">
        <f>VLOOKUP(C34,'Active 1'!C$21:E$973,3,FALSE)</f>
        <v>18081.463598236358</v>
      </c>
      <c r="F34" s="6" t="s">
        <v>70</v>
      </c>
      <c r="G34" s="19" t="str">
        <f t="shared" si="4"/>
        <v>55668.9289</v>
      </c>
      <c r="H34" s="14">
        <f t="shared" si="5"/>
        <v>11359</v>
      </c>
      <c r="I34" s="63" t="s">
        <v>186</v>
      </c>
      <c r="J34" s="64" t="s">
        <v>187</v>
      </c>
      <c r="K34" s="63">
        <v>11359</v>
      </c>
      <c r="L34" s="63" t="s">
        <v>188</v>
      </c>
      <c r="M34" s="64" t="s">
        <v>163</v>
      </c>
      <c r="N34" s="64" t="s">
        <v>70</v>
      </c>
      <c r="O34" s="65" t="s">
        <v>128</v>
      </c>
      <c r="P34" s="66" t="s">
        <v>189</v>
      </c>
    </row>
    <row r="35" spans="1:16" ht="12.75" customHeight="1" thickBot="1" x14ac:dyDescent="0.25">
      <c r="A35" s="14" t="str">
        <f t="shared" si="0"/>
        <v>IBVS 6029 </v>
      </c>
      <c r="B35" s="6" t="str">
        <f t="shared" si="1"/>
        <v>II</v>
      </c>
      <c r="C35" s="14">
        <f t="shared" si="2"/>
        <v>56047.899299999997</v>
      </c>
      <c r="D35" s="19" t="str">
        <f t="shared" si="3"/>
        <v>vis</v>
      </c>
      <c r="E35" s="62">
        <f>VLOOKUP(C35,'Active 1'!C$21:E$973,3,FALSE)</f>
        <v>19439.926515395902</v>
      </c>
      <c r="F35" s="6" t="s">
        <v>70</v>
      </c>
      <c r="G35" s="19" t="str">
        <f t="shared" si="4"/>
        <v>56047.8993</v>
      </c>
      <c r="H35" s="14">
        <f t="shared" si="5"/>
        <v>12717.5</v>
      </c>
      <c r="I35" s="63" t="s">
        <v>190</v>
      </c>
      <c r="J35" s="64" t="s">
        <v>191</v>
      </c>
      <c r="K35" s="63">
        <v>12717.5</v>
      </c>
      <c r="L35" s="63" t="s">
        <v>192</v>
      </c>
      <c r="M35" s="64" t="s">
        <v>163</v>
      </c>
      <c r="N35" s="64" t="s">
        <v>70</v>
      </c>
      <c r="O35" s="65" t="s">
        <v>128</v>
      </c>
      <c r="P35" s="66" t="s">
        <v>193</v>
      </c>
    </row>
    <row r="36" spans="1:16" ht="12.75" customHeight="1" thickBot="1" x14ac:dyDescent="0.25">
      <c r="A36" s="14" t="str">
        <f t="shared" si="0"/>
        <v> BBS 120 </v>
      </c>
      <c r="B36" s="6" t="str">
        <f t="shared" si="1"/>
        <v>I</v>
      </c>
      <c r="C36" s="14">
        <f t="shared" si="2"/>
        <v>51358.405299999999</v>
      </c>
      <c r="D36" s="19" t="str">
        <f t="shared" si="3"/>
        <v>vis</v>
      </c>
      <c r="E36" s="62">
        <f>VLOOKUP(C36,'Active 1'!C$21:E$973,3,FALSE)</f>
        <v>2629.8967630927928</v>
      </c>
      <c r="F36" s="6" t="s">
        <v>70</v>
      </c>
      <c r="G36" s="19" t="str">
        <f t="shared" si="4"/>
        <v>51358.4053</v>
      </c>
      <c r="H36" s="14">
        <f t="shared" si="5"/>
        <v>-4093</v>
      </c>
      <c r="I36" s="63" t="s">
        <v>125</v>
      </c>
      <c r="J36" s="64" t="s">
        <v>126</v>
      </c>
      <c r="K36" s="63">
        <v>-4093</v>
      </c>
      <c r="L36" s="63" t="s">
        <v>127</v>
      </c>
      <c r="M36" s="64" t="s">
        <v>75</v>
      </c>
      <c r="N36" s="64" t="s">
        <v>110</v>
      </c>
      <c r="O36" s="65" t="s">
        <v>128</v>
      </c>
      <c r="P36" s="65" t="s">
        <v>129</v>
      </c>
    </row>
    <row r="37" spans="1:16" ht="12.75" customHeight="1" thickBot="1" x14ac:dyDescent="0.25">
      <c r="A37" s="14" t="str">
        <f t="shared" si="0"/>
        <v> BBS 121 </v>
      </c>
      <c r="B37" s="6" t="str">
        <f t="shared" si="1"/>
        <v>I</v>
      </c>
      <c r="C37" s="14">
        <f t="shared" si="2"/>
        <v>51425.353000000003</v>
      </c>
      <c r="D37" s="19" t="str">
        <f t="shared" si="3"/>
        <v>vis</v>
      </c>
      <c r="E37" s="62">
        <f>VLOOKUP(C37,'Active 1'!C$21:E$973,3,FALSE)</f>
        <v>2869.8784815571589</v>
      </c>
      <c r="F37" s="6" t="s">
        <v>70</v>
      </c>
      <c r="G37" s="19" t="str">
        <f t="shared" si="4"/>
        <v>51425.353</v>
      </c>
      <c r="H37" s="14">
        <f t="shared" si="5"/>
        <v>-3853</v>
      </c>
      <c r="I37" s="63" t="s">
        <v>130</v>
      </c>
      <c r="J37" s="64" t="s">
        <v>131</v>
      </c>
      <c r="K37" s="63">
        <v>-3853</v>
      </c>
      <c r="L37" s="63" t="s">
        <v>132</v>
      </c>
      <c r="M37" s="64" t="s">
        <v>75</v>
      </c>
      <c r="N37" s="64" t="s">
        <v>110</v>
      </c>
      <c r="O37" s="65" t="s">
        <v>133</v>
      </c>
      <c r="P37" s="65" t="s">
        <v>134</v>
      </c>
    </row>
    <row r="38" spans="1:16" ht="12.75" customHeight="1" thickBot="1" x14ac:dyDescent="0.25">
      <c r="A38" s="14" t="str">
        <f t="shared" si="0"/>
        <v> BBS 123 </v>
      </c>
      <c r="B38" s="6" t="str">
        <f t="shared" si="1"/>
        <v>I</v>
      </c>
      <c r="C38" s="14">
        <f t="shared" si="2"/>
        <v>51722.445699999997</v>
      </c>
      <c r="D38" s="19" t="str">
        <f t="shared" si="3"/>
        <v>vis</v>
      </c>
      <c r="E38" s="62">
        <f>VLOOKUP(C38,'Active 1'!C$21:E$973,3,FALSE)</f>
        <v>3934.8413807936136</v>
      </c>
      <c r="F38" s="6" t="s">
        <v>70</v>
      </c>
      <c r="G38" s="19" t="str">
        <f t="shared" si="4"/>
        <v>51722.4457</v>
      </c>
      <c r="H38" s="14">
        <f t="shared" si="5"/>
        <v>-2788</v>
      </c>
      <c r="I38" s="63" t="s">
        <v>135</v>
      </c>
      <c r="J38" s="64" t="s">
        <v>136</v>
      </c>
      <c r="K38" s="63">
        <v>-2788</v>
      </c>
      <c r="L38" s="63" t="s">
        <v>137</v>
      </c>
      <c r="M38" s="64" t="s">
        <v>75</v>
      </c>
      <c r="N38" s="64" t="s">
        <v>110</v>
      </c>
      <c r="O38" s="65" t="s">
        <v>128</v>
      </c>
      <c r="P38" s="65" t="s">
        <v>138</v>
      </c>
    </row>
    <row r="39" spans="1:16" ht="12.75" customHeight="1" thickBot="1" x14ac:dyDescent="0.25">
      <c r="A39" s="14" t="str">
        <f t="shared" si="0"/>
        <v> BBS 125 </v>
      </c>
      <c r="B39" s="6" t="str">
        <f t="shared" si="1"/>
        <v>II</v>
      </c>
      <c r="C39" s="14">
        <f t="shared" si="2"/>
        <v>52053.433599999997</v>
      </c>
      <c r="D39" s="19" t="str">
        <f t="shared" si="3"/>
        <v>vis</v>
      </c>
      <c r="E39" s="62">
        <f>VLOOKUP(C39,'Active 1'!C$21:E$973,3,FALSE)</f>
        <v>5121.3055167222083</v>
      </c>
      <c r="F39" s="6" t="s">
        <v>70</v>
      </c>
      <c r="G39" s="19" t="str">
        <f t="shared" si="4"/>
        <v>52053.4336</v>
      </c>
      <c r="H39" s="14">
        <f t="shared" si="5"/>
        <v>-1601.5</v>
      </c>
      <c r="I39" s="63" t="s">
        <v>139</v>
      </c>
      <c r="J39" s="64" t="s">
        <v>140</v>
      </c>
      <c r="K39" s="63">
        <v>-1601.5</v>
      </c>
      <c r="L39" s="63" t="s">
        <v>141</v>
      </c>
      <c r="M39" s="64" t="s">
        <v>75</v>
      </c>
      <c r="N39" s="64" t="s">
        <v>110</v>
      </c>
      <c r="O39" s="65" t="s">
        <v>128</v>
      </c>
      <c r="P39" s="65" t="s">
        <v>142</v>
      </c>
    </row>
    <row r="40" spans="1:16" ht="12.75" customHeight="1" thickBot="1" x14ac:dyDescent="0.25">
      <c r="A40" s="14" t="str">
        <f t="shared" si="0"/>
        <v> BBS 128 </v>
      </c>
      <c r="B40" s="6" t="str">
        <f t="shared" si="1"/>
        <v>II</v>
      </c>
      <c r="C40" s="14">
        <f t="shared" si="2"/>
        <v>52362.514000000003</v>
      </c>
      <c r="D40" s="19" t="str">
        <f t="shared" si="3"/>
        <v>vis</v>
      </c>
      <c r="E40" s="62">
        <f>VLOOKUP(C40,'Active 1'!C$21:E$973,3,FALSE)</f>
        <v>6229.2397031938945</v>
      </c>
      <c r="F40" s="6" t="s">
        <v>70</v>
      </c>
      <c r="G40" s="19" t="str">
        <f t="shared" si="4"/>
        <v>52362.514</v>
      </c>
      <c r="H40" s="14">
        <f t="shared" si="5"/>
        <v>-493.5</v>
      </c>
      <c r="I40" s="63" t="s">
        <v>143</v>
      </c>
      <c r="J40" s="64" t="s">
        <v>144</v>
      </c>
      <c r="K40" s="63">
        <v>-493.5</v>
      </c>
      <c r="L40" s="63" t="s">
        <v>145</v>
      </c>
      <c r="M40" s="64" t="s">
        <v>75</v>
      </c>
      <c r="N40" s="64" t="s">
        <v>110</v>
      </c>
      <c r="O40" s="65" t="s">
        <v>128</v>
      </c>
      <c r="P40" s="65" t="s">
        <v>146</v>
      </c>
    </row>
    <row r="41" spans="1:16" ht="12.75" customHeight="1" thickBot="1" x14ac:dyDescent="0.25">
      <c r="A41" s="14" t="str">
        <f t="shared" si="0"/>
        <v>VSB 50 </v>
      </c>
      <c r="B41" s="6" t="str">
        <f t="shared" si="1"/>
        <v>II</v>
      </c>
      <c r="C41" s="14">
        <f t="shared" si="2"/>
        <v>54931.216800000002</v>
      </c>
      <c r="D41" s="19" t="str">
        <f t="shared" si="3"/>
        <v>vis</v>
      </c>
      <c r="E41" s="62">
        <f>VLOOKUP(C41,'Active 1'!C$21:E$973,3,FALSE)</f>
        <v>15437.049861992329</v>
      </c>
      <c r="F41" s="6" t="s">
        <v>70</v>
      </c>
      <c r="G41" s="19" t="str">
        <f t="shared" si="4"/>
        <v>54931.2168</v>
      </c>
      <c r="H41" s="14">
        <f t="shared" si="5"/>
        <v>8714.5</v>
      </c>
      <c r="I41" s="63" t="s">
        <v>172</v>
      </c>
      <c r="J41" s="64" t="s">
        <v>173</v>
      </c>
      <c r="K41" s="63">
        <v>8714.5</v>
      </c>
      <c r="L41" s="63" t="s">
        <v>174</v>
      </c>
      <c r="M41" s="64" t="s">
        <v>163</v>
      </c>
      <c r="N41" s="64" t="s">
        <v>175</v>
      </c>
      <c r="O41" s="65" t="s">
        <v>176</v>
      </c>
      <c r="P41" s="66" t="s">
        <v>177</v>
      </c>
    </row>
    <row r="42" spans="1:16" x14ac:dyDescent="0.2">
      <c r="B42" s="6"/>
      <c r="F42" s="6"/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</sheetData>
  <phoneticPr fontId="7" type="noConversion"/>
  <hyperlinks>
    <hyperlink ref="P11" r:id="rId1" display="http://www.konkoly.hu/cgi-bin/IBVS?4504"/>
    <hyperlink ref="P12" r:id="rId2" display="http://www.konkoly.hu/cgi-bin/IBVS?4504"/>
    <hyperlink ref="P13" r:id="rId3" display="http://www.konkoly.hu/cgi-bin/IBVS?4504"/>
    <hyperlink ref="P14" r:id="rId4" display="http://www.konkoly.hu/cgi-bin/IBVS?4504"/>
    <hyperlink ref="P15" r:id="rId5" display="http://www.konkoly.hu/cgi-bin/IBVS?4504"/>
    <hyperlink ref="P16" r:id="rId6" display="http://www.konkoly.hu/cgi-bin/IBVS?4504"/>
    <hyperlink ref="P17" r:id="rId7" display="http://www.konkoly.hu/cgi-bin/IBVS?4504"/>
    <hyperlink ref="P18" r:id="rId8" display="http://www.konkoly.hu/cgi-bin/IBVS?4504"/>
    <hyperlink ref="P19" r:id="rId9" display="http://www.konkoly.hu/cgi-bin/IBVS?4504"/>
    <hyperlink ref="P20" r:id="rId10" display="http://www.konkoly.hu/cgi-bin/IBVS?4504"/>
    <hyperlink ref="P21" r:id="rId11" display="http://www.konkoly.hu/cgi-bin/IBVS?4504"/>
    <hyperlink ref="P22" r:id="rId12" display="http://www.konkoly.hu/cgi-bin/IBVS?4611"/>
    <hyperlink ref="P23" r:id="rId13" display="http://www.konkoly.hu/cgi-bin/IBVS?4611"/>
    <hyperlink ref="P24" r:id="rId14" display="http://www.konkoly.hu/cgi-bin/IBVS?4611"/>
    <hyperlink ref="P25" r:id="rId15" display="http://www.konkoly.hu/cgi-bin/IBVS?4611"/>
    <hyperlink ref="P26" r:id="rId16" display="http://www.konkoly.hu/cgi-bin/IBVS?4611"/>
    <hyperlink ref="P27" r:id="rId17" display="http://www.konkoly.hu/cgi-bin/IBVS?5583"/>
    <hyperlink ref="P28" r:id="rId18" display="http://www.konkoly.hu/cgi-bin/IBVS?5583"/>
    <hyperlink ref="P29" r:id="rId19" display="http://www.konkoly.hu/cgi-bin/IBVS?5645"/>
    <hyperlink ref="P30" r:id="rId20" display="http://www.bav-astro.de/sfs/BAVM_link.php?BAVMnr=178"/>
    <hyperlink ref="P31" r:id="rId21" display="http://www.konkoly.hu/cgi-bin/IBVS?5713"/>
    <hyperlink ref="P41" r:id="rId22" display="http://vsolj.cetus-net.org/vsoljno50.pdf"/>
    <hyperlink ref="P32" r:id="rId23" display="http://www.konkoly.hu/cgi-bin/IBVS?5894"/>
    <hyperlink ref="P33" r:id="rId24" display="http://www.konkoly.hu/cgi-bin/IBVS?5945"/>
    <hyperlink ref="P34" r:id="rId25" display="http://www.konkoly.hu/cgi-bin/IBVS?5992"/>
    <hyperlink ref="P35" r:id="rId2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2024-02-14T04:33:04Z</dcterms:modified>
</cp:coreProperties>
</file>