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3902B00-2E29-4475-BB0F-FE7A0E0E6873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/>
  <c r="G45" i="1"/>
  <c r="I45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40" i="1"/>
  <c r="F40" i="1"/>
  <c r="G40" i="1"/>
  <c r="J40" i="1"/>
  <c r="E22" i="1"/>
  <c r="F22" i="1"/>
  <c r="G22" i="1"/>
  <c r="I22" i="1"/>
  <c r="E23" i="1"/>
  <c r="F23" i="1"/>
  <c r="G23" i="1"/>
  <c r="I23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21" i="1"/>
  <c r="F21" i="1"/>
  <c r="U21" i="1"/>
  <c r="E30" i="1"/>
  <c r="F30" i="1"/>
  <c r="Q45" i="1"/>
  <c r="Q24" i="1"/>
  <c r="Q25" i="1"/>
  <c r="Q26" i="1"/>
  <c r="Q27" i="1"/>
  <c r="Q28" i="1"/>
  <c r="Q29" i="1"/>
  <c r="Q40" i="1"/>
  <c r="G12" i="2"/>
  <c r="C12" i="2"/>
  <c r="E12" i="2"/>
  <c r="G22" i="2"/>
  <c r="C22" i="2"/>
  <c r="E22" i="2"/>
  <c r="G21" i="2"/>
  <c r="C21" i="2"/>
  <c r="E21" i="2"/>
  <c r="G20" i="2"/>
  <c r="C20" i="2"/>
  <c r="E20" i="2"/>
  <c r="G19" i="2"/>
  <c r="C19" i="2"/>
  <c r="E19" i="2"/>
  <c r="G29" i="2"/>
  <c r="C29" i="2"/>
  <c r="E2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1" i="2"/>
  <c r="C11" i="2"/>
  <c r="E11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H12" i="2"/>
  <c r="D12" i="2"/>
  <c r="B12" i="2"/>
  <c r="A12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29" i="2"/>
  <c r="B29" i="2"/>
  <c r="D29" i="2"/>
  <c r="A2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1" i="2"/>
  <c r="D11" i="2"/>
  <c r="B11" i="2"/>
  <c r="A11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F11" i="1"/>
  <c r="Q39" i="1"/>
  <c r="Q41" i="1"/>
  <c r="Q43" i="1"/>
  <c r="Q44" i="1"/>
  <c r="G11" i="1"/>
  <c r="E14" i="1"/>
  <c r="C17" i="1"/>
  <c r="Q42" i="1"/>
  <c r="Q38" i="1"/>
  <c r="Q36" i="1"/>
  <c r="Q37" i="1"/>
  <c r="Q33" i="1"/>
  <c r="Q21" i="1"/>
  <c r="Q22" i="1"/>
  <c r="Q23" i="1"/>
  <c r="Q31" i="1"/>
  <c r="Q32" i="1"/>
  <c r="Q34" i="1"/>
  <c r="Q35" i="1"/>
  <c r="Q30" i="1"/>
  <c r="C12" i="1"/>
  <c r="C16" i="1" l="1"/>
  <c r="D18" i="1" s="1"/>
  <c r="E15" i="1"/>
  <c r="C11" i="1"/>
  <c r="O27" i="1" l="1"/>
  <c r="O25" i="1"/>
  <c r="O29" i="1"/>
  <c r="O31" i="1"/>
  <c r="O35" i="1"/>
  <c r="O23" i="1"/>
  <c r="O41" i="1"/>
  <c r="O22" i="1"/>
  <c r="O44" i="1"/>
  <c r="O26" i="1"/>
  <c r="O34" i="1"/>
  <c r="O37" i="1"/>
  <c r="O24" i="1"/>
  <c r="O43" i="1"/>
  <c r="O28" i="1"/>
  <c r="O39" i="1"/>
  <c r="O30" i="1"/>
  <c r="O21" i="1"/>
  <c r="O40" i="1"/>
  <c r="C15" i="1"/>
  <c r="O42" i="1"/>
  <c r="O33" i="1"/>
  <c r="O32" i="1"/>
  <c r="O36" i="1"/>
  <c r="O45" i="1"/>
  <c r="O38" i="1"/>
  <c r="C18" i="1" l="1"/>
  <c r="E16" i="1"/>
  <c r="E17" i="1" s="1"/>
</calcChain>
</file>

<file path=xl/sharedStrings.xml><?xml version="1.0" encoding="utf-8"?>
<sst xmlns="http://schemas.openxmlformats.org/spreadsheetml/2006/main" count="271" uniqueCount="156">
  <si>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</si>
  <si>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</si>
  <si>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</si>
  <si>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</si>
  <si>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</si>
  <si>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</si>
  <si>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</si>
  <si>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</si>
  <si>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</si>
  <si>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</si>
  <si>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</si>
  <si>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</si>
  <si>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</si>
  <si>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</si>
  <si>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</si>
  <si>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</si>
  <si>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</si>
  <si>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</si>
  <si>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</si>
  <si>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</si>
  <si>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</si>
  <si>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</si>
  <si>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</si>
  <si>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</si>
  <si>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</si>
  <si>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</si>
  <si>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</si>
  <si>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</si>
  <si>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</si>
  <si>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not avail.</t>
  </si>
  <si>
    <t># of data points:</t>
  </si>
  <si>
    <t>IBVS 5438</t>
  </si>
  <si>
    <t>II</t>
  </si>
  <si>
    <t>IBVS 5653</t>
  </si>
  <si>
    <t>I</t>
  </si>
  <si>
    <t>IBVS 5713</t>
  </si>
  <si>
    <t>ASAS</t>
  </si>
  <si>
    <t>V1039 Her / GSC 01522-00599</t>
  </si>
  <si>
    <t>IBVS 5060</t>
  </si>
  <si>
    <t>IBVS 5146</t>
  </si>
  <si>
    <t>EA/RS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</si>
  <si>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</si>
  <si>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</si>
  <si>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</si>
  <si>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</si>
  <si>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</si>
  <si>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</si>
  <si>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</si>
  <si>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IBVS 5802</t>
  </si>
  <si>
    <t>Start of linear fit &gt;&gt;&gt;&gt;&gt;&gt;&gt;&gt;&gt;&gt;&gt;&gt;&gt;&gt;&gt;&gt;&gt;&gt;&gt;&gt;&gt;</t>
  </si>
  <si>
    <t>IBVS 5871</t>
  </si>
  <si>
    <t>IBVS 5920</t>
  </si>
  <si>
    <t>Add cycle</t>
  </si>
  <si>
    <t>Old Cycle</t>
  </si>
  <si>
    <t>IBVS 5918</t>
  </si>
  <si>
    <t>IBVS 5959</t>
  </si>
  <si>
    <t>IBVS 5992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</si>
  <si>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</si>
  <si>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</si>
  <si>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</si>
  <si>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</si>
  <si>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</si>
  <si>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</si>
  <si>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</si>
  <si>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</si>
  <si>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</si>
  <si>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</si>
  <si>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</si>
  <si>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</si>
  <si>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2452065.4901 </t>
  </si>
  <si>
    <t> 04.06.2001 23:45 </t>
  </si>
  <si>
    <t> -0.0011 </t>
  </si>
  <si>
    <t>E </t>
  </si>
  <si>
    <t>?</t>
  </si>
  <si>
    <t> E.Blättler </t>
  </si>
  <si>
    <t> BBS 126 </t>
  </si>
  <si>
    <t>2452075.3932 </t>
  </si>
  <si>
    <t> 14.06.2001 21:26 </t>
  </si>
  <si>
    <t> 0.0007 </t>
  </si>
  <si>
    <t>2452426.5097 </t>
  </si>
  <si>
    <t> 01.06.2002 00:13 </t>
  </si>
  <si>
    <t> -0.0001 </t>
  </si>
  <si>
    <t> BBS 128 </t>
  </si>
  <si>
    <t>2452442.5037 </t>
  </si>
  <si>
    <t> 17.06.2002 00:05 </t>
  </si>
  <si>
    <t> -0.0005 </t>
  </si>
  <si>
    <t>2452463.5755 </t>
  </si>
  <si>
    <t> 08.07.2002 01:48 </t>
  </si>
  <si>
    <t> -0.0009 </t>
  </si>
  <si>
    <t>2452483.3802 </t>
  </si>
  <si>
    <t> 27.07.2002 21:07 </t>
  </si>
  <si>
    <t> 0.0011 </t>
  </si>
  <si>
    <t>2452764.4265 </t>
  </si>
  <si>
    <t> 04.05.2003 22:14 </t>
  </si>
  <si>
    <t> 0.0013 </t>
  </si>
  <si>
    <t> BBS 129 </t>
  </si>
  <si>
    <t>2453236.3893 </t>
  </si>
  <si>
    <t> 18.08.2004 21:20 </t>
  </si>
  <si>
    <t> -0.0004 </t>
  </si>
  <si>
    <t>IBVS 5653 </t>
  </si>
  <si>
    <t>2453614.4171 </t>
  </si>
  <si>
    <t> 31.08.2005 22:00 </t>
  </si>
  <si>
    <t> -0.0012 </t>
  </si>
  <si>
    <t>IBVS 5713 </t>
  </si>
  <si>
    <t>2453917.5532 </t>
  </si>
  <si>
    <t> 01.07.2006 01:16 </t>
  </si>
  <si>
    <t> 0.0012 </t>
  </si>
  <si>
    <t>2454210.5300 </t>
  </si>
  <si>
    <t> 20.04.2007 00:43 </t>
  </si>
  <si>
    <t>C </t>
  </si>
  <si>
    <t>o</t>
  </si>
  <si>
    <t> BBS 133 (=IBVS 5781) </t>
  </si>
  <si>
    <t>2454219.4172 </t>
  </si>
  <si>
    <t> 28.04.2007 22:00 </t>
  </si>
  <si>
    <t> 0.0009 </t>
  </si>
  <si>
    <t>-I</t>
  </si>
  <si>
    <t> F.Agerer </t>
  </si>
  <si>
    <t>BAVM 186 </t>
  </si>
  <si>
    <t>2454697.473 </t>
  </si>
  <si>
    <t> 18.08.2008 23:21 </t>
  </si>
  <si>
    <t>4327.5</t>
  </si>
  <si>
    <t> -0.001 </t>
  </si>
  <si>
    <t>IBVS 5871 </t>
  </si>
  <si>
    <t>2454709.4056 </t>
  </si>
  <si>
    <t> 30.08.2008 21:44 </t>
  </si>
  <si>
    <t>4351</t>
  </si>
  <si>
    <t> -0.0008 </t>
  </si>
  <si>
    <t>BAVM 203 </t>
  </si>
  <si>
    <t>2454971.4130 </t>
  </si>
  <si>
    <t> 19.05.2009 21:54 </t>
  </si>
  <si>
    <t>4867</t>
  </si>
  <si>
    <t> 0.0016 </t>
  </si>
  <si>
    <t>BAVM 209 </t>
  </si>
  <si>
    <t>2455049.3515 </t>
  </si>
  <si>
    <t> 05.08.2009 20:26 </t>
  </si>
  <si>
    <t>5020.5</t>
  </si>
  <si>
    <t> -0.0013 </t>
  </si>
  <si>
    <t>IBVS 5920 </t>
  </si>
  <si>
    <t>2455352.4844 </t>
  </si>
  <si>
    <t> 04.06.2010 23:37 </t>
  </si>
  <si>
    <t>5617.5</t>
  </si>
  <si>
    <t> -0.0021 </t>
  </si>
  <si>
    <t>BAVM 214 </t>
  </si>
  <si>
    <t>2455672.8779 </t>
  </si>
  <si>
    <t> 21.04.2011 09:04 </t>
  </si>
  <si>
    <t>6248.5</t>
  </si>
  <si>
    <t> -0.0063 </t>
  </si>
  <si>
    <t> R.Diethelm </t>
  </si>
  <si>
    <t>IBVS 5992 </t>
  </si>
  <si>
    <t>2457135.4872 </t>
  </si>
  <si>
    <t> 22.04.2015 23:41 </t>
  </si>
  <si>
    <t>9129</t>
  </si>
  <si>
    <t> -0.0046 </t>
  </si>
  <si>
    <t> W.Moschner &amp; P.Frank </t>
  </si>
  <si>
    <t>BAVM 241 (=IBVS 6157)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</si>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</sst>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V1039 Her - O-C Diagr.</a:t>
            </a:r>
          </a:p>
        </c:rich>
      </c:tx>
      <c:layout>
        <c:manualLayout>
          <c:xMode val="edge"/>
          <c:yMode val="edge"/>
          <c:x val="0.3602588206361119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DE-4DAC-8EB8-CF6A7D82040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-3.9800000085961074E-3</c:v>
                </c:pt>
                <c:pt idx="2">
                  <c:v>-5.8599999974831007E-3</c:v>
                </c:pt>
                <c:pt idx="10">
                  <c:v>0</c:v>
                </c:pt>
                <c:pt idx="11">
                  <c:v>-1.1999999696854502E-4</c:v>
                </c:pt>
                <c:pt idx="12">
                  <c:v>-1.1999999696854502E-4</c:v>
                </c:pt>
                <c:pt idx="13">
                  <c:v>3.5999999818159267E-4</c:v>
                </c:pt>
                <c:pt idx="14">
                  <c:v>3.7400000001071021E-3</c:v>
                </c:pt>
                <c:pt idx="15">
                  <c:v>3.0199999964679591E-3</c:v>
                </c:pt>
                <c:pt idx="16">
                  <c:v>4.42000000475673E-3</c:v>
                </c:pt>
                <c:pt idx="17">
                  <c:v>4.1799999962677248E-3</c:v>
                </c:pt>
                <c:pt idx="18">
                  <c:v>4.1799999962677248E-3</c:v>
                </c:pt>
                <c:pt idx="20">
                  <c:v>7.6600000029429793E-3</c:v>
                </c:pt>
                <c:pt idx="21">
                  <c:v>4.9999999973806553E-3</c:v>
                </c:pt>
                <c:pt idx="22">
                  <c:v>5.1800000001094304E-3</c:v>
                </c:pt>
                <c:pt idx="23">
                  <c:v>2.1199999973759986E-3</c:v>
                </c:pt>
                <c:pt idx="24">
                  <c:v>8.740000004763715E-3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DE-4DAC-8EB8-CF6A7D82040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3">
                  <c:v>-4.7599999961676076E-3</c:v>
                </c:pt>
                <c:pt idx="4">
                  <c:v>-2.9800000047544017E-3</c:v>
                </c:pt>
                <c:pt idx="5">
                  <c:v>-2.5200000018230639E-3</c:v>
                </c:pt>
                <c:pt idx="6">
                  <c:v>-2.9599999979836866E-3</c:v>
                </c:pt>
                <c:pt idx="7">
                  <c:v>-3.1999999991967343E-3</c:v>
                </c:pt>
                <c:pt idx="8">
                  <c:v>-1.1400000003050081E-3</c:v>
                </c:pt>
                <c:pt idx="19">
                  <c:v>4.4199999974807724E-3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DE-4DAC-8EB8-CF6A7D82040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DE-4DAC-8EB8-CF6A7D82040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DE-4DAC-8EB8-CF6A7D82040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DE-4DAC-8EB8-CF6A7D82040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DE-4DAC-8EB8-CF6A7D82040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-5.1639779540962197E-3</c:v>
                </c:pt>
                <c:pt idx="1">
                  <c:v>-5.0367311642285778E-3</c:v>
                </c:pt>
                <c:pt idx="2">
                  <c:v>-3.1108872616203796E-3</c:v>
                </c:pt>
                <c:pt idx="3">
                  <c:v>-3.1108872616203796E-3</c:v>
                </c:pt>
                <c:pt idx="4">
                  <c:v>-3.0851741797300269E-3</c:v>
                </c:pt>
                <c:pt idx="5">
                  <c:v>-2.1733487373106026E-3</c:v>
                </c:pt>
                <c:pt idx="6">
                  <c:v>-2.1318122204108023E-3</c:v>
                </c:pt>
                <c:pt idx="7">
                  <c:v>-2.0770895076697958E-3</c:v>
                </c:pt>
                <c:pt idx="8">
                  <c:v>-2.0256633438890904E-3</c:v>
                </c:pt>
                <c:pt idx="9">
                  <c:v>-1.4507452052124905E-3</c:v>
                </c:pt>
                <c:pt idx="10">
                  <c:v>-1.295807404078315E-3</c:v>
                </c:pt>
                <c:pt idx="11">
                  <c:v>-7.0150500638177776E-5</c:v>
                </c:pt>
                <c:pt idx="12">
                  <c:v>-7.0150500638177776E-5</c:v>
                </c:pt>
                <c:pt idx="13">
                  <c:v>9.1156177973964045E-4</c:v>
                </c:pt>
                <c:pt idx="14">
                  <c:v>1.6987776714596642E-3</c:v>
                </c:pt>
                <c:pt idx="15">
                  <c:v>2.4596211714972751E-3</c:v>
                </c:pt>
                <c:pt idx="16">
                  <c:v>2.4826970142193864E-3</c:v>
                </c:pt>
                <c:pt idx="17">
                  <c:v>3.7241773526689712E-3</c:v>
                </c:pt>
                <c:pt idx="18">
                  <c:v>3.7241773526689712E-3</c:v>
                </c:pt>
                <c:pt idx="19">
                  <c:v>3.7551649128958063E-3</c:v>
                </c:pt>
                <c:pt idx="20">
                  <c:v>4.4355726183020576E-3</c:v>
                </c:pt>
                <c:pt idx="21">
                  <c:v>4.6379807244645768E-3</c:v>
                </c:pt>
                <c:pt idx="22">
                  <c:v>5.4251966161846001E-3</c:v>
                </c:pt>
                <c:pt idx="23">
                  <c:v>6.2572455737647248E-3</c:v>
                </c:pt>
                <c:pt idx="24">
                  <c:v>1.0055529285824236E-2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DE-4DAC-8EB8-CF6A7D820400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  <c:pt idx="0">
                  <c:v>5.4599999930360354E-3</c:v>
                </c:pt>
                <c:pt idx="9">
                  <c:v>-8.4699999999429565E-2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DE-4DAC-8EB8-CF6A7D820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17800"/>
        <c:axId val="1"/>
      </c:scatterChart>
      <c:valAx>
        <c:axId val="682517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517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4921861831491"/>
          <c:w val="0.8255257188166502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V1039 Her - O-C Diagr.</a:t>
            </a:r>
          </a:p>
        </c:rich>
      </c:tx>
      <c:layout>
        <c:manualLayout>
          <c:xMode val="edge"/>
          <c:yMode val="edge"/>
          <c:x val="0.359677419354838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0-4D41-88DC-29C95A266DB8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-3.9800000085961074E-3</c:v>
                </c:pt>
                <c:pt idx="2">
                  <c:v>-5.8599999974831007E-3</c:v>
                </c:pt>
                <c:pt idx="10">
                  <c:v>0</c:v>
                </c:pt>
                <c:pt idx="11">
                  <c:v>-1.1999999696854502E-4</c:v>
                </c:pt>
                <c:pt idx="12">
                  <c:v>-1.1999999696854502E-4</c:v>
                </c:pt>
                <c:pt idx="13">
                  <c:v>3.5999999818159267E-4</c:v>
                </c:pt>
                <c:pt idx="14">
                  <c:v>3.7400000001071021E-3</c:v>
                </c:pt>
                <c:pt idx="15">
                  <c:v>3.0199999964679591E-3</c:v>
                </c:pt>
                <c:pt idx="16">
                  <c:v>4.42000000475673E-3</c:v>
                </c:pt>
                <c:pt idx="17">
                  <c:v>4.1799999962677248E-3</c:v>
                </c:pt>
                <c:pt idx="18">
                  <c:v>4.1799999962677248E-3</c:v>
                </c:pt>
                <c:pt idx="20">
                  <c:v>7.6600000029429793E-3</c:v>
                </c:pt>
                <c:pt idx="21">
                  <c:v>4.9999999973806553E-3</c:v>
                </c:pt>
                <c:pt idx="22">
                  <c:v>5.1800000001094304E-3</c:v>
                </c:pt>
                <c:pt idx="23">
                  <c:v>2.1199999973759986E-3</c:v>
                </c:pt>
                <c:pt idx="24">
                  <c:v>8.740000004763715E-3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0-4D41-88DC-29C95A266DB8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3">
                  <c:v>-4.7599999961676076E-3</c:v>
                </c:pt>
                <c:pt idx="4">
                  <c:v>-2.9800000047544017E-3</c:v>
                </c:pt>
                <c:pt idx="5">
                  <c:v>-2.5200000018230639E-3</c:v>
                </c:pt>
                <c:pt idx="6">
                  <c:v>-2.9599999979836866E-3</c:v>
                </c:pt>
                <c:pt idx="7">
                  <c:v>-3.1999999991967343E-3</c:v>
                </c:pt>
                <c:pt idx="8">
                  <c:v>-1.1400000003050081E-3</c:v>
                </c:pt>
                <c:pt idx="19">
                  <c:v>4.4199999974807724E-3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B0-4D41-88DC-29C95A266DB8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B0-4D41-88DC-29C95A266DB8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B0-4D41-88DC-29C95A266DB8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B0-4D41-88DC-29C95A266DB8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5.9999999999999995E-4</c:v>
                  </c:pt>
                  <c:pt idx="15">
                    <c:v>4.0000000000000002E-4</c:v>
                  </c:pt>
                  <c:pt idx="16">
                    <c:v>1.6999999999999999E-3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0</c:v>
                  </c:pt>
                  <c:pt idx="20">
                    <c:v>5.0000000000000001E-4</c:v>
                  </c:pt>
                  <c:pt idx="21">
                    <c:v>4.0000000000000002E-4</c:v>
                  </c:pt>
                  <c:pt idx="22">
                    <c:v>1.1000000000000001E-3</c:v>
                  </c:pt>
                  <c:pt idx="23">
                    <c:v>1.1000000000000001E-3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B0-4D41-88DC-29C95A266DB8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-5.1639779540962197E-3</c:v>
                </c:pt>
                <c:pt idx="1">
                  <c:v>-5.0367311642285778E-3</c:v>
                </c:pt>
                <c:pt idx="2">
                  <c:v>-3.1108872616203796E-3</c:v>
                </c:pt>
                <c:pt idx="3">
                  <c:v>-3.1108872616203796E-3</c:v>
                </c:pt>
                <c:pt idx="4">
                  <c:v>-3.0851741797300269E-3</c:v>
                </c:pt>
                <c:pt idx="5">
                  <c:v>-2.1733487373106026E-3</c:v>
                </c:pt>
                <c:pt idx="6">
                  <c:v>-2.1318122204108023E-3</c:v>
                </c:pt>
                <c:pt idx="7">
                  <c:v>-2.0770895076697958E-3</c:v>
                </c:pt>
                <c:pt idx="8">
                  <c:v>-2.0256633438890904E-3</c:v>
                </c:pt>
                <c:pt idx="9">
                  <c:v>-1.4507452052124905E-3</c:v>
                </c:pt>
                <c:pt idx="10">
                  <c:v>-1.295807404078315E-3</c:v>
                </c:pt>
                <c:pt idx="11">
                  <c:v>-7.0150500638177776E-5</c:v>
                </c:pt>
                <c:pt idx="12">
                  <c:v>-7.0150500638177776E-5</c:v>
                </c:pt>
                <c:pt idx="13">
                  <c:v>9.1156177973964045E-4</c:v>
                </c:pt>
                <c:pt idx="14">
                  <c:v>1.6987776714596642E-3</c:v>
                </c:pt>
                <c:pt idx="15">
                  <c:v>2.4596211714972751E-3</c:v>
                </c:pt>
                <c:pt idx="16">
                  <c:v>2.4826970142193864E-3</c:v>
                </c:pt>
                <c:pt idx="17">
                  <c:v>3.7241773526689712E-3</c:v>
                </c:pt>
                <c:pt idx="18">
                  <c:v>3.7241773526689712E-3</c:v>
                </c:pt>
                <c:pt idx="19">
                  <c:v>3.7551649128958063E-3</c:v>
                </c:pt>
                <c:pt idx="20">
                  <c:v>4.4355726183020576E-3</c:v>
                </c:pt>
                <c:pt idx="21">
                  <c:v>4.6379807244645768E-3</c:v>
                </c:pt>
                <c:pt idx="22">
                  <c:v>5.4251966161846001E-3</c:v>
                </c:pt>
                <c:pt idx="23">
                  <c:v>6.2572455737647248E-3</c:v>
                </c:pt>
                <c:pt idx="24">
                  <c:v>1.0055529285824236E-2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B0-4D41-88DC-29C95A266DB8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-2933.5</c:v>
                </c:pt>
                <c:pt idx="1">
                  <c:v>-2837</c:v>
                </c:pt>
                <c:pt idx="2">
                  <c:v>-1376.5</c:v>
                </c:pt>
                <c:pt idx="3">
                  <c:v>-1376.5</c:v>
                </c:pt>
                <c:pt idx="4">
                  <c:v>-1357</c:v>
                </c:pt>
                <c:pt idx="5">
                  <c:v>-665.5</c:v>
                </c:pt>
                <c:pt idx="6">
                  <c:v>-634</c:v>
                </c:pt>
                <c:pt idx="7">
                  <c:v>-592.5</c:v>
                </c:pt>
                <c:pt idx="8">
                  <c:v>-553.5</c:v>
                </c:pt>
                <c:pt idx="9">
                  <c:v>-117.5</c:v>
                </c:pt>
                <c:pt idx="10">
                  <c:v>0</c:v>
                </c:pt>
                <c:pt idx="11">
                  <c:v>929.5</c:v>
                </c:pt>
                <c:pt idx="12">
                  <c:v>929.5</c:v>
                </c:pt>
                <c:pt idx="13">
                  <c:v>1674</c:v>
                </c:pt>
                <c:pt idx="14">
                  <c:v>2271</c:v>
                </c:pt>
                <c:pt idx="15">
                  <c:v>2848</c:v>
                </c:pt>
                <c:pt idx="16">
                  <c:v>2865.5</c:v>
                </c:pt>
                <c:pt idx="17">
                  <c:v>3807</c:v>
                </c:pt>
                <c:pt idx="18">
                  <c:v>3807</c:v>
                </c:pt>
                <c:pt idx="19">
                  <c:v>3830.5</c:v>
                </c:pt>
                <c:pt idx="20">
                  <c:v>4346.5</c:v>
                </c:pt>
                <c:pt idx="21">
                  <c:v>4500</c:v>
                </c:pt>
                <c:pt idx="22">
                  <c:v>5097</c:v>
                </c:pt>
                <c:pt idx="23">
                  <c:v>5728</c:v>
                </c:pt>
                <c:pt idx="24">
                  <c:v>8608.5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  <c:pt idx="0">
                  <c:v>5.4599999930360354E-3</c:v>
                </c:pt>
                <c:pt idx="9">
                  <c:v>-8.4699999999429565E-2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B0-4D41-88DC-29C95A266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98344"/>
        <c:axId val="1"/>
      </c:scatterChart>
      <c:valAx>
        <c:axId val="68589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9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83870967741936"/>
          <c:y val="0.92073298764483702"/>
          <c:w val="0.824193548387096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361950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624B55B-97A6-CF69-C914-774ACECF9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27</xdr:col>
      <xdr:colOff>57150</xdr:colOff>
      <xdr:row>18</xdr:row>
      <xdr:rowOff>76200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139B8CE-FAAD-0946-FFCB-835B374A5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0" TargetMode="External"/><Relationship Id="rId3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203" TargetMode="External"/><Relationship Id="rId11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D6" sqref="D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29</v>
      </c>
      <c r="D4" s="9" t="s">
        <v>29</v>
      </c>
    </row>
    <row r="6" spans="1:7" x14ac:dyDescent="0.2">
      <c r="A6" s="5" t="s">
        <v>1</v>
      </c>
    </row>
    <row r="7" spans="1:7" x14ac:dyDescent="0.2">
      <c r="A7" t="s">
        <v>2</v>
      </c>
      <c r="C7" s="63">
        <v>52764.426500000001</v>
      </c>
    </row>
    <row r="8" spans="1:7" x14ac:dyDescent="0.2">
      <c r="A8" t="s">
        <v>3</v>
      </c>
      <c r="C8" s="63">
        <v>0.50775999999999999</v>
      </c>
    </row>
    <row r="9" spans="1:7" x14ac:dyDescent="0.2">
      <c r="A9" s="20" t="s">
        <v>41</v>
      </c>
      <c r="B9" s="19"/>
      <c r="C9" s="21">
        <v>-9.5</v>
      </c>
      <c r="D9" s="19" t="s">
        <v>42</v>
      </c>
      <c r="E9" s="19"/>
    </row>
    <row r="10" spans="1:7" ht="13.5" thickBot="1" x14ac:dyDescent="0.25">
      <c r="A10" s="19"/>
      <c r="B10" s="19"/>
      <c r="C10" s="4" t="s">
        <v>20</v>
      </c>
      <c r="D10" s="4" t="s">
        <v>21</v>
      </c>
      <c r="E10" s="19"/>
    </row>
    <row r="11" spans="1:7" x14ac:dyDescent="0.2">
      <c r="A11" s="19" t="s">
        <v>16</v>
      </c>
      <c r="B11" s="19"/>
      <c r="C11" s="35">
        <f ca="1">INTERCEPT(INDIRECT($G$11):G992,INDIRECT($F$11):F992)</f>
        <v>-1.295807404078315E-3</v>
      </c>
      <c r="D11" s="3"/>
      <c r="E11" s="19"/>
      <c r="F11" s="36" t="str">
        <f>"F"&amp;E19</f>
        <v>F21</v>
      </c>
      <c r="G11" s="34" t="str">
        <f>"G"&amp;E19</f>
        <v>G21</v>
      </c>
    </row>
    <row r="12" spans="1:7" x14ac:dyDescent="0.2">
      <c r="A12" s="19" t="s">
        <v>17</v>
      </c>
      <c r="B12" s="19"/>
      <c r="C12" s="35">
        <f ca="1">SLOPE(INDIRECT($G$11):G992,INDIRECT($F$11):F992)</f>
        <v>1.3186195841206425E-6</v>
      </c>
      <c r="D12" s="3"/>
      <c r="E12" s="19"/>
    </row>
    <row r="13" spans="1:7" x14ac:dyDescent="0.2">
      <c r="A13" s="19" t="s">
        <v>19</v>
      </c>
      <c r="B13" s="19"/>
      <c r="C13" s="3" t="s">
        <v>14</v>
      </c>
      <c r="D13" s="24" t="s">
        <v>52</v>
      </c>
      <c r="E13" s="21">
        <v>1</v>
      </c>
    </row>
    <row r="14" spans="1:7" x14ac:dyDescent="0.2">
      <c r="A14" s="19"/>
      <c r="B14" s="19"/>
      <c r="C14" s="19"/>
      <c r="D14" s="24" t="s">
        <v>43</v>
      </c>
      <c r="E14" s="25">
        <f ca="1">NOW()+15018.5+$C$9/24</f>
        <v>60354.744390046297</v>
      </c>
    </row>
    <row r="15" spans="1:7" x14ac:dyDescent="0.2">
      <c r="A15" s="22" t="s">
        <v>18</v>
      </c>
      <c r="B15" s="19"/>
      <c r="C15" s="23">
        <f ca="1">(C7+C11)+(C8+C12)*INT(MAX(F21:F3533))</f>
        <v>57135.234634869972</v>
      </c>
      <c r="D15" s="24" t="s">
        <v>53</v>
      </c>
      <c r="E15" s="25">
        <f ca="1">ROUND(2*(E14-$C$7)/$C$8,0)/2+E13</f>
        <v>14949.5</v>
      </c>
    </row>
    <row r="16" spans="1:7" x14ac:dyDescent="0.2">
      <c r="A16" s="26" t="s">
        <v>4</v>
      </c>
      <c r="B16" s="19"/>
      <c r="C16" s="27">
        <f ca="1">+C8+C12</f>
        <v>0.50776131861958407</v>
      </c>
      <c r="D16" s="24" t="s">
        <v>44</v>
      </c>
      <c r="E16" s="34">
        <f ca="1">ROUND(2*(E14-$C$15)/$C$16,0)/2+E13</f>
        <v>6341.5</v>
      </c>
    </row>
    <row r="17" spans="1:21" ht="13.5" thickBot="1" x14ac:dyDescent="0.25">
      <c r="A17" s="24" t="s">
        <v>30</v>
      </c>
      <c r="B17" s="19"/>
      <c r="C17" s="19">
        <f>COUNT(C21:C2191)</f>
        <v>25</v>
      </c>
      <c r="D17" s="24" t="s">
        <v>45</v>
      </c>
      <c r="E17" s="28">
        <f ca="1">+$C$15+$C$16*E16-15018.5-$C$9/24</f>
        <v>45337.098870229398</v>
      </c>
    </row>
    <row r="18" spans="1:21" ht="14.25" thickTop="1" thickBot="1" x14ac:dyDescent="0.25">
      <c r="A18" s="26" t="s">
        <v>5</v>
      </c>
      <c r="B18" s="19"/>
      <c r="C18" s="29">
        <f ca="1">+C15</f>
        <v>57135.234634869972</v>
      </c>
      <c r="D18" s="30">
        <f ca="1">+C16</f>
        <v>0.50776131861958407</v>
      </c>
      <c r="E18" s="31" t="s">
        <v>46</v>
      </c>
    </row>
    <row r="19" spans="1:21" ht="13.5" thickTop="1" x14ac:dyDescent="0.2">
      <c r="A19" s="37" t="s">
        <v>49</v>
      </c>
      <c r="E19" s="38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28</v>
      </c>
      <c r="J20" s="7" t="s">
        <v>68</v>
      </c>
      <c r="K20" s="7" t="s">
        <v>60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61" t="s">
        <v>155</v>
      </c>
    </row>
    <row r="21" spans="1:21" x14ac:dyDescent="0.2">
      <c r="A21" s="19" t="s">
        <v>38</v>
      </c>
      <c r="B21" s="3" t="s">
        <v>32</v>
      </c>
      <c r="C21" s="10">
        <v>51274.917999999998</v>
      </c>
      <c r="D21" s="10">
        <v>3.0000000000000001E-3</v>
      </c>
      <c r="E21">
        <f t="shared" ref="E21:E45" si="0">+(C21-C$7)/C$8</f>
        <v>-2933.4892468883008</v>
      </c>
      <c r="F21">
        <f t="shared" ref="F21:F45" si="1">ROUND(2*E21,0)/2</f>
        <v>-2933.5</v>
      </c>
      <c r="I21" s="34"/>
      <c r="O21">
        <f t="shared" ref="O21:O45" ca="1" si="2">+C$11+C$12*$F21</f>
        <v>-5.1639779540962197E-3</v>
      </c>
      <c r="Q21" s="2">
        <f t="shared" ref="Q21:Q45" si="3">+C21-15018.5</f>
        <v>36256.417999999998</v>
      </c>
      <c r="U21">
        <f>+C21-(C$7+F21*C$8)</f>
        <v>5.4599999930360354E-3</v>
      </c>
    </row>
    <row r="22" spans="1:21" x14ac:dyDescent="0.2">
      <c r="A22" s="19" t="s">
        <v>38</v>
      </c>
      <c r="B22" s="3" t="s">
        <v>34</v>
      </c>
      <c r="C22" s="10">
        <v>51323.907399999996</v>
      </c>
      <c r="D22" s="10">
        <v>1E-3</v>
      </c>
      <c r="E22">
        <f t="shared" si="0"/>
        <v>-2837.0078383488362</v>
      </c>
      <c r="F22">
        <f t="shared" si="1"/>
        <v>-2837</v>
      </c>
      <c r="G22">
        <f t="shared" ref="G22:G29" si="4">+C22-(C$7+F22*C$8)</f>
        <v>-3.9800000085961074E-3</v>
      </c>
      <c r="I22">
        <f>+G22</f>
        <v>-3.9800000085961074E-3</v>
      </c>
      <c r="O22">
        <f t="shared" ca="1" si="2"/>
        <v>-5.0367311642285778E-3</v>
      </c>
      <c r="Q22" s="2">
        <f t="shared" si="3"/>
        <v>36305.407399999996</v>
      </c>
    </row>
    <row r="23" spans="1:21" x14ac:dyDescent="0.2">
      <c r="A23" t="s">
        <v>39</v>
      </c>
      <c r="C23" s="10">
        <v>52065.489000000001</v>
      </c>
      <c r="D23" s="10"/>
      <c r="E23">
        <f t="shared" si="0"/>
        <v>-1376.5115408854576</v>
      </c>
      <c r="F23">
        <f t="shared" si="1"/>
        <v>-1376.5</v>
      </c>
      <c r="G23">
        <f t="shared" si="4"/>
        <v>-5.8599999974831007E-3</v>
      </c>
      <c r="I23">
        <f>+G23</f>
        <v>-5.8599999974831007E-3</v>
      </c>
      <c r="O23">
        <f t="shared" ca="1" si="2"/>
        <v>-3.1108872616203796E-3</v>
      </c>
      <c r="Q23" s="2">
        <f t="shared" si="3"/>
        <v>37046.989000000001</v>
      </c>
    </row>
    <row r="24" spans="1:21" x14ac:dyDescent="0.2">
      <c r="A24" s="58" t="s">
        <v>75</v>
      </c>
      <c r="B24" s="60" t="s">
        <v>34</v>
      </c>
      <c r="C24" s="59">
        <v>52065.490100000003</v>
      </c>
      <c r="D24" s="59" t="s">
        <v>68</v>
      </c>
      <c r="E24">
        <f t="shared" si="0"/>
        <v>-1376.5093745076388</v>
      </c>
      <c r="F24">
        <f t="shared" si="1"/>
        <v>-1376.5</v>
      </c>
      <c r="G24">
        <f t="shared" si="4"/>
        <v>-4.7599999961676076E-3</v>
      </c>
      <c r="J24">
        <f t="shared" ref="J24:J29" si="5">+G24</f>
        <v>-4.7599999961676076E-3</v>
      </c>
      <c r="O24">
        <f t="shared" ca="1" si="2"/>
        <v>-3.1108872616203796E-3</v>
      </c>
      <c r="Q24" s="2">
        <f t="shared" si="3"/>
        <v>37046.990100000003</v>
      </c>
    </row>
    <row r="25" spans="1:21" x14ac:dyDescent="0.2">
      <c r="A25" s="58" t="s">
        <v>75</v>
      </c>
      <c r="B25" s="60" t="s">
        <v>32</v>
      </c>
      <c r="C25" s="59">
        <v>52075.393199999999</v>
      </c>
      <c r="D25" s="59" t="s">
        <v>68</v>
      </c>
      <c r="E25">
        <f t="shared" si="0"/>
        <v>-1357.0058689144532</v>
      </c>
      <c r="F25">
        <f t="shared" si="1"/>
        <v>-1357</v>
      </c>
      <c r="G25">
        <f t="shared" si="4"/>
        <v>-2.9800000047544017E-3</v>
      </c>
      <c r="J25">
        <f t="shared" si="5"/>
        <v>-2.9800000047544017E-3</v>
      </c>
      <c r="O25">
        <f t="shared" ca="1" si="2"/>
        <v>-3.0851741797300269E-3</v>
      </c>
      <c r="Q25" s="2">
        <f t="shared" si="3"/>
        <v>37056.893199999999</v>
      </c>
    </row>
    <row r="26" spans="1:21" x14ac:dyDescent="0.2">
      <c r="A26" s="58" t="s">
        <v>82</v>
      </c>
      <c r="B26" s="60" t="s">
        <v>34</v>
      </c>
      <c r="C26" s="59">
        <v>52426.509700000002</v>
      </c>
      <c r="D26" s="59" t="s">
        <v>68</v>
      </c>
      <c r="E26">
        <f t="shared" si="0"/>
        <v>-665.50496297463189</v>
      </c>
      <c r="F26">
        <f t="shared" si="1"/>
        <v>-665.5</v>
      </c>
      <c r="G26">
        <f t="shared" si="4"/>
        <v>-2.5200000018230639E-3</v>
      </c>
      <c r="J26">
        <f t="shared" si="5"/>
        <v>-2.5200000018230639E-3</v>
      </c>
      <c r="O26">
        <f t="shared" ca="1" si="2"/>
        <v>-2.1733487373106026E-3</v>
      </c>
      <c r="Q26" s="2">
        <f t="shared" si="3"/>
        <v>37408.009700000002</v>
      </c>
    </row>
    <row r="27" spans="1:21" x14ac:dyDescent="0.2">
      <c r="A27" s="58" t="s">
        <v>82</v>
      </c>
      <c r="B27" s="60" t="s">
        <v>32</v>
      </c>
      <c r="C27" s="59">
        <v>52442.503700000001</v>
      </c>
      <c r="D27" s="59" t="s">
        <v>68</v>
      </c>
      <c r="E27">
        <f t="shared" si="0"/>
        <v>-634.00582952576076</v>
      </c>
      <c r="F27">
        <f t="shared" si="1"/>
        <v>-634</v>
      </c>
      <c r="G27">
        <f t="shared" si="4"/>
        <v>-2.9599999979836866E-3</v>
      </c>
      <c r="J27">
        <f t="shared" si="5"/>
        <v>-2.9599999979836866E-3</v>
      </c>
      <c r="O27">
        <f t="shared" ca="1" si="2"/>
        <v>-2.1318122204108023E-3</v>
      </c>
      <c r="Q27" s="2">
        <f t="shared" si="3"/>
        <v>37424.003700000001</v>
      </c>
    </row>
    <row r="28" spans="1:21" x14ac:dyDescent="0.2">
      <c r="A28" s="58" t="s">
        <v>82</v>
      </c>
      <c r="B28" s="60" t="s">
        <v>34</v>
      </c>
      <c r="C28" s="59">
        <v>52463.575499999999</v>
      </c>
      <c r="D28" s="59" t="s">
        <v>68</v>
      </c>
      <c r="E28">
        <f t="shared" si="0"/>
        <v>-592.50630219001573</v>
      </c>
      <c r="F28">
        <f t="shared" si="1"/>
        <v>-592.5</v>
      </c>
      <c r="G28">
        <f t="shared" si="4"/>
        <v>-3.1999999991967343E-3</v>
      </c>
      <c r="J28">
        <f t="shared" si="5"/>
        <v>-3.1999999991967343E-3</v>
      </c>
      <c r="O28">
        <f t="shared" ca="1" si="2"/>
        <v>-2.0770895076697958E-3</v>
      </c>
      <c r="Q28" s="2">
        <f t="shared" si="3"/>
        <v>37445.075499999999</v>
      </c>
    </row>
    <row r="29" spans="1:21" x14ac:dyDescent="0.2">
      <c r="A29" s="58" t="s">
        <v>82</v>
      </c>
      <c r="B29" s="60" t="s">
        <v>34</v>
      </c>
      <c r="C29" s="59">
        <v>52483.3802</v>
      </c>
      <c r="D29" s="59" t="s">
        <v>68</v>
      </c>
      <c r="E29">
        <f t="shared" si="0"/>
        <v>-553.50224515519494</v>
      </c>
      <c r="F29">
        <f t="shared" si="1"/>
        <v>-553.5</v>
      </c>
      <c r="G29">
        <f t="shared" si="4"/>
        <v>-1.1400000003050081E-3</v>
      </c>
      <c r="J29">
        <f t="shared" si="5"/>
        <v>-1.1400000003050081E-3</v>
      </c>
      <c r="O29">
        <f t="shared" ca="1" si="2"/>
        <v>-2.0256633438890904E-3</v>
      </c>
      <c r="Q29" s="2">
        <f t="shared" si="3"/>
        <v>37464.8802</v>
      </c>
    </row>
    <row r="30" spans="1:21" x14ac:dyDescent="0.2">
      <c r="A30" t="s">
        <v>36</v>
      </c>
      <c r="C30" s="17">
        <v>52704.68</v>
      </c>
      <c r="D30" s="10" t="s">
        <v>14</v>
      </c>
      <c r="E30">
        <f t="shared" si="0"/>
        <v>-117.6668110918566</v>
      </c>
      <c r="F30">
        <f t="shared" si="1"/>
        <v>-117.5</v>
      </c>
      <c r="O30">
        <f t="shared" ca="1" si="2"/>
        <v>-1.4507452052124905E-3</v>
      </c>
      <c r="Q30" s="2">
        <f t="shared" si="3"/>
        <v>37686.18</v>
      </c>
      <c r="U30">
        <v>-8.4699999999429565E-2</v>
      </c>
    </row>
    <row r="31" spans="1:21" x14ac:dyDescent="0.2">
      <c r="A31" s="11" t="s">
        <v>31</v>
      </c>
      <c r="B31" s="12" t="s">
        <v>32</v>
      </c>
      <c r="C31" s="13">
        <v>52764.426500000001</v>
      </c>
      <c r="D31" s="13">
        <v>1.1000000000000001E-3</v>
      </c>
      <c r="E31">
        <f t="shared" si="0"/>
        <v>0</v>
      </c>
      <c r="F31">
        <f t="shared" si="1"/>
        <v>0</v>
      </c>
      <c r="G31">
        <f t="shared" ref="G31:G45" si="6">+C31-(C$7+F31*C$8)</f>
        <v>0</v>
      </c>
      <c r="I31">
        <f t="shared" ref="I31:I39" si="7">+G31</f>
        <v>0</v>
      </c>
      <c r="O31">
        <f t="shared" ca="1" si="2"/>
        <v>-1.295807404078315E-3</v>
      </c>
      <c r="Q31" s="2">
        <f t="shared" si="3"/>
        <v>37745.926500000001</v>
      </c>
    </row>
    <row r="32" spans="1:21" x14ac:dyDescent="0.2">
      <c r="A32" s="11" t="s">
        <v>33</v>
      </c>
      <c r="B32" s="12" t="s">
        <v>34</v>
      </c>
      <c r="C32" s="13">
        <v>53236.389300000003</v>
      </c>
      <c r="D32" s="13">
        <v>1E-3</v>
      </c>
      <c r="E32">
        <f t="shared" si="0"/>
        <v>929.49976366787689</v>
      </c>
      <c r="F32">
        <f t="shared" si="1"/>
        <v>929.5</v>
      </c>
      <c r="G32">
        <f t="shared" si="6"/>
        <v>-1.1999999696854502E-4</v>
      </c>
      <c r="I32">
        <f t="shared" si="7"/>
        <v>-1.1999999696854502E-4</v>
      </c>
      <c r="O32">
        <f t="shared" ca="1" si="2"/>
        <v>-7.0150500638177776E-5</v>
      </c>
      <c r="Q32" s="2">
        <f t="shared" si="3"/>
        <v>38217.889300000003</v>
      </c>
    </row>
    <row r="33" spans="1:17" x14ac:dyDescent="0.2">
      <c r="A33" s="18" t="s">
        <v>33</v>
      </c>
      <c r="B33" s="15" t="s">
        <v>34</v>
      </c>
      <c r="C33" s="10">
        <v>53236.389300000003</v>
      </c>
      <c r="D33" s="10">
        <v>1E-3</v>
      </c>
      <c r="E33">
        <f t="shared" si="0"/>
        <v>929.49976366787689</v>
      </c>
      <c r="F33">
        <f t="shared" si="1"/>
        <v>929.5</v>
      </c>
      <c r="G33">
        <f t="shared" si="6"/>
        <v>-1.1999999696854502E-4</v>
      </c>
      <c r="I33">
        <f t="shared" si="7"/>
        <v>-1.1999999696854502E-4</v>
      </c>
      <c r="O33">
        <f t="shared" ca="1" si="2"/>
        <v>-7.0150500638177776E-5</v>
      </c>
      <c r="Q33" s="2">
        <f t="shared" si="3"/>
        <v>38217.889300000003</v>
      </c>
    </row>
    <row r="34" spans="1:17" x14ac:dyDescent="0.2">
      <c r="A34" s="14" t="s">
        <v>35</v>
      </c>
      <c r="B34" s="15" t="s">
        <v>32</v>
      </c>
      <c r="C34" s="16">
        <v>53614.417099999999</v>
      </c>
      <c r="D34" s="16">
        <v>1E-3</v>
      </c>
      <c r="E34">
        <f t="shared" si="0"/>
        <v>1674.000708996371</v>
      </c>
      <c r="F34">
        <f t="shared" si="1"/>
        <v>1674</v>
      </c>
      <c r="G34">
        <f t="shared" si="6"/>
        <v>3.5999999818159267E-4</v>
      </c>
      <c r="I34">
        <f t="shared" si="7"/>
        <v>3.5999999818159267E-4</v>
      </c>
      <c r="O34">
        <f t="shared" ca="1" si="2"/>
        <v>9.1156177973964045E-4</v>
      </c>
      <c r="Q34" s="2">
        <f t="shared" si="3"/>
        <v>38595.917099999999</v>
      </c>
    </row>
    <row r="35" spans="1:17" x14ac:dyDescent="0.2">
      <c r="A35" s="14" t="s">
        <v>35</v>
      </c>
      <c r="B35" s="15" t="s">
        <v>32</v>
      </c>
      <c r="C35" s="16">
        <v>53917.553200000002</v>
      </c>
      <c r="D35" s="16">
        <v>5.9999999999999995E-4</v>
      </c>
      <c r="E35">
        <f t="shared" si="0"/>
        <v>2271.0073656845771</v>
      </c>
      <c r="F35">
        <f t="shared" si="1"/>
        <v>2271</v>
      </c>
      <c r="G35">
        <f t="shared" si="6"/>
        <v>3.7400000001071021E-3</v>
      </c>
      <c r="I35">
        <f t="shared" si="7"/>
        <v>3.7400000001071021E-3</v>
      </c>
      <c r="O35">
        <f t="shared" ca="1" si="2"/>
        <v>1.6987776714596642E-3</v>
      </c>
      <c r="Q35" s="2">
        <f t="shared" si="3"/>
        <v>38899.053200000002</v>
      </c>
    </row>
    <row r="36" spans="1:17" x14ac:dyDescent="0.2">
      <c r="A36" s="32" t="s">
        <v>47</v>
      </c>
      <c r="B36" s="12" t="s">
        <v>32</v>
      </c>
      <c r="C36" s="13">
        <v>54210.53</v>
      </c>
      <c r="D36" s="13">
        <v>4.0000000000000002E-4</v>
      </c>
      <c r="E36">
        <f t="shared" si="0"/>
        <v>2848.0059476918177</v>
      </c>
      <c r="F36">
        <f t="shared" si="1"/>
        <v>2848</v>
      </c>
      <c r="G36">
        <f t="shared" si="6"/>
        <v>3.0199999964679591E-3</v>
      </c>
      <c r="I36">
        <f t="shared" si="7"/>
        <v>3.0199999964679591E-3</v>
      </c>
      <c r="O36">
        <f t="shared" ca="1" si="2"/>
        <v>2.4596211714972751E-3</v>
      </c>
      <c r="Q36" s="2">
        <f t="shared" si="3"/>
        <v>39192.03</v>
      </c>
    </row>
    <row r="37" spans="1:17" x14ac:dyDescent="0.2">
      <c r="A37" s="13" t="s">
        <v>48</v>
      </c>
      <c r="B37" s="33"/>
      <c r="C37" s="13">
        <v>54219.417200000004</v>
      </c>
      <c r="D37" s="13">
        <v>1.6999999999999999E-3</v>
      </c>
      <c r="E37">
        <f t="shared" si="0"/>
        <v>2865.5087048999571</v>
      </c>
      <c r="F37">
        <f t="shared" si="1"/>
        <v>2865.5</v>
      </c>
      <c r="G37">
        <f t="shared" si="6"/>
        <v>4.42000000475673E-3</v>
      </c>
      <c r="I37">
        <f t="shared" si="7"/>
        <v>4.42000000475673E-3</v>
      </c>
      <c r="O37">
        <f t="shared" ca="1" si="2"/>
        <v>2.4826970142193864E-3</v>
      </c>
      <c r="Q37" s="2">
        <f t="shared" si="3"/>
        <v>39200.917200000004</v>
      </c>
    </row>
    <row r="38" spans="1:17" x14ac:dyDescent="0.2">
      <c r="A38" s="13" t="s">
        <v>50</v>
      </c>
      <c r="B38" s="12" t="s">
        <v>32</v>
      </c>
      <c r="C38" s="13">
        <v>54697.472999999998</v>
      </c>
      <c r="D38" s="13">
        <v>2E-3</v>
      </c>
      <c r="E38">
        <f t="shared" si="0"/>
        <v>3807.0082322356957</v>
      </c>
      <c r="F38">
        <f t="shared" si="1"/>
        <v>3807</v>
      </c>
      <c r="G38">
        <f t="shared" si="6"/>
        <v>4.1799999962677248E-3</v>
      </c>
      <c r="I38">
        <f t="shared" si="7"/>
        <v>4.1799999962677248E-3</v>
      </c>
      <c r="O38">
        <f t="shared" ca="1" si="2"/>
        <v>3.7241773526689712E-3</v>
      </c>
      <c r="Q38" s="2">
        <f t="shared" si="3"/>
        <v>39678.972999999998</v>
      </c>
    </row>
    <row r="39" spans="1:17" x14ac:dyDescent="0.2">
      <c r="A39" s="41" t="s">
        <v>50</v>
      </c>
      <c r="B39" s="42" t="s">
        <v>32</v>
      </c>
      <c r="C39" s="41">
        <v>54697.472999999998</v>
      </c>
      <c r="D39" s="41">
        <v>2E-3</v>
      </c>
      <c r="E39">
        <f t="shared" si="0"/>
        <v>3807.0082322356957</v>
      </c>
      <c r="F39">
        <f t="shared" si="1"/>
        <v>3807</v>
      </c>
      <c r="G39">
        <f t="shared" si="6"/>
        <v>4.1799999962677248E-3</v>
      </c>
      <c r="I39">
        <f t="shared" si="7"/>
        <v>4.1799999962677248E-3</v>
      </c>
      <c r="O39">
        <f t="shared" ca="1" si="2"/>
        <v>3.7241773526689712E-3</v>
      </c>
      <c r="Q39" s="2">
        <f t="shared" si="3"/>
        <v>39678.972999999998</v>
      </c>
    </row>
    <row r="40" spans="1:17" x14ac:dyDescent="0.2">
      <c r="A40" s="58" t="s">
        <v>127</v>
      </c>
      <c r="B40" s="60" t="s">
        <v>34</v>
      </c>
      <c r="C40" s="59">
        <v>54709.405599999998</v>
      </c>
      <c r="D40" s="59" t="s">
        <v>68</v>
      </c>
      <c r="E40">
        <f t="shared" si="0"/>
        <v>3830.5087048999467</v>
      </c>
      <c r="F40">
        <f t="shared" si="1"/>
        <v>3830.5</v>
      </c>
      <c r="G40">
        <f t="shared" si="6"/>
        <v>4.4199999974807724E-3</v>
      </c>
      <c r="J40">
        <f>+G40</f>
        <v>4.4199999974807724E-3</v>
      </c>
      <c r="O40">
        <f t="shared" ca="1" si="2"/>
        <v>3.7551649128958063E-3</v>
      </c>
      <c r="Q40" s="2">
        <f t="shared" si="3"/>
        <v>39690.905599999998</v>
      </c>
    </row>
    <row r="41" spans="1:17" x14ac:dyDescent="0.2">
      <c r="A41" s="41" t="s">
        <v>54</v>
      </c>
      <c r="B41" s="42" t="s">
        <v>34</v>
      </c>
      <c r="C41" s="41">
        <v>54971.413</v>
      </c>
      <c r="D41" s="62">
        <v>5.0000000000000001E-4</v>
      </c>
      <c r="E41">
        <f t="shared" si="0"/>
        <v>4346.5150858673369</v>
      </c>
      <c r="F41">
        <f t="shared" si="1"/>
        <v>4346.5</v>
      </c>
      <c r="G41">
        <f t="shared" si="6"/>
        <v>7.6600000029429793E-3</v>
      </c>
      <c r="I41">
        <f>+G41</f>
        <v>7.6600000029429793E-3</v>
      </c>
      <c r="O41">
        <f t="shared" ca="1" si="2"/>
        <v>4.4355726183020576E-3</v>
      </c>
      <c r="Q41" s="2">
        <f t="shared" si="3"/>
        <v>39952.913</v>
      </c>
    </row>
    <row r="42" spans="1:17" x14ac:dyDescent="0.2">
      <c r="A42" s="39" t="s">
        <v>51</v>
      </c>
      <c r="B42" s="40" t="s">
        <v>32</v>
      </c>
      <c r="C42" s="39">
        <v>55049.351499999997</v>
      </c>
      <c r="D42" s="39">
        <v>4.0000000000000002E-4</v>
      </c>
      <c r="E42">
        <f t="shared" si="0"/>
        <v>4500.0098471718838</v>
      </c>
      <c r="F42">
        <f t="shared" si="1"/>
        <v>4500</v>
      </c>
      <c r="G42">
        <f t="shared" si="6"/>
        <v>4.9999999973806553E-3</v>
      </c>
      <c r="I42">
        <f>+G42</f>
        <v>4.9999999973806553E-3</v>
      </c>
      <c r="O42">
        <f t="shared" ca="1" si="2"/>
        <v>4.6379807244645768E-3</v>
      </c>
      <c r="Q42" s="2">
        <f t="shared" si="3"/>
        <v>40030.851499999997</v>
      </c>
    </row>
    <row r="43" spans="1:17" x14ac:dyDescent="0.2">
      <c r="A43" s="41" t="s">
        <v>55</v>
      </c>
      <c r="B43" s="42" t="s">
        <v>34</v>
      </c>
      <c r="C43" s="41">
        <v>55352.484400000001</v>
      </c>
      <c r="D43" s="62">
        <v>1.1000000000000001E-3</v>
      </c>
      <c r="E43">
        <f t="shared" si="0"/>
        <v>5097.0102016700803</v>
      </c>
      <c r="F43">
        <f t="shared" si="1"/>
        <v>5097</v>
      </c>
      <c r="G43">
        <f t="shared" si="6"/>
        <v>5.1800000001094304E-3</v>
      </c>
      <c r="I43">
        <f>+G43</f>
        <v>5.1800000001094304E-3</v>
      </c>
      <c r="O43">
        <f t="shared" ca="1" si="2"/>
        <v>5.4251966161846001E-3</v>
      </c>
      <c r="Q43" s="2">
        <f t="shared" si="3"/>
        <v>40333.984400000001</v>
      </c>
    </row>
    <row r="44" spans="1:17" x14ac:dyDescent="0.2">
      <c r="A44" s="41" t="s">
        <v>56</v>
      </c>
      <c r="B44" s="42" t="s">
        <v>32</v>
      </c>
      <c r="C44" s="41">
        <v>55672.877899999999</v>
      </c>
      <c r="D44" s="41">
        <v>1.1000000000000001E-3</v>
      </c>
      <c r="E44">
        <f t="shared" si="0"/>
        <v>5728.0041752008783</v>
      </c>
      <c r="F44">
        <f t="shared" si="1"/>
        <v>5728</v>
      </c>
      <c r="G44">
        <f t="shared" si="6"/>
        <v>2.1199999973759986E-3</v>
      </c>
      <c r="I44">
        <f>+G44</f>
        <v>2.1199999973759986E-3</v>
      </c>
      <c r="O44">
        <f t="shared" ca="1" si="2"/>
        <v>6.2572455737647248E-3</v>
      </c>
      <c r="Q44" s="2">
        <f t="shared" si="3"/>
        <v>40654.377899999999</v>
      </c>
    </row>
    <row r="45" spans="1:17" x14ac:dyDescent="0.2">
      <c r="A45" s="43" t="s">
        <v>57</v>
      </c>
      <c r="B45" s="44"/>
      <c r="C45" s="43">
        <v>57135.487200000003</v>
      </c>
      <c r="D45" s="43">
        <v>2.0000000000000001E-4</v>
      </c>
      <c r="E45">
        <f t="shared" si="0"/>
        <v>8608.5172128564718</v>
      </c>
      <c r="F45">
        <f t="shared" si="1"/>
        <v>8608.5</v>
      </c>
      <c r="G45">
        <f t="shared" si="6"/>
        <v>8.740000004763715E-3</v>
      </c>
      <c r="I45">
        <f>+G45</f>
        <v>8.740000004763715E-3</v>
      </c>
      <c r="O45">
        <f t="shared" ca="1" si="2"/>
        <v>1.0055529285824236E-2</v>
      </c>
      <c r="Q45" s="2">
        <f t="shared" si="3"/>
        <v>42116.987200000003</v>
      </c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7"/>
  <sheetViews>
    <sheetView topLeftCell="A6" workbookViewId="0">
      <selection activeCell="A23" sqref="A23:D29"/>
    </sheetView>
  </sheetViews>
  <sheetFormatPr defaultRowHeight="12.75" x14ac:dyDescent="0.2"/>
  <cols>
    <col min="1" max="1" width="19.7109375" style="10" customWidth="1"/>
    <col min="2" max="2" width="4.42578125" style="19" customWidth="1"/>
    <col min="3" max="3" width="12.7109375" style="10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0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5" t="s">
        <v>58</v>
      </c>
      <c r="I1" s="46" t="s">
        <v>59</v>
      </c>
      <c r="J1" s="47" t="s">
        <v>60</v>
      </c>
    </row>
    <row r="2" spans="1:16" x14ac:dyDescent="0.2">
      <c r="I2" s="48" t="s">
        <v>61</v>
      </c>
      <c r="J2" s="49" t="s">
        <v>62</v>
      </c>
    </row>
    <row r="3" spans="1:16" x14ac:dyDescent="0.2">
      <c r="A3" s="50" t="s">
        <v>63</v>
      </c>
      <c r="I3" s="48" t="s">
        <v>64</v>
      </c>
      <c r="J3" s="49" t="s">
        <v>65</v>
      </c>
    </row>
    <row r="4" spans="1:16" x14ac:dyDescent="0.2">
      <c r="I4" s="48" t="s">
        <v>66</v>
      </c>
      <c r="J4" s="49" t="s">
        <v>65</v>
      </c>
    </row>
    <row r="5" spans="1:16" ht="13.5" thickBot="1" x14ac:dyDescent="0.25">
      <c r="I5" s="51" t="s">
        <v>67</v>
      </c>
      <c r="J5" s="52" t="s">
        <v>68</v>
      </c>
    </row>
    <row r="10" spans="1:16" ht="13.5" thickBot="1" x14ac:dyDescent="0.25"/>
    <row r="11" spans="1:16" ht="12.75" customHeight="1" thickBot="1" x14ac:dyDescent="0.25">
      <c r="A11" s="10" t="str">
        <f t="shared" ref="A11:A29" si="0">P11</f>
        <v> BBS 129 </v>
      </c>
      <c r="B11" s="3" t="str">
        <f t="shared" ref="B11:B29" si="1">IF(H11=INT(H11),"I","II")</f>
        <v>II</v>
      </c>
      <c r="C11" s="10">
        <f t="shared" ref="C11:C29" si="2">1*G11</f>
        <v>52764.426500000001</v>
      </c>
      <c r="D11" s="19" t="str">
        <f t="shared" ref="D11:D29" si="3">VLOOKUP(F11,I$1:J$5,2,FALSE)</f>
        <v>vis</v>
      </c>
      <c r="E11" s="53">
        <f>VLOOKUP(C11,A!C$21:E$973,3,FALSE)</f>
        <v>0</v>
      </c>
      <c r="F11" s="3" t="s">
        <v>67</v>
      </c>
      <c r="G11" s="19" t="str">
        <f t="shared" ref="G11:G29" si="4">MID(I11,3,LEN(I11)-3)</f>
        <v>52764.4265</v>
      </c>
      <c r="H11" s="10">
        <f t="shared" ref="H11:H29" si="5">1*K11</f>
        <v>520.5</v>
      </c>
      <c r="I11" s="54" t="s">
        <v>92</v>
      </c>
      <c r="J11" s="55" t="s">
        <v>93</v>
      </c>
      <c r="K11" s="54">
        <v>520.5</v>
      </c>
      <c r="L11" s="54" t="s">
        <v>94</v>
      </c>
      <c r="M11" s="55" t="s">
        <v>72</v>
      </c>
      <c r="N11" s="55" t="s">
        <v>73</v>
      </c>
      <c r="O11" s="56" t="s">
        <v>74</v>
      </c>
      <c r="P11" s="56" t="s">
        <v>95</v>
      </c>
    </row>
    <row r="12" spans="1:16" ht="12.75" customHeight="1" thickBot="1" x14ac:dyDescent="0.25">
      <c r="A12" s="10" t="str">
        <f t="shared" si="0"/>
        <v>BAVM 241 (=IBVS 6157) </v>
      </c>
      <c r="B12" s="3" t="str">
        <f t="shared" si="1"/>
        <v>I</v>
      </c>
      <c r="C12" s="10">
        <f t="shared" si="2"/>
        <v>57135.487200000003</v>
      </c>
      <c r="D12" s="19" t="str">
        <f t="shared" si="3"/>
        <v>vis</v>
      </c>
      <c r="E12" s="53">
        <f>VLOOKUP(C12,A!C$21:E$973,3,FALSE)</f>
        <v>8608.5172128564718</v>
      </c>
      <c r="F12" s="3" t="s">
        <v>67</v>
      </c>
      <c r="G12" s="19" t="str">
        <f t="shared" si="4"/>
        <v>57135.4872</v>
      </c>
      <c r="H12" s="10">
        <f t="shared" si="5"/>
        <v>9129</v>
      </c>
      <c r="I12" s="54" t="s">
        <v>149</v>
      </c>
      <c r="J12" s="55" t="s">
        <v>150</v>
      </c>
      <c r="K12" s="54" t="s">
        <v>151</v>
      </c>
      <c r="L12" s="54" t="s">
        <v>152</v>
      </c>
      <c r="M12" s="55" t="s">
        <v>109</v>
      </c>
      <c r="N12" s="55" t="s">
        <v>110</v>
      </c>
      <c r="O12" s="56" t="s">
        <v>153</v>
      </c>
      <c r="P12" s="57" t="s">
        <v>154</v>
      </c>
    </row>
    <row r="13" spans="1:16" ht="12.75" customHeight="1" thickBot="1" x14ac:dyDescent="0.25">
      <c r="A13" s="10" t="str">
        <f t="shared" si="0"/>
        <v>IBVS 5653 </v>
      </c>
      <c r="B13" s="3" t="str">
        <f t="shared" si="1"/>
        <v>I</v>
      </c>
      <c r="C13" s="10">
        <f t="shared" si="2"/>
        <v>53236.389300000003</v>
      </c>
      <c r="D13" s="19" t="str">
        <f t="shared" si="3"/>
        <v>vis</v>
      </c>
      <c r="E13" s="53">
        <f>VLOOKUP(C13,A!C$21:E$973,3,FALSE)</f>
        <v>929.49976366787689</v>
      </c>
      <c r="F13" s="3" t="s">
        <v>67</v>
      </c>
      <c r="G13" s="19" t="str">
        <f t="shared" si="4"/>
        <v>53236.3893</v>
      </c>
      <c r="H13" s="10">
        <f t="shared" si="5"/>
        <v>1450</v>
      </c>
      <c r="I13" s="54" t="s">
        <v>96</v>
      </c>
      <c r="J13" s="55" t="s">
        <v>97</v>
      </c>
      <c r="K13" s="54">
        <v>1450</v>
      </c>
      <c r="L13" s="54" t="s">
        <v>98</v>
      </c>
      <c r="M13" s="55" t="s">
        <v>72</v>
      </c>
      <c r="N13" s="55" t="s">
        <v>73</v>
      </c>
      <c r="O13" s="56" t="s">
        <v>74</v>
      </c>
      <c r="P13" s="57" t="s">
        <v>99</v>
      </c>
    </row>
    <row r="14" spans="1:16" ht="12.75" customHeight="1" thickBot="1" x14ac:dyDescent="0.25">
      <c r="A14" s="10" t="str">
        <f t="shared" si="0"/>
        <v>IBVS 5713 </v>
      </c>
      <c r="B14" s="3" t="str">
        <f t="shared" si="1"/>
        <v>II</v>
      </c>
      <c r="C14" s="10">
        <f t="shared" si="2"/>
        <v>53614.417099999999</v>
      </c>
      <c r="D14" s="19" t="str">
        <f t="shared" si="3"/>
        <v>vis</v>
      </c>
      <c r="E14" s="53">
        <f>VLOOKUP(C14,A!C$21:E$973,3,FALSE)</f>
        <v>1674.000708996371</v>
      </c>
      <c r="F14" s="3" t="s">
        <v>67</v>
      </c>
      <c r="G14" s="19" t="str">
        <f t="shared" si="4"/>
        <v>53614.4171</v>
      </c>
      <c r="H14" s="10">
        <f t="shared" si="5"/>
        <v>2194.5</v>
      </c>
      <c r="I14" s="54" t="s">
        <v>100</v>
      </c>
      <c r="J14" s="55" t="s">
        <v>101</v>
      </c>
      <c r="K14" s="54">
        <v>2194.5</v>
      </c>
      <c r="L14" s="54" t="s">
        <v>102</v>
      </c>
      <c r="M14" s="55" t="s">
        <v>72</v>
      </c>
      <c r="N14" s="55" t="s">
        <v>73</v>
      </c>
      <c r="O14" s="56" t="s">
        <v>74</v>
      </c>
      <c r="P14" s="57" t="s">
        <v>103</v>
      </c>
    </row>
    <row r="15" spans="1:16" ht="12.75" customHeight="1" thickBot="1" x14ac:dyDescent="0.25">
      <c r="A15" s="10" t="str">
        <f t="shared" si="0"/>
        <v>IBVS 5713 </v>
      </c>
      <c r="B15" s="3" t="str">
        <f t="shared" si="1"/>
        <v>II</v>
      </c>
      <c r="C15" s="10">
        <f t="shared" si="2"/>
        <v>53917.553200000002</v>
      </c>
      <c r="D15" s="19" t="str">
        <f t="shared" si="3"/>
        <v>vis</v>
      </c>
      <c r="E15" s="53">
        <f>VLOOKUP(C15,A!C$21:E$973,3,FALSE)</f>
        <v>2271.0073656845771</v>
      </c>
      <c r="F15" s="3" t="s">
        <v>67</v>
      </c>
      <c r="G15" s="19" t="str">
        <f t="shared" si="4"/>
        <v>53917.5532</v>
      </c>
      <c r="H15" s="10">
        <f t="shared" si="5"/>
        <v>2791.5</v>
      </c>
      <c r="I15" s="54" t="s">
        <v>104</v>
      </c>
      <c r="J15" s="55" t="s">
        <v>105</v>
      </c>
      <c r="K15" s="54">
        <v>2791.5</v>
      </c>
      <c r="L15" s="54" t="s">
        <v>106</v>
      </c>
      <c r="M15" s="55" t="s">
        <v>72</v>
      </c>
      <c r="N15" s="55" t="s">
        <v>73</v>
      </c>
      <c r="O15" s="56" t="s">
        <v>74</v>
      </c>
      <c r="P15" s="57" t="s">
        <v>103</v>
      </c>
    </row>
    <row r="16" spans="1:16" ht="12.75" customHeight="1" thickBot="1" x14ac:dyDescent="0.25">
      <c r="A16" s="10" t="str">
        <f t="shared" si="0"/>
        <v> BBS 133 (=IBVS 5781) </v>
      </c>
      <c r="B16" s="3" t="str">
        <f t="shared" si="1"/>
        <v>II</v>
      </c>
      <c r="C16" s="10">
        <f t="shared" si="2"/>
        <v>54210.53</v>
      </c>
      <c r="D16" s="19" t="str">
        <f t="shared" si="3"/>
        <v>vis</v>
      </c>
      <c r="E16" s="53">
        <f>VLOOKUP(C16,A!C$21:E$973,3,FALSE)</f>
        <v>2848.0059476918177</v>
      </c>
      <c r="F16" s="3" t="s">
        <v>67</v>
      </c>
      <c r="G16" s="19" t="str">
        <f t="shared" si="4"/>
        <v>54210.5300</v>
      </c>
      <c r="H16" s="10">
        <f t="shared" si="5"/>
        <v>3368.5</v>
      </c>
      <c r="I16" s="54" t="s">
        <v>107</v>
      </c>
      <c r="J16" s="55" t="s">
        <v>108</v>
      </c>
      <c r="K16" s="54">
        <v>3368.5</v>
      </c>
      <c r="L16" s="54" t="s">
        <v>85</v>
      </c>
      <c r="M16" s="55" t="s">
        <v>109</v>
      </c>
      <c r="N16" s="55" t="s">
        <v>110</v>
      </c>
      <c r="O16" s="56" t="s">
        <v>74</v>
      </c>
      <c r="P16" s="56" t="s">
        <v>111</v>
      </c>
    </row>
    <row r="17" spans="1:16" ht="12.75" customHeight="1" thickBot="1" x14ac:dyDescent="0.25">
      <c r="A17" s="10" t="str">
        <f t="shared" si="0"/>
        <v>BAVM 186 </v>
      </c>
      <c r="B17" s="3" t="str">
        <f t="shared" si="1"/>
        <v>I</v>
      </c>
      <c r="C17" s="10">
        <f t="shared" si="2"/>
        <v>54219.417200000004</v>
      </c>
      <c r="D17" s="19" t="str">
        <f t="shared" si="3"/>
        <v>vis</v>
      </c>
      <c r="E17" s="53">
        <f>VLOOKUP(C17,A!C$21:E$973,3,FALSE)</f>
        <v>2865.5087048999571</v>
      </c>
      <c r="F17" s="3" t="s">
        <v>67</v>
      </c>
      <c r="G17" s="19" t="str">
        <f t="shared" si="4"/>
        <v>54219.4172</v>
      </c>
      <c r="H17" s="10">
        <f t="shared" si="5"/>
        <v>3386</v>
      </c>
      <c r="I17" s="54" t="s">
        <v>112</v>
      </c>
      <c r="J17" s="55" t="s">
        <v>113</v>
      </c>
      <c r="K17" s="54">
        <v>3386</v>
      </c>
      <c r="L17" s="54" t="s">
        <v>114</v>
      </c>
      <c r="M17" s="55" t="s">
        <v>109</v>
      </c>
      <c r="N17" s="55" t="s">
        <v>115</v>
      </c>
      <c r="O17" s="56" t="s">
        <v>116</v>
      </c>
      <c r="P17" s="57" t="s">
        <v>117</v>
      </c>
    </row>
    <row r="18" spans="1:16" ht="12.75" customHeight="1" thickBot="1" x14ac:dyDescent="0.25">
      <c r="A18" s="10" t="str">
        <f t="shared" si="0"/>
        <v>IBVS 5871 </v>
      </c>
      <c r="B18" s="3" t="str">
        <f t="shared" si="1"/>
        <v>II</v>
      </c>
      <c r="C18" s="10">
        <f t="shared" si="2"/>
        <v>54697.472999999998</v>
      </c>
      <c r="D18" s="19" t="str">
        <f t="shared" si="3"/>
        <v>vis</v>
      </c>
      <c r="E18" s="53">
        <f>VLOOKUP(C18,A!C$21:E$973,3,FALSE)</f>
        <v>3807.0082322356957</v>
      </c>
      <c r="F18" s="3" t="s">
        <v>67</v>
      </c>
      <c r="G18" s="19" t="str">
        <f t="shared" si="4"/>
        <v>54697.473</v>
      </c>
      <c r="H18" s="10">
        <f t="shared" si="5"/>
        <v>4327.5</v>
      </c>
      <c r="I18" s="54" t="s">
        <v>118</v>
      </c>
      <c r="J18" s="55" t="s">
        <v>119</v>
      </c>
      <c r="K18" s="54" t="s">
        <v>120</v>
      </c>
      <c r="L18" s="54" t="s">
        <v>121</v>
      </c>
      <c r="M18" s="55" t="s">
        <v>109</v>
      </c>
      <c r="N18" s="55" t="s">
        <v>59</v>
      </c>
      <c r="O18" s="56" t="s">
        <v>74</v>
      </c>
      <c r="P18" s="57" t="s">
        <v>122</v>
      </c>
    </row>
    <row r="19" spans="1:16" ht="12.75" customHeight="1" thickBot="1" x14ac:dyDescent="0.25">
      <c r="A19" s="10" t="str">
        <f t="shared" si="0"/>
        <v>BAVM 209 </v>
      </c>
      <c r="B19" s="3" t="str">
        <f t="shared" si="1"/>
        <v>I</v>
      </c>
      <c r="C19" s="10">
        <f t="shared" si="2"/>
        <v>54971.413</v>
      </c>
      <c r="D19" s="19" t="str">
        <f t="shared" si="3"/>
        <v>vis</v>
      </c>
      <c r="E19" s="53">
        <f>VLOOKUP(C19,A!C$21:E$973,3,FALSE)</f>
        <v>4346.5150858673369</v>
      </c>
      <c r="F19" s="3" t="s">
        <v>67</v>
      </c>
      <c r="G19" s="19" t="str">
        <f t="shared" si="4"/>
        <v>54971.4130</v>
      </c>
      <c r="H19" s="10">
        <f t="shared" si="5"/>
        <v>4867</v>
      </c>
      <c r="I19" s="54" t="s">
        <v>128</v>
      </c>
      <c r="J19" s="55" t="s">
        <v>129</v>
      </c>
      <c r="K19" s="54" t="s">
        <v>130</v>
      </c>
      <c r="L19" s="54" t="s">
        <v>131</v>
      </c>
      <c r="M19" s="55" t="s">
        <v>109</v>
      </c>
      <c r="N19" s="55" t="s">
        <v>115</v>
      </c>
      <c r="O19" s="56" t="s">
        <v>116</v>
      </c>
      <c r="P19" s="57" t="s">
        <v>132</v>
      </c>
    </row>
    <row r="20" spans="1:16" ht="12.75" customHeight="1" thickBot="1" x14ac:dyDescent="0.25">
      <c r="A20" s="10" t="str">
        <f t="shared" si="0"/>
        <v>IBVS 5920 </v>
      </c>
      <c r="B20" s="3" t="str">
        <f t="shared" si="1"/>
        <v>II</v>
      </c>
      <c r="C20" s="10">
        <f t="shared" si="2"/>
        <v>55049.351499999997</v>
      </c>
      <c r="D20" s="19" t="str">
        <f t="shared" si="3"/>
        <v>vis</v>
      </c>
      <c r="E20" s="53">
        <f>VLOOKUP(C20,A!C$21:E$973,3,FALSE)</f>
        <v>4500.0098471718838</v>
      </c>
      <c r="F20" s="3" t="s">
        <v>67</v>
      </c>
      <c r="G20" s="19" t="str">
        <f t="shared" si="4"/>
        <v>55049.3515</v>
      </c>
      <c r="H20" s="10">
        <f t="shared" si="5"/>
        <v>5020.5</v>
      </c>
      <c r="I20" s="54" t="s">
        <v>133</v>
      </c>
      <c r="J20" s="55" t="s">
        <v>134</v>
      </c>
      <c r="K20" s="54" t="s">
        <v>135</v>
      </c>
      <c r="L20" s="54" t="s">
        <v>136</v>
      </c>
      <c r="M20" s="55" t="s">
        <v>109</v>
      </c>
      <c r="N20" s="55" t="s">
        <v>59</v>
      </c>
      <c r="O20" s="56" t="s">
        <v>74</v>
      </c>
      <c r="P20" s="57" t="s">
        <v>137</v>
      </c>
    </row>
    <row r="21" spans="1:16" ht="12.75" customHeight="1" thickBot="1" x14ac:dyDescent="0.25">
      <c r="A21" s="10" t="str">
        <f t="shared" si="0"/>
        <v>BAVM 214 </v>
      </c>
      <c r="B21" s="3" t="str">
        <f t="shared" si="1"/>
        <v>II</v>
      </c>
      <c r="C21" s="10">
        <f t="shared" si="2"/>
        <v>55352.484400000001</v>
      </c>
      <c r="D21" s="19" t="str">
        <f t="shared" si="3"/>
        <v>vis</v>
      </c>
      <c r="E21" s="53">
        <f>VLOOKUP(C21,A!C$21:E$973,3,FALSE)</f>
        <v>5097.0102016700803</v>
      </c>
      <c r="F21" s="3" t="s">
        <v>67</v>
      </c>
      <c r="G21" s="19" t="str">
        <f t="shared" si="4"/>
        <v>55352.4844</v>
      </c>
      <c r="H21" s="10">
        <f t="shared" si="5"/>
        <v>5617.5</v>
      </c>
      <c r="I21" s="54" t="s">
        <v>138</v>
      </c>
      <c r="J21" s="55" t="s">
        <v>139</v>
      </c>
      <c r="K21" s="54" t="s">
        <v>140</v>
      </c>
      <c r="L21" s="54" t="s">
        <v>141</v>
      </c>
      <c r="M21" s="55" t="s">
        <v>109</v>
      </c>
      <c r="N21" s="55" t="s">
        <v>115</v>
      </c>
      <c r="O21" s="56" t="s">
        <v>116</v>
      </c>
      <c r="P21" s="57" t="s">
        <v>142</v>
      </c>
    </row>
    <row r="22" spans="1:16" ht="12.75" customHeight="1" thickBot="1" x14ac:dyDescent="0.25">
      <c r="A22" s="10" t="str">
        <f t="shared" si="0"/>
        <v>IBVS 5992 </v>
      </c>
      <c r="B22" s="3" t="str">
        <f t="shared" si="1"/>
        <v>II</v>
      </c>
      <c r="C22" s="10">
        <f t="shared" si="2"/>
        <v>55672.877899999999</v>
      </c>
      <c r="D22" s="19" t="str">
        <f t="shared" si="3"/>
        <v>vis</v>
      </c>
      <c r="E22" s="53">
        <f>VLOOKUP(C22,A!C$21:E$973,3,FALSE)</f>
        <v>5728.0041752008783</v>
      </c>
      <c r="F22" s="3" t="s">
        <v>67</v>
      </c>
      <c r="G22" s="19" t="str">
        <f t="shared" si="4"/>
        <v>55672.8779</v>
      </c>
      <c r="H22" s="10">
        <f t="shared" si="5"/>
        <v>6248.5</v>
      </c>
      <c r="I22" s="54" t="s">
        <v>143</v>
      </c>
      <c r="J22" s="55" t="s">
        <v>144</v>
      </c>
      <c r="K22" s="54" t="s">
        <v>145</v>
      </c>
      <c r="L22" s="54" t="s">
        <v>146</v>
      </c>
      <c r="M22" s="55" t="s">
        <v>109</v>
      </c>
      <c r="N22" s="55" t="s">
        <v>67</v>
      </c>
      <c r="O22" s="56" t="s">
        <v>147</v>
      </c>
      <c r="P22" s="57" t="s">
        <v>148</v>
      </c>
    </row>
    <row r="23" spans="1:16" ht="12.75" customHeight="1" thickBot="1" x14ac:dyDescent="0.25">
      <c r="A23" s="10" t="str">
        <f t="shared" si="0"/>
        <v> BBS 126 </v>
      </c>
      <c r="B23" s="3" t="str">
        <f t="shared" si="1"/>
        <v>I</v>
      </c>
      <c r="C23" s="10">
        <f t="shared" si="2"/>
        <v>52065.490100000003</v>
      </c>
      <c r="D23" s="19" t="str">
        <f t="shared" si="3"/>
        <v>vis</v>
      </c>
      <c r="E23" s="53">
        <f>VLOOKUP(C23,A!C$21:E$973,3,FALSE)</f>
        <v>-1376.5093745076388</v>
      </c>
      <c r="F23" s="3" t="s">
        <v>67</v>
      </c>
      <c r="G23" s="19" t="str">
        <f t="shared" si="4"/>
        <v>52065.4901</v>
      </c>
      <c r="H23" s="10">
        <f t="shared" si="5"/>
        <v>-856</v>
      </c>
      <c r="I23" s="54" t="s">
        <v>69</v>
      </c>
      <c r="J23" s="55" t="s">
        <v>70</v>
      </c>
      <c r="K23" s="54">
        <v>-856</v>
      </c>
      <c r="L23" s="54" t="s">
        <v>71</v>
      </c>
      <c r="M23" s="55" t="s">
        <v>72</v>
      </c>
      <c r="N23" s="55" t="s">
        <v>73</v>
      </c>
      <c r="O23" s="56" t="s">
        <v>74</v>
      </c>
      <c r="P23" s="56" t="s">
        <v>75</v>
      </c>
    </row>
    <row r="24" spans="1:16" ht="12.75" customHeight="1" thickBot="1" x14ac:dyDescent="0.25">
      <c r="A24" s="10" t="str">
        <f t="shared" si="0"/>
        <v> BBS 126 </v>
      </c>
      <c r="B24" s="3" t="str">
        <f t="shared" si="1"/>
        <v>II</v>
      </c>
      <c r="C24" s="10">
        <f t="shared" si="2"/>
        <v>52075.393199999999</v>
      </c>
      <c r="D24" s="19" t="str">
        <f t="shared" si="3"/>
        <v>vis</v>
      </c>
      <c r="E24" s="53">
        <f>VLOOKUP(C24,A!C$21:E$973,3,FALSE)</f>
        <v>-1357.0058689144532</v>
      </c>
      <c r="F24" s="3" t="s">
        <v>67</v>
      </c>
      <c r="G24" s="19" t="str">
        <f t="shared" si="4"/>
        <v>52075.3932</v>
      </c>
      <c r="H24" s="10">
        <f t="shared" si="5"/>
        <v>-836.5</v>
      </c>
      <c r="I24" s="54" t="s">
        <v>76</v>
      </c>
      <c r="J24" s="55" t="s">
        <v>77</v>
      </c>
      <c r="K24" s="54">
        <v>-836.5</v>
      </c>
      <c r="L24" s="54" t="s">
        <v>78</v>
      </c>
      <c r="M24" s="55" t="s">
        <v>72</v>
      </c>
      <c r="N24" s="55" t="s">
        <v>73</v>
      </c>
      <c r="O24" s="56" t="s">
        <v>74</v>
      </c>
      <c r="P24" s="56" t="s">
        <v>75</v>
      </c>
    </row>
    <row r="25" spans="1:16" ht="12.75" customHeight="1" thickBot="1" x14ac:dyDescent="0.25">
      <c r="A25" s="10" t="str">
        <f t="shared" si="0"/>
        <v> BBS 128 </v>
      </c>
      <c r="B25" s="3" t="str">
        <f t="shared" si="1"/>
        <v>I</v>
      </c>
      <c r="C25" s="10">
        <f t="shared" si="2"/>
        <v>52426.509700000002</v>
      </c>
      <c r="D25" s="19" t="str">
        <f t="shared" si="3"/>
        <v>vis</v>
      </c>
      <c r="E25" s="53">
        <f>VLOOKUP(C25,A!C$21:E$973,3,FALSE)</f>
        <v>-665.50496297463189</v>
      </c>
      <c r="F25" s="3" t="s">
        <v>67</v>
      </c>
      <c r="G25" s="19" t="str">
        <f t="shared" si="4"/>
        <v>52426.5097</v>
      </c>
      <c r="H25" s="10">
        <f t="shared" si="5"/>
        <v>-145</v>
      </c>
      <c r="I25" s="54" t="s">
        <v>79</v>
      </c>
      <c r="J25" s="55" t="s">
        <v>80</v>
      </c>
      <c r="K25" s="54">
        <v>-145</v>
      </c>
      <c r="L25" s="54" t="s">
        <v>81</v>
      </c>
      <c r="M25" s="55" t="s">
        <v>72</v>
      </c>
      <c r="N25" s="55" t="s">
        <v>73</v>
      </c>
      <c r="O25" s="56" t="s">
        <v>74</v>
      </c>
      <c r="P25" s="56" t="s">
        <v>82</v>
      </c>
    </row>
    <row r="26" spans="1:16" ht="12.75" customHeight="1" thickBot="1" x14ac:dyDescent="0.25">
      <c r="A26" s="10" t="str">
        <f t="shared" si="0"/>
        <v> BBS 128 </v>
      </c>
      <c r="B26" s="3" t="str">
        <f t="shared" si="1"/>
        <v>II</v>
      </c>
      <c r="C26" s="10">
        <f t="shared" si="2"/>
        <v>52442.503700000001</v>
      </c>
      <c r="D26" s="19" t="str">
        <f t="shared" si="3"/>
        <v>vis</v>
      </c>
      <c r="E26" s="53">
        <f>VLOOKUP(C26,A!C$21:E$973,3,FALSE)</f>
        <v>-634.00582952576076</v>
      </c>
      <c r="F26" s="3" t="s">
        <v>67</v>
      </c>
      <c r="G26" s="19" t="str">
        <f t="shared" si="4"/>
        <v>52442.5037</v>
      </c>
      <c r="H26" s="10">
        <f t="shared" si="5"/>
        <v>-113.5</v>
      </c>
      <c r="I26" s="54" t="s">
        <v>83</v>
      </c>
      <c r="J26" s="55" t="s">
        <v>84</v>
      </c>
      <c r="K26" s="54">
        <v>-113.5</v>
      </c>
      <c r="L26" s="54" t="s">
        <v>85</v>
      </c>
      <c r="M26" s="55" t="s">
        <v>72</v>
      </c>
      <c r="N26" s="55" t="s">
        <v>73</v>
      </c>
      <c r="O26" s="56" t="s">
        <v>74</v>
      </c>
      <c r="P26" s="56" t="s">
        <v>82</v>
      </c>
    </row>
    <row r="27" spans="1:16" ht="12.75" customHeight="1" thickBot="1" x14ac:dyDescent="0.25">
      <c r="A27" s="10" t="str">
        <f t="shared" si="0"/>
        <v> BBS 128 </v>
      </c>
      <c r="B27" s="3" t="str">
        <f t="shared" si="1"/>
        <v>I</v>
      </c>
      <c r="C27" s="10">
        <f t="shared" si="2"/>
        <v>52463.575499999999</v>
      </c>
      <c r="D27" s="19" t="str">
        <f t="shared" si="3"/>
        <v>vis</v>
      </c>
      <c r="E27" s="53">
        <f>VLOOKUP(C27,A!C$21:E$973,3,FALSE)</f>
        <v>-592.50630219001573</v>
      </c>
      <c r="F27" s="3" t="s">
        <v>67</v>
      </c>
      <c r="G27" s="19" t="str">
        <f t="shared" si="4"/>
        <v>52463.5755</v>
      </c>
      <c r="H27" s="10">
        <f t="shared" si="5"/>
        <v>-72</v>
      </c>
      <c r="I27" s="54" t="s">
        <v>86</v>
      </c>
      <c r="J27" s="55" t="s">
        <v>87</v>
      </c>
      <c r="K27" s="54">
        <v>-72</v>
      </c>
      <c r="L27" s="54" t="s">
        <v>88</v>
      </c>
      <c r="M27" s="55" t="s">
        <v>72</v>
      </c>
      <c r="N27" s="55" t="s">
        <v>73</v>
      </c>
      <c r="O27" s="56" t="s">
        <v>74</v>
      </c>
      <c r="P27" s="56" t="s">
        <v>82</v>
      </c>
    </row>
    <row r="28" spans="1:16" ht="12.75" customHeight="1" thickBot="1" x14ac:dyDescent="0.25">
      <c r="A28" s="10" t="str">
        <f t="shared" si="0"/>
        <v> BBS 128 </v>
      </c>
      <c r="B28" s="3" t="str">
        <f t="shared" si="1"/>
        <v>I</v>
      </c>
      <c r="C28" s="10">
        <f t="shared" si="2"/>
        <v>52483.3802</v>
      </c>
      <c r="D28" s="19" t="str">
        <f t="shared" si="3"/>
        <v>vis</v>
      </c>
      <c r="E28" s="53">
        <f>VLOOKUP(C28,A!C$21:E$973,3,FALSE)</f>
        <v>-553.50224515519494</v>
      </c>
      <c r="F28" s="3" t="s">
        <v>67</v>
      </c>
      <c r="G28" s="19" t="str">
        <f t="shared" si="4"/>
        <v>52483.3802</v>
      </c>
      <c r="H28" s="10">
        <f t="shared" si="5"/>
        <v>-33</v>
      </c>
      <c r="I28" s="54" t="s">
        <v>89</v>
      </c>
      <c r="J28" s="55" t="s">
        <v>90</v>
      </c>
      <c r="K28" s="54">
        <v>-33</v>
      </c>
      <c r="L28" s="54" t="s">
        <v>91</v>
      </c>
      <c r="M28" s="55" t="s">
        <v>72</v>
      </c>
      <c r="N28" s="55" t="s">
        <v>73</v>
      </c>
      <c r="O28" s="56" t="s">
        <v>74</v>
      </c>
      <c r="P28" s="56" t="s">
        <v>82</v>
      </c>
    </row>
    <row r="29" spans="1:16" ht="12.75" customHeight="1" thickBot="1" x14ac:dyDescent="0.25">
      <c r="A29" s="10" t="str">
        <f t="shared" si="0"/>
        <v>BAVM 203 </v>
      </c>
      <c r="B29" s="3" t="str">
        <f t="shared" si="1"/>
        <v>I</v>
      </c>
      <c r="C29" s="10">
        <f t="shared" si="2"/>
        <v>54709.405599999998</v>
      </c>
      <c r="D29" s="19" t="str">
        <f t="shared" si="3"/>
        <v>vis</v>
      </c>
      <c r="E29" s="53">
        <f>VLOOKUP(C29,A!C$21:E$973,3,FALSE)</f>
        <v>3830.5087048999467</v>
      </c>
      <c r="F29" s="3" t="s">
        <v>67</v>
      </c>
      <c r="G29" s="19" t="str">
        <f t="shared" si="4"/>
        <v>54709.4056</v>
      </c>
      <c r="H29" s="10">
        <f t="shared" si="5"/>
        <v>4351</v>
      </c>
      <c r="I29" s="54" t="s">
        <v>123</v>
      </c>
      <c r="J29" s="55" t="s">
        <v>124</v>
      </c>
      <c r="K29" s="54" t="s">
        <v>125</v>
      </c>
      <c r="L29" s="54" t="s">
        <v>126</v>
      </c>
      <c r="M29" s="55" t="s">
        <v>109</v>
      </c>
      <c r="N29" s="55" t="s">
        <v>115</v>
      </c>
      <c r="O29" s="56" t="s">
        <v>116</v>
      </c>
      <c r="P29" s="57" t="s">
        <v>127</v>
      </c>
    </row>
    <row r="30" spans="1:16" x14ac:dyDescent="0.2">
      <c r="B30" s="3"/>
      <c r="E30" s="53"/>
      <c r="F30" s="3"/>
    </row>
    <row r="31" spans="1:16" x14ac:dyDescent="0.2">
      <c r="B31" s="3"/>
      <c r="E31" s="53"/>
      <c r="F31" s="3"/>
    </row>
    <row r="32" spans="1:16" x14ac:dyDescent="0.2">
      <c r="B32" s="3"/>
      <c r="E32" s="53"/>
      <c r="F32" s="3"/>
    </row>
    <row r="33" spans="2:6" x14ac:dyDescent="0.2">
      <c r="B33" s="3"/>
      <c r="E33" s="53"/>
      <c r="F33" s="3"/>
    </row>
    <row r="34" spans="2:6" x14ac:dyDescent="0.2">
      <c r="B34" s="3"/>
      <c r="E34" s="53"/>
      <c r="F34" s="3"/>
    </row>
    <row r="35" spans="2:6" x14ac:dyDescent="0.2">
      <c r="B35" s="3"/>
      <c r="E35" s="53"/>
      <c r="F35" s="3"/>
    </row>
    <row r="36" spans="2:6" x14ac:dyDescent="0.2">
      <c r="B36" s="3"/>
      <c r="E36" s="53"/>
      <c r="F36" s="3"/>
    </row>
    <row r="37" spans="2:6" x14ac:dyDescent="0.2">
      <c r="B37" s="3"/>
      <c r="E37" s="53"/>
      <c r="F37" s="3"/>
    </row>
    <row r="38" spans="2:6" x14ac:dyDescent="0.2">
      <c r="B38" s="3"/>
      <c r="E38" s="53"/>
      <c r="F38" s="3"/>
    </row>
    <row r="39" spans="2:6" x14ac:dyDescent="0.2">
      <c r="B39" s="3"/>
      <c r="E39" s="53"/>
      <c r="F39" s="3"/>
    </row>
    <row r="40" spans="2:6" x14ac:dyDescent="0.2">
      <c r="B40" s="3"/>
      <c r="E40" s="53"/>
      <c r="F40" s="3"/>
    </row>
    <row r="41" spans="2:6" x14ac:dyDescent="0.2">
      <c r="B41" s="3"/>
      <c r="E41" s="53"/>
      <c r="F41" s="3"/>
    </row>
    <row r="42" spans="2:6" x14ac:dyDescent="0.2">
      <c r="B42" s="3"/>
      <c r="E42" s="53"/>
      <c r="F42" s="3"/>
    </row>
    <row r="43" spans="2:6" x14ac:dyDescent="0.2">
      <c r="B43" s="3"/>
      <c r="E43" s="53"/>
      <c r="F43" s="3"/>
    </row>
    <row r="44" spans="2:6" x14ac:dyDescent="0.2">
      <c r="B44" s="3"/>
      <c r="E44" s="53"/>
      <c r="F44" s="3"/>
    </row>
    <row r="45" spans="2:6" x14ac:dyDescent="0.2">
      <c r="B45" s="3"/>
      <c r="E45" s="53"/>
      <c r="F45" s="3"/>
    </row>
    <row r="46" spans="2:6" x14ac:dyDescent="0.2">
      <c r="B46" s="3"/>
      <c r="E46" s="53"/>
      <c r="F46" s="3"/>
    </row>
    <row r="47" spans="2:6" x14ac:dyDescent="0.2">
      <c r="B47" s="3"/>
      <c r="E47" s="53"/>
      <c r="F47" s="3"/>
    </row>
    <row r="48" spans="2:6" x14ac:dyDescent="0.2">
      <c r="B48" s="3"/>
      <c r="E48" s="53"/>
      <c r="F48" s="3"/>
    </row>
    <row r="49" spans="2:6" x14ac:dyDescent="0.2">
      <c r="B49" s="3"/>
      <c r="E49" s="53"/>
      <c r="F49" s="3"/>
    </row>
    <row r="50" spans="2:6" x14ac:dyDescent="0.2">
      <c r="B50" s="3"/>
      <c r="E50" s="53"/>
      <c r="F50" s="3"/>
    </row>
    <row r="51" spans="2:6" x14ac:dyDescent="0.2">
      <c r="B51" s="3"/>
      <c r="E51" s="53"/>
      <c r="F51" s="3"/>
    </row>
    <row r="52" spans="2:6" x14ac:dyDescent="0.2">
      <c r="B52" s="3"/>
      <c r="E52" s="53"/>
      <c r="F52" s="3"/>
    </row>
    <row r="53" spans="2:6" x14ac:dyDescent="0.2">
      <c r="B53" s="3"/>
      <c r="E53" s="53"/>
      <c r="F53" s="3"/>
    </row>
    <row r="54" spans="2:6" x14ac:dyDescent="0.2">
      <c r="B54" s="3"/>
      <c r="E54" s="53"/>
      <c r="F54" s="3"/>
    </row>
    <row r="55" spans="2:6" x14ac:dyDescent="0.2">
      <c r="B55" s="3"/>
      <c r="E55" s="53"/>
      <c r="F55" s="3"/>
    </row>
    <row r="56" spans="2:6" x14ac:dyDescent="0.2">
      <c r="B56" s="3"/>
      <c r="E56" s="53"/>
      <c r="F56" s="3"/>
    </row>
    <row r="57" spans="2:6" x14ac:dyDescent="0.2">
      <c r="B57" s="3"/>
      <c r="E57" s="53"/>
      <c r="F57" s="3"/>
    </row>
    <row r="58" spans="2:6" x14ac:dyDescent="0.2">
      <c r="B58" s="3"/>
      <c r="E58" s="53"/>
      <c r="F58" s="3"/>
    </row>
    <row r="59" spans="2:6" x14ac:dyDescent="0.2">
      <c r="B59" s="3"/>
      <c r="E59" s="53"/>
      <c r="F59" s="3"/>
    </row>
    <row r="60" spans="2:6" x14ac:dyDescent="0.2">
      <c r="B60" s="3"/>
      <c r="E60" s="53"/>
      <c r="F60" s="3"/>
    </row>
    <row r="61" spans="2:6" x14ac:dyDescent="0.2">
      <c r="B61" s="3"/>
      <c r="E61" s="53"/>
      <c r="F61" s="3"/>
    </row>
    <row r="62" spans="2:6" x14ac:dyDescent="0.2">
      <c r="B62" s="3"/>
      <c r="E62" s="53"/>
      <c r="F62" s="3"/>
    </row>
    <row r="63" spans="2:6" x14ac:dyDescent="0.2">
      <c r="B63" s="3"/>
      <c r="E63" s="53"/>
      <c r="F63" s="3"/>
    </row>
    <row r="64" spans="2:6" x14ac:dyDescent="0.2">
      <c r="B64" s="3"/>
      <c r="E64" s="53"/>
      <c r="F64" s="3"/>
    </row>
    <row r="65" spans="2:6" x14ac:dyDescent="0.2">
      <c r="B65" s="3"/>
      <c r="E65" s="53"/>
      <c r="F65" s="3"/>
    </row>
    <row r="66" spans="2:6" x14ac:dyDescent="0.2">
      <c r="B66" s="3"/>
      <c r="E66" s="53"/>
      <c r="F66" s="3"/>
    </row>
    <row r="67" spans="2:6" x14ac:dyDescent="0.2">
      <c r="B67" s="3"/>
      <c r="E67" s="53"/>
      <c r="F67" s="3"/>
    </row>
    <row r="68" spans="2:6" x14ac:dyDescent="0.2">
      <c r="B68" s="3"/>
      <c r="E68" s="53"/>
      <c r="F68" s="3"/>
    </row>
    <row r="69" spans="2:6" x14ac:dyDescent="0.2">
      <c r="B69" s="3"/>
      <c r="E69" s="5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</sheetData>
  <phoneticPr fontId="7" type="noConversion"/>
  <hyperlinks>
    <hyperlink ref="P13" r:id="rId1" display="http://www.konkoly.hu/cgi-bin/IBVS?5653"/>
    <hyperlink ref="P14" r:id="rId2" display="http://www.konkoly.hu/cgi-bin/IBVS?5713"/>
    <hyperlink ref="P15" r:id="rId3" display="http://www.konkoly.hu/cgi-bin/IBVS?5713"/>
    <hyperlink ref="P17" r:id="rId4" display="http://www.bav-astro.de/sfs/BAVM_link.php?BAVMnr=186"/>
    <hyperlink ref="P18" r:id="rId5" display="http://www.konkoly.hu/cgi-bin/IBVS?5871"/>
    <hyperlink ref="P29" r:id="rId6" display="http://www.bav-astro.de/sfs/BAVM_link.php?BAVMnr=203"/>
    <hyperlink ref="P19" r:id="rId7" display="http://www.bav-astro.de/sfs/BAVM_link.php?BAVMnr=209"/>
    <hyperlink ref="P20" r:id="rId8" display="http://www.konkoly.hu/cgi-bin/IBVS?5920"/>
    <hyperlink ref="P21" r:id="rId9" display="http://www.bav-astro.de/sfs/BAVM_link.php?BAVMnr=214"/>
    <hyperlink ref="P22" r:id="rId10" display="http://www.konkoly.hu/cgi-bin/IBVS?5992"/>
    <hyperlink ref="P12" r:id="rId11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2024-02-14T04:51:55Z</dcterms:modified>
</cp:coreProperties>
</file>