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074EB45-9580-47F6-A176-842BC96DCEC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K72" i="1" l="1"/>
  <c r="Q73" i="1"/>
  <c r="E73" i="1"/>
  <c r="F73" i="1" s="1"/>
  <c r="G73" i="1" s="1"/>
  <c r="K73" i="1" s="1"/>
  <c r="Q72" i="1"/>
  <c r="E72" i="1"/>
  <c r="F72" i="1"/>
  <c r="G72" i="1" s="1"/>
  <c r="E70" i="1"/>
  <c r="F70" i="1" s="1"/>
  <c r="G70" i="1" s="1"/>
  <c r="K70" i="1" s="1"/>
  <c r="Q70" i="1"/>
  <c r="Q71" i="1"/>
  <c r="E71" i="1"/>
  <c r="F71" i="1" s="1"/>
  <c r="G71" i="1" s="1"/>
  <c r="K71" i="1" s="1"/>
  <c r="G23" i="2"/>
  <c r="C23" i="2"/>
  <c r="E69" i="1"/>
  <c r="F69" i="1" s="1"/>
  <c r="G69" i="1" s="1"/>
  <c r="K69" i="1" s="1"/>
  <c r="G22" i="2"/>
  <c r="C22" i="2"/>
  <c r="E22" i="2"/>
  <c r="E68" i="1"/>
  <c r="F68" i="1" s="1"/>
  <c r="G68" i="1" s="1"/>
  <c r="K68" i="1" s="1"/>
  <c r="G21" i="2"/>
  <c r="C21" i="2"/>
  <c r="E67" i="1"/>
  <c r="E21" i="2" s="1"/>
  <c r="G20" i="2"/>
  <c r="C20" i="2"/>
  <c r="E66" i="1"/>
  <c r="F66" i="1" s="1"/>
  <c r="G66" i="1" s="1"/>
  <c r="K66" i="1" s="1"/>
  <c r="G19" i="2"/>
  <c r="C19" i="2"/>
  <c r="E19" i="2"/>
  <c r="E65" i="1"/>
  <c r="G18" i="2"/>
  <c r="C18" i="2"/>
  <c r="E18" i="2"/>
  <c r="E64" i="1"/>
  <c r="G17" i="2"/>
  <c r="C17" i="2"/>
  <c r="E17" i="2"/>
  <c r="E62" i="1"/>
  <c r="G16" i="2"/>
  <c r="C16" i="2"/>
  <c r="E61" i="1"/>
  <c r="E16" i="2" s="1"/>
  <c r="G15" i="2"/>
  <c r="C15" i="2"/>
  <c r="E15" i="2"/>
  <c r="E60" i="1"/>
  <c r="G14" i="2"/>
  <c r="C14" i="2"/>
  <c r="E14" i="2"/>
  <c r="E59" i="1"/>
  <c r="G13" i="2"/>
  <c r="C13" i="2"/>
  <c r="E13" i="2"/>
  <c r="E58" i="1"/>
  <c r="G12" i="2"/>
  <c r="C12" i="2"/>
  <c r="E12" i="2"/>
  <c r="E57" i="1"/>
  <c r="G11" i="2"/>
  <c r="C11" i="2"/>
  <c r="E11" i="2"/>
  <c r="E56" i="1"/>
  <c r="G26" i="2"/>
  <c r="C26" i="2"/>
  <c r="E26" i="2"/>
  <c r="G25" i="2"/>
  <c r="C25" i="2"/>
  <c r="E25" i="2"/>
  <c r="G24" i="2"/>
  <c r="C24" i="2"/>
  <c r="E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26" i="2"/>
  <c r="B26" i="2"/>
  <c r="D26" i="2"/>
  <c r="A26" i="2"/>
  <c r="H25" i="2"/>
  <c r="D25" i="2"/>
  <c r="B25" i="2"/>
  <c r="A25" i="2"/>
  <c r="H24" i="2"/>
  <c r="B24" i="2"/>
  <c r="D24" i="2"/>
  <c r="A24" i="2"/>
  <c r="F67" i="1"/>
  <c r="G67" i="1" s="1"/>
  <c r="K67" i="1" s="1"/>
  <c r="F65" i="1"/>
  <c r="G65" i="1" s="1"/>
  <c r="K65" i="1" s="1"/>
  <c r="F59" i="1"/>
  <c r="G59" i="1" s="1"/>
  <c r="K59" i="1" s="1"/>
  <c r="F57" i="1"/>
  <c r="G57" i="1" s="1"/>
  <c r="K57" i="1" s="1"/>
  <c r="F56" i="1"/>
  <c r="G56" i="1"/>
  <c r="K56" i="1" s="1"/>
  <c r="E41" i="1"/>
  <c r="F41" i="1" s="1"/>
  <c r="G41" i="1" s="1"/>
  <c r="K41" i="1" s="1"/>
  <c r="E39" i="1"/>
  <c r="F39" i="1" s="1"/>
  <c r="G39" i="1" s="1"/>
  <c r="K39" i="1" s="1"/>
  <c r="E38" i="1"/>
  <c r="F38" i="1" s="1"/>
  <c r="G38" i="1" s="1"/>
  <c r="I38" i="1" s="1"/>
  <c r="Q69" i="1"/>
  <c r="E21" i="1"/>
  <c r="F21" i="1"/>
  <c r="G21" i="1" s="1"/>
  <c r="H21" i="1" s="1"/>
  <c r="E22" i="1"/>
  <c r="F22" i="1"/>
  <c r="G22" i="1" s="1"/>
  <c r="H22" i="1" s="1"/>
  <c r="E23" i="1"/>
  <c r="F23" i="1"/>
  <c r="G23" i="1" s="1"/>
  <c r="H23" i="1" s="1"/>
  <c r="E24" i="1"/>
  <c r="F24" i="1"/>
  <c r="G24" i="1" s="1"/>
  <c r="H24" i="1" s="1"/>
  <c r="E25" i="1"/>
  <c r="F25" i="1"/>
  <c r="G25" i="1" s="1"/>
  <c r="H25" i="1" s="1"/>
  <c r="E26" i="1"/>
  <c r="F26" i="1"/>
  <c r="G26" i="1" s="1"/>
  <c r="H26" i="1" s="1"/>
  <c r="E27" i="1"/>
  <c r="F27" i="1"/>
  <c r="G27" i="1" s="1"/>
  <c r="H27" i="1" s="1"/>
  <c r="E28" i="1"/>
  <c r="F28" i="1"/>
  <c r="G28" i="1" s="1"/>
  <c r="H28" i="1" s="1"/>
  <c r="E29" i="1"/>
  <c r="F29" i="1"/>
  <c r="G29" i="1" s="1"/>
  <c r="H29" i="1" s="1"/>
  <c r="E30" i="1"/>
  <c r="F30" i="1"/>
  <c r="G30" i="1" s="1"/>
  <c r="H30" i="1" s="1"/>
  <c r="E31" i="1"/>
  <c r="F31" i="1"/>
  <c r="G31" i="1" s="1"/>
  <c r="H31" i="1" s="1"/>
  <c r="E32" i="1"/>
  <c r="F32" i="1"/>
  <c r="G32" i="1" s="1"/>
  <c r="H32" i="1" s="1"/>
  <c r="E33" i="1"/>
  <c r="F33" i="1"/>
  <c r="G33" i="1" s="1"/>
  <c r="H33" i="1" s="1"/>
  <c r="E34" i="1"/>
  <c r="F34" i="1"/>
  <c r="G34" i="1" s="1"/>
  <c r="H34" i="1" s="1"/>
  <c r="E35" i="1"/>
  <c r="F35" i="1"/>
  <c r="G35" i="1" s="1"/>
  <c r="H35" i="1" s="1"/>
  <c r="E36" i="1"/>
  <c r="F36" i="1"/>
  <c r="G36" i="1" s="1"/>
  <c r="H36" i="1" s="1"/>
  <c r="E37" i="1"/>
  <c r="F37" i="1"/>
  <c r="G37" i="1" s="1"/>
  <c r="H37" i="1" s="1"/>
  <c r="E40" i="1"/>
  <c r="F40" i="1"/>
  <c r="G40" i="1" s="1"/>
  <c r="I40" i="1" s="1"/>
  <c r="E42" i="1"/>
  <c r="F42" i="1"/>
  <c r="G42" i="1" s="1"/>
  <c r="J42" i="1" s="1"/>
  <c r="E43" i="1"/>
  <c r="F43" i="1"/>
  <c r="G43" i="1" s="1"/>
  <c r="I43" i="1" s="1"/>
  <c r="E44" i="1"/>
  <c r="F44" i="1"/>
  <c r="G44" i="1" s="1"/>
  <c r="I44" i="1" s="1"/>
  <c r="E45" i="1"/>
  <c r="F45" i="1"/>
  <c r="G45" i="1" s="1"/>
  <c r="I45" i="1" s="1"/>
  <c r="E46" i="1"/>
  <c r="F46" i="1"/>
  <c r="G46" i="1" s="1"/>
  <c r="I46" i="1" s="1"/>
  <c r="E47" i="1"/>
  <c r="F47" i="1"/>
  <c r="G47" i="1" s="1"/>
  <c r="E48" i="1"/>
  <c r="F48" i="1" s="1"/>
  <c r="G48" i="1" s="1"/>
  <c r="E49" i="1"/>
  <c r="F49" i="1" s="1"/>
  <c r="G49" i="1" s="1"/>
  <c r="E50" i="1"/>
  <c r="F50" i="1" s="1"/>
  <c r="G50" i="1" s="1"/>
  <c r="E51" i="1"/>
  <c r="F51" i="1"/>
  <c r="G51" i="1" s="1"/>
  <c r="E52" i="1"/>
  <c r="F52" i="1" s="1"/>
  <c r="G52" i="1" s="1"/>
  <c r="K52" i="1" s="1"/>
  <c r="F58" i="1"/>
  <c r="G58" i="1" s="1"/>
  <c r="F60" i="1"/>
  <c r="G60" i="1" s="1"/>
  <c r="F61" i="1"/>
  <c r="G61" i="1" s="1"/>
  <c r="F62" i="1"/>
  <c r="G62" i="1" s="1"/>
  <c r="E63" i="1"/>
  <c r="F63" i="1" s="1"/>
  <c r="G63" i="1" s="1"/>
  <c r="K63" i="1" s="1"/>
  <c r="F64" i="1"/>
  <c r="G64" i="1" s="1"/>
  <c r="E53" i="1"/>
  <c r="F53" i="1" s="1"/>
  <c r="E54" i="1"/>
  <c r="F54" i="1" s="1"/>
  <c r="E55" i="1"/>
  <c r="F55" i="1" s="1"/>
  <c r="C9" i="1"/>
  <c r="D9" i="1"/>
  <c r="Q56" i="1"/>
  <c r="Q57" i="1"/>
  <c r="Q66" i="1"/>
  <c r="Q67" i="1"/>
  <c r="Q68" i="1"/>
  <c r="Q59" i="1"/>
  <c r="Q61" i="1"/>
  <c r="F16" i="1"/>
  <c r="F17" i="1" s="1"/>
  <c r="C17" i="1"/>
  <c r="Q65" i="1"/>
  <c r="Q39" i="1"/>
  <c r="Q41" i="1"/>
  <c r="Q55" i="1"/>
  <c r="Q54" i="1"/>
  <c r="Q53" i="1"/>
  <c r="Q64" i="1"/>
  <c r="Q62" i="1"/>
  <c r="Q60" i="1"/>
  <c r="Q58" i="1"/>
  <c r="Q63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2" i="1"/>
  <c r="Q43" i="1"/>
  <c r="Q44" i="1"/>
  <c r="Q45" i="1"/>
  <c r="Q46" i="1"/>
  <c r="Q47" i="1"/>
  <c r="Q48" i="1"/>
  <c r="Q49" i="1"/>
  <c r="Q50" i="1"/>
  <c r="Q51" i="1"/>
  <c r="Q52" i="1"/>
  <c r="Q21" i="1"/>
  <c r="C12" i="1"/>
  <c r="C11" i="1"/>
  <c r="E23" i="2" l="1"/>
  <c r="E20" i="2"/>
  <c r="O53" i="1"/>
  <c r="O29" i="1"/>
  <c r="O52" i="1"/>
  <c r="O68" i="1"/>
  <c r="O37" i="1"/>
  <c r="O32" i="1"/>
  <c r="O67" i="1"/>
  <c r="O39" i="1"/>
  <c r="O30" i="1"/>
  <c r="O47" i="1"/>
  <c r="O35" i="1"/>
  <c r="O62" i="1"/>
  <c r="O34" i="1"/>
  <c r="O26" i="1"/>
  <c r="O72" i="1"/>
  <c r="O45" i="1"/>
  <c r="O59" i="1"/>
  <c r="O43" i="1"/>
  <c r="O36" i="1"/>
  <c r="O41" i="1"/>
  <c r="O64" i="1"/>
  <c r="O46" i="1"/>
  <c r="O48" i="1"/>
  <c r="O65" i="1"/>
  <c r="O51" i="1"/>
  <c r="O42" i="1"/>
  <c r="O66" i="1"/>
  <c r="O40" i="1"/>
  <c r="O33" i="1"/>
  <c r="O49" i="1"/>
  <c r="O44" i="1"/>
  <c r="O38" i="1"/>
  <c r="O70" i="1"/>
  <c r="O50" i="1"/>
  <c r="O21" i="1"/>
  <c r="O23" i="1"/>
  <c r="O25" i="1"/>
  <c r="O28" i="1"/>
  <c r="C15" i="1"/>
  <c r="O31" i="1"/>
  <c r="O56" i="1"/>
  <c r="O60" i="1"/>
  <c r="O61" i="1"/>
  <c r="O73" i="1"/>
  <c r="O58" i="1"/>
  <c r="O71" i="1"/>
  <c r="O54" i="1"/>
  <c r="O24" i="1"/>
  <c r="O22" i="1"/>
  <c r="O63" i="1"/>
  <c r="O69" i="1"/>
  <c r="O55" i="1"/>
  <c r="O57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<sst xmlns="http://schemas.openxmlformats.org/spreadsheetml/2006/main" count="271" uniqueCount="157">
  <si>
    <t>s6</t>
  </si>
  <si>
    <t>s7</t>
  </si>
  <si>
    <t>BAD?</t>
  </si>
  <si>
    <t>Quad fit?</t>
  </si>
  <si>
    <t>IBVS 4998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</si>
  <si>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</si>
  <si>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</si>
  <si>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</si>
  <si>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</si>
  <si>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</si>
  <si>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</si>
  <si>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</si>
  <si>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</si>
  <si>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</si>
  <si>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</si>
  <si>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</si>
  <si>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</si>
  <si>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</si>
  <si>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</si>
  <si>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</si>
  <si>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</si>
  <si>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</si>
  <si>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</si>
  <si>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</si>
  <si>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</si>
  <si>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</si>
  <si>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</si>
  <si>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</si>
  <si>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</si>
  <si>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</si>
  <si>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</si>
  <si>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</si>
  <si>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</si>
  <si>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</si>
  <si>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</si>
  <si>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</si>
  <si>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Harvard plates</t>
  </si>
  <si>
    <t>ROTSE</t>
  </si>
  <si>
    <t>I</t>
  </si>
  <si>
    <t>Baldwin</t>
  </si>
  <si>
    <t>Lubke</t>
  </si>
  <si>
    <t>IBVS 5224</t>
  </si>
  <si>
    <t>V1042 Her / GSC 1534-0753</t>
  </si>
  <si>
    <t>Start of linear fit &gt;&gt;&gt;&gt;&gt;&gt;&gt;&gt;&gt;&gt;&gt;&gt;&gt;&gt;&gt;&gt;&gt;&gt;&gt;&gt;&gt;</t>
  </si>
  <si>
    <t>EW?</t>
  </si>
  <si>
    <t>IBVS 5677</t>
  </si>
  <si>
    <t>IBVS 5731</t>
  </si>
  <si>
    <t>IBVS 5875</t>
  </si>
  <si>
    <t>IBVS 5874</t>
  </si>
  <si>
    <t>IBVS 5894</t>
  </si>
  <si>
    <t>OEJV 0074</t>
  </si>
  <si>
    <t>vis</t>
  </si>
  <si>
    <t>IBVS 5060</t>
  </si>
  <si>
    <t>II</t>
  </si>
  <si>
    <t>IBVS 5945</t>
  </si>
  <si>
    <t>Add cycle</t>
  </si>
  <si>
    <t>Old Cycle</t>
  </si>
  <si>
    <t>IBVS 5592</t>
  </si>
  <si>
    <t>IBVS 5959</t>
  </si>
  <si>
    <t>IBVS 5992</t>
  </si>
  <si>
    <t>IBVS 6010</t>
  </si>
  <si>
    <t>OEJV 0003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</si>
  <si>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</si>
  <si>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</si>
  <si>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</si>
  <si>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</si>
  <si>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</si>
  <si>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</si>
  <si>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</si>
  <si>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</si>
  <si>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</si>
  <si>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</si>
  <si>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</si>
  <si>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</si>
  <si>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2452052.414 </t>
  </si>
  <si>
    <t> 22.05.2001 21:56 </t>
  </si>
  <si>
    <t> 0.002 </t>
  </si>
  <si>
    <t>V </t>
  </si>
  <si>
    <t> L.Brát </t>
  </si>
  <si>
    <t>OEJV 0074 </t>
  </si>
  <si>
    <t>2452053.431 </t>
  </si>
  <si>
    <t> 23.05.2001 22:20 </t>
  </si>
  <si>
    <t>2452054.455 </t>
  </si>
  <si>
    <t> 24.05.2001 22:55 </t>
  </si>
  <si>
    <t> -0.001 </t>
  </si>
  <si>
    <t>2452867.1862 </t>
  </si>
  <si>
    <t> 15.08.2003 16:28 </t>
  </si>
  <si>
    <t> -0.0015 </t>
  </si>
  <si>
    <t>E </t>
  </si>
  <si>
    <t>?</t>
  </si>
  <si>
    <t> T.Krajci </t>
  </si>
  <si>
    <t>IBVS 5592 </t>
  </si>
  <si>
    <t>2453126.3407 </t>
  </si>
  <si>
    <t> 30.04.2004 20:10 </t>
  </si>
  <si>
    <t> -0.0010 </t>
  </si>
  <si>
    <t>2453467.7918 </t>
  </si>
  <si>
    <t> 07.04.2005 07:00 </t>
  </si>
  <si>
    <t> 0.0007 </t>
  </si>
  <si>
    <t> S.Dvorak </t>
  </si>
  <si>
    <t>IBVS 5677 </t>
  </si>
  <si>
    <t>2453502.554 </t>
  </si>
  <si>
    <t> 12.05.2005 01:17 </t>
  </si>
  <si>
    <t> 0.005 </t>
  </si>
  <si>
    <t> K.Locher </t>
  </si>
  <si>
    <t>OEJV 0003 </t>
  </si>
  <si>
    <t>2453519.4176 </t>
  </si>
  <si>
    <t> 28.05.2005 22:01 </t>
  </si>
  <si>
    <t> 0.0001 </t>
  </si>
  <si>
    <t>C </t>
  </si>
  <si>
    <t>-I</t>
  </si>
  <si>
    <t> K. &amp; M.Rätz </t>
  </si>
  <si>
    <t>BAVM 178 </t>
  </si>
  <si>
    <t>2453565.423 </t>
  </si>
  <si>
    <t> 13.07.2005 22:09 </t>
  </si>
  <si>
    <t>2084</t>
  </si>
  <si>
    <t>2454210.4956 </t>
  </si>
  <si>
    <t> 19.04.2007 23:53 </t>
  </si>
  <si>
    <t>3346</t>
  </si>
  <si>
    <t> M.&amp; C.Rätz </t>
  </si>
  <si>
    <t>BAVM 201 </t>
  </si>
  <si>
    <t>2454957.799 </t>
  </si>
  <si>
    <t> 06.05.2009 07:10 </t>
  </si>
  <si>
    <t>4808</t>
  </si>
  <si>
    <t> 0.000 </t>
  </si>
  <si>
    <t> R.Diethelm </t>
  </si>
  <si>
    <t>IBVS 5894 </t>
  </si>
  <si>
    <t>2455311.7732 </t>
  </si>
  <si>
    <t> 25.04.2010 06:33 </t>
  </si>
  <si>
    <t>5500.5</t>
  </si>
  <si>
    <t> 0.0016 </t>
  </si>
  <si>
    <t>IBVS 5945 </t>
  </si>
  <si>
    <t>2455341.4190 </t>
  </si>
  <si>
    <t> 24.05.2010 22:03 </t>
  </si>
  <si>
    <t>5558.5</t>
  </si>
  <si>
    <t> 0.0006 </t>
  </si>
  <si>
    <t> F.Agerer </t>
  </si>
  <si>
    <t>BAVM 214 </t>
  </si>
  <si>
    <t>2455672.9009 </t>
  </si>
  <si>
    <t> 21.04.2011 09:37 </t>
  </si>
  <si>
    <t>6207</t>
  </si>
  <si>
    <t> 0.0005 </t>
  </si>
  <si>
    <t>IBVS 5992 </t>
  </si>
  <si>
    <t>2455689.5137 </t>
  </si>
  <si>
    <t> 08.05.2011 00:19 </t>
  </si>
  <si>
    <t>6239.5</t>
  </si>
  <si>
    <t> 0.0008 </t>
  </si>
  <si>
    <t>BAVM 220 </t>
  </si>
  <si>
    <t>2456073.8981 </t>
  </si>
  <si>
    <t> 26.05.2012 09:33 </t>
  </si>
  <si>
    <t>6991.5</t>
  </si>
  <si>
    <t>IBVS 6029 </t>
  </si>
  <si>
    <t>OEJV 0179</t>
  </si>
  <si>
    <t>IBVS 6234</t>
  </si>
  <si>
    <t>JAVSO..45..215</t>
  </si>
  <si>
    <t>RHN 2020</t>
  </si>
  <si>
    <t>Nelson Pers com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</si>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</sst>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3" fillId="0" borderId="5" xfId="0" applyFont="1" applyBorder="1">
      <alignment vertical="top"/>
    </xf>
    <xf numFmtId="0" fontId="0" fillId="0" borderId="11" xfId="0" applyBorder="1">
      <alignment vertical="top"/>
    </xf>
    <xf numFmtId="0" fontId="0" fillId="0" borderId="11" xfId="0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5" xfId="0" applyFont="1" applyBorder="1">
      <alignment vertical="top"/>
    </xf>
    <xf numFmtId="0" fontId="15" fillId="0" borderId="5" xfId="0" applyFont="1" applyBorder="1" applyAlignment="1">
      <alignment horizontal="left"/>
    </xf>
    <xf numFmtId="0" fontId="16" fillId="24" borderId="5" xfId="0" applyFont="1" applyFill="1" applyBorder="1">
      <alignment vertical="top"/>
    </xf>
    <xf numFmtId="0" fontId="16" fillId="24" borderId="5" xfId="0" applyFont="1" applyFill="1" applyBorder="1" applyAlignment="1">
      <alignment horizontal="center"/>
    </xf>
    <xf numFmtId="0" fontId="16" fillId="24" borderId="5" xfId="0" applyFont="1" applyFill="1" applyBorder="1" applyAlignment="1">
      <alignment horizontal="left"/>
    </xf>
    <xf numFmtId="0" fontId="15" fillId="0" borderId="12" xfId="0" applyFont="1" applyBorder="1">
      <alignment vertical="top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Fill="1" applyAlignment="1">
      <alignment vertical="top"/>
    </xf>
    <xf numFmtId="0" fontId="0" fillId="0" borderId="5" xfId="0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0" fontId="17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18" fillId="24" borderId="19" xfId="38" applyFill="1" applyBorder="1" applyAlignment="1" applyProtection="1">
      <alignment horizontal="righ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4" fillId="0" borderId="8" xfId="0" applyFont="1" applyBorder="1" applyAlignment="1">
      <alignment horizontal="center"/>
    </xf>
    <xf numFmtId="0" fontId="24" fillId="25" borderId="5" xfId="0" applyFont="1" applyFill="1" applyBorder="1" applyAlignment="1">
      <alignment vertical="center"/>
    </xf>
    <xf numFmtId="0" fontId="16" fillId="0" borderId="0" xfId="0" applyFont="1" applyAlignment="1"/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7" fillId="0" borderId="0" xfId="42" applyFont="1" applyAlignment="1">
      <alignment horizontal="left" vertical="center"/>
    </xf>
    <xf numFmtId="0" fontId="37" fillId="0" borderId="0" xfId="42" applyFont="1" applyAlignment="1">
      <alignment horizontal="center" vertical="center"/>
    </xf>
    <xf numFmtId="0" fontId="37" fillId="0" borderId="0" xfId="42" applyFont="1" applyAlignment="1">
      <alignment horizontal="left"/>
    </xf>
    <xf numFmtId="0" fontId="6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V1042 Her / GSC 1534-0753</a:t>
            </a:r>
          </a:p>
        </c:rich>
      </c:tx>
      <c:layout>
        <c:manualLayout>
          <c:xMode val="edge"/>
          <c:yMode val="edge"/>
          <c:x val="0.3379209708878133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8583011669492"/>
          <c:y val="0.14634168126798494"/>
          <c:w val="0.8165149807001694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-0.10815000000002328</c:v>
                </c:pt>
                <c:pt idx="1">
                  <c:v>-0.10625000000436557</c:v>
                </c:pt>
                <c:pt idx="2">
                  <c:v>-8.060000000114087E-2</c:v>
                </c:pt>
                <c:pt idx="3">
                  <c:v>-9.3499999995401595E-2</c:v>
                </c:pt>
                <c:pt idx="4">
                  <c:v>-8.3699999995587859E-2</c:v>
                </c:pt>
                <c:pt idx="5">
                  <c:v>-0.10665000000153668</c:v>
                </c:pt>
                <c:pt idx="6">
                  <c:v>-9.0899999995599501E-2</c:v>
                </c:pt>
                <c:pt idx="7">
                  <c:v>-8.3050000001094304E-2</c:v>
                </c:pt>
                <c:pt idx="8">
                  <c:v>-8.6300000002665911E-2</c:v>
                </c:pt>
                <c:pt idx="9">
                  <c:v>-5.9350000003178138E-2</c:v>
                </c:pt>
                <c:pt idx="10">
                  <c:v>-5.1350000001548324E-2</c:v>
                </c:pt>
                <c:pt idx="11">
                  <c:v>-0.10779999999795109</c:v>
                </c:pt>
                <c:pt idx="12">
                  <c:v>-6.5950000003795139E-2</c:v>
                </c:pt>
                <c:pt idx="13">
                  <c:v>-4.5200000000477303E-2</c:v>
                </c:pt>
                <c:pt idx="14">
                  <c:v>-5.1350000001548324E-2</c:v>
                </c:pt>
                <c:pt idx="15">
                  <c:v>-6.2250000002677552E-2</c:v>
                </c:pt>
                <c:pt idx="16">
                  <c:v>-7.7550000001792796E-2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EA-4ECB-9545-8027BDBC5E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7">
                  <c:v>-1.7662999998719897E-2</c:v>
                </c:pt>
                <c:pt idx="19">
                  <c:v>-2.2493000004033092E-2</c:v>
                </c:pt>
                <c:pt idx="22">
                  <c:v>5.4000000018277206E-3</c:v>
                </c:pt>
                <c:pt idx="23">
                  <c:v>-6.0999999986961484E-3</c:v>
                </c:pt>
                <c:pt idx="24">
                  <c:v>-8.3999999988009222E-3</c:v>
                </c:pt>
                <c:pt idx="25">
                  <c:v>-3.4050000002025627E-2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EA-4ECB-9545-8027BDBC5E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EA-4ECB-9545-8027BDBC5E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8">
                  <c:v>-1.6100000000733417E-2</c:v>
                </c:pt>
                <c:pt idx="20">
                  <c:v>-1.652499999909196E-2</c:v>
                </c:pt>
                <c:pt idx="26">
                  <c:v>3.1000000017229468E-3</c:v>
                </c:pt>
                <c:pt idx="27">
                  <c:v>8.3000000013271347E-3</c:v>
                </c:pt>
                <c:pt idx="28">
                  <c:v>1.0500000003958121E-2</c:v>
                </c:pt>
                <c:pt idx="29">
                  <c:v>9.4000000026426278E-3</c:v>
                </c:pt>
                <c:pt idx="30">
                  <c:v>9.1000000029453076E-3</c:v>
                </c:pt>
                <c:pt idx="31">
                  <c:v>-1.0475000002770685E-2</c:v>
                </c:pt>
                <c:pt idx="35">
                  <c:v>-5.0000000046566129E-3</c:v>
                </c:pt>
                <c:pt idx="36">
                  <c:v>-3.550000001268927E-3</c:v>
                </c:pt>
                <c:pt idx="37">
                  <c:v>9.1000000029453076E-3</c:v>
                </c:pt>
                <c:pt idx="38">
                  <c:v>3.3499999990453944E-3</c:v>
                </c:pt>
                <c:pt idx="39">
                  <c:v>9.1000000029453076E-3</c:v>
                </c:pt>
                <c:pt idx="40">
                  <c:v>9.1000000029453076E-3</c:v>
                </c:pt>
                <c:pt idx="41">
                  <c:v>9.1000000029453076E-3</c:v>
                </c:pt>
                <c:pt idx="42">
                  <c:v>2.599999999802094E-3</c:v>
                </c:pt>
                <c:pt idx="43">
                  <c:v>9.1000000029453076E-3</c:v>
                </c:pt>
                <c:pt idx="44">
                  <c:v>7.1250000037252903E-3</c:v>
                </c:pt>
                <c:pt idx="45">
                  <c:v>6.2250000046333298E-3</c:v>
                </c:pt>
                <c:pt idx="46">
                  <c:v>7.3499999998603016E-3</c:v>
                </c:pt>
                <c:pt idx="47">
                  <c:v>7.7750000054948032E-3</c:v>
                </c:pt>
                <c:pt idx="48">
                  <c:v>7.3750000010477379E-3</c:v>
                </c:pt>
                <c:pt idx="49">
                  <c:v>1.3809999996738043E-2</c:v>
                </c:pt>
                <c:pt idx="50">
                  <c:v>1.1075000002165325E-2</c:v>
                </c:pt>
                <c:pt idx="51">
                  <c:v>1.0200000004260801E-2</c:v>
                </c:pt>
                <c:pt idx="52">
                  <c:v>1.1149999998451676E-2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EA-4ECB-9545-8027BDBC5E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EA-4ECB-9545-8027BDBC5E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EA-4ECB-9545-8027BDBC5E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EA-4ECB-9545-8027BDBC5E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-1.8940839306697026E-2</c:v>
                </c:pt>
                <c:pt idx="1">
                  <c:v>-1.826936768455354E-2</c:v>
                </c:pt>
                <c:pt idx="2">
                  <c:v>-1.7645555720133172E-2</c:v>
                </c:pt>
                <c:pt idx="3">
                  <c:v>-1.7469744538310114E-2</c:v>
                </c:pt>
                <c:pt idx="4">
                  <c:v>-1.6444532345510597E-2</c:v>
                </c:pt>
                <c:pt idx="5">
                  <c:v>-1.5138657723897161E-2</c:v>
                </c:pt>
                <c:pt idx="6">
                  <c:v>-1.4339034577653734E-2</c:v>
                </c:pt>
                <c:pt idx="7">
                  <c:v>-1.4210883053553797E-2</c:v>
                </c:pt>
                <c:pt idx="8">
                  <c:v>-1.3495988187707024E-2</c:v>
                </c:pt>
                <c:pt idx="9">
                  <c:v>-1.3361482042577335E-2</c:v>
                </c:pt>
                <c:pt idx="10">
                  <c:v>-1.219646818712334E-2</c:v>
                </c:pt>
                <c:pt idx="11">
                  <c:v>-1.2150926736410137E-2</c:v>
                </c:pt>
                <c:pt idx="12">
                  <c:v>-1.2022775212310197E-2</c:v>
                </c:pt>
                <c:pt idx="13">
                  <c:v>-1.1477336907256736E-2</c:v>
                </c:pt>
                <c:pt idx="14">
                  <c:v>-1.1349185383156796E-2</c:v>
                </c:pt>
                <c:pt idx="15">
                  <c:v>-1.1173374201333738E-2</c:v>
                </c:pt>
                <c:pt idx="16">
                  <c:v>-1.1171255994323823E-2</c:v>
                </c:pt>
                <c:pt idx="17">
                  <c:v>-2.4622478730527129E-3</c:v>
                </c:pt>
                <c:pt idx="18">
                  <c:v>-2.4622478730527129E-3</c:v>
                </c:pt>
                <c:pt idx="19">
                  <c:v>-2.4474204239832982E-3</c:v>
                </c:pt>
                <c:pt idx="20">
                  <c:v>-2.4246496986266974E-3</c:v>
                </c:pt>
                <c:pt idx="21">
                  <c:v>-1.6149650690861694E-3</c:v>
                </c:pt>
                <c:pt idx="22">
                  <c:v>-1.6107286550663368E-3</c:v>
                </c:pt>
                <c:pt idx="23">
                  <c:v>-1.6001376200167549E-3</c:v>
                </c:pt>
                <c:pt idx="24">
                  <c:v>-1.5980194130068386E-3</c:v>
                </c:pt>
                <c:pt idx="25">
                  <c:v>-1.5651872043531349E-3</c:v>
                </c:pt>
                <c:pt idx="26">
                  <c:v>-1.5090547185903514E-3</c:v>
                </c:pt>
                <c:pt idx="27">
                  <c:v>-1.4783407169465643E-3</c:v>
                </c:pt>
                <c:pt idx="28">
                  <c:v>-1.4762225099366479E-3</c:v>
                </c:pt>
                <c:pt idx="29">
                  <c:v>-1.4719860959168153E-3</c:v>
                </c:pt>
                <c:pt idx="30">
                  <c:v>-1.4698678889068987E-3</c:v>
                </c:pt>
                <c:pt idx="31">
                  <c:v>-9.5779134425961912E-4</c:v>
                </c:pt>
                <c:pt idx="32">
                  <c:v>-8.7994723664519298E-4</c:v>
                </c:pt>
                <c:pt idx="33">
                  <c:v>-8.7782902963527666E-4</c:v>
                </c:pt>
                <c:pt idx="34">
                  <c:v>-8.7571082262536022E-4</c:v>
                </c:pt>
                <c:pt idx="35">
                  <c:v>8.0826375025814471E-4</c:v>
                </c:pt>
                <c:pt idx="36">
                  <c:v>1.3452292272719416E-3</c:v>
                </c:pt>
                <c:pt idx="37">
                  <c:v>2.0527103685840055E-3</c:v>
                </c:pt>
                <c:pt idx="38">
                  <c:v>2.1247294069211618E-3</c:v>
                </c:pt>
                <c:pt idx="39">
                  <c:v>2.1596798225847814E-3</c:v>
                </c:pt>
                <c:pt idx="40">
                  <c:v>2.2549991380310178E-3</c:v>
                </c:pt>
                <c:pt idx="41">
                  <c:v>3.5915877612882402E-3</c:v>
                </c:pt>
                <c:pt idx="42">
                  <c:v>4.2969506955903873E-3</c:v>
                </c:pt>
                <c:pt idx="43">
                  <c:v>5.1399970855370986E-3</c:v>
                </c:pt>
                <c:pt idx="44">
                  <c:v>5.8734262627206371E-3</c:v>
                </c:pt>
                <c:pt idx="45">
                  <c:v>5.9348542660082118E-3</c:v>
                </c:pt>
                <c:pt idx="46">
                  <c:v>6.6216828889735903E-3</c:v>
                </c:pt>
                <c:pt idx="47">
                  <c:v>6.6561037528847311E-3</c:v>
                </c:pt>
                <c:pt idx="48">
                  <c:v>7.4525495886132833E-3</c:v>
                </c:pt>
                <c:pt idx="49">
                  <c:v>9.7057922954118074E-3</c:v>
                </c:pt>
                <c:pt idx="50">
                  <c:v>1.1239903722343732E-2</c:v>
                </c:pt>
                <c:pt idx="51">
                  <c:v>1.1301861277383786E-2</c:v>
                </c:pt>
                <c:pt idx="52">
                  <c:v>1.337029042256711E-2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EA-4ECB-9545-8027BDBC5ED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2">
                  <c:v>9.1000000029453076E-3</c:v>
                </c:pt>
                <c:pt idx="33">
                  <c:v>9.1000000029453076E-3</c:v>
                </c:pt>
                <c:pt idx="34">
                  <c:v>9.1000000029453076E-3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EA-4ECB-9545-8027BDBC5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561352"/>
        <c:axId val="1"/>
      </c:scatterChart>
      <c:valAx>
        <c:axId val="567561352"/>
        <c:scaling>
          <c:orientation val="minMax"/>
          <c:max val="1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6563445624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56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60276754396524"/>
          <c:y val="0.92073298764483702"/>
          <c:w val="0.7492365977188630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V1042 Her / GSC 1534-0753</a:t>
            </a:r>
          </a:p>
        </c:rich>
      </c:tx>
      <c:layout>
        <c:manualLayout>
          <c:xMode val="edge"/>
          <c:yMode val="edge"/>
          <c:x val="0.3389316182805393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7796388803366"/>
          <c:y val="0.1458966565349544"/>
          <c:w val="0.81374106463283091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-0.10815000000002328</c:v>
                </c:pt>
                <c:pt idx="1">
                  <c:v>-0.10625000000436557</c:v>
                </c:pt>
                <c:pt idx="2">
                  <c:v>-8.060000000114087E-2</c:v>
                </c:pt>
                <c:pt idx="3">
                  <c:v>-9.3499999995401595E-2</c:v>
                </c:pt>
                <c:pt idx="4">
                  <c:v>-8.3699999995587859E-2</c:v>
                </c:pt>
                <c:pt idx="5">
                  <c:v>-0.10665000000153668</c:v>
                </c:pt>
                <c:pt idx="6">
                  <c:v>-9.0899999995599501E-2</c:v>
                </c:pt>
                <c:pt idx="7">
                  <c:v>-8.3050000001094304E-2</c:v>
                </c:pt>
                <c:pt idx="8">
                  <c:v>-8.6300000002665911E-2</c:v>
                </c:pt>
                <c:pt idx="9">
                  <c:v>-5.9350000003178138E-2</c:v>
                </c:pt>
                <c:pt idx="10">
                  <c:v>-5.1350000001548324E-2</c:v>
                </c:pt>
                <c:pt idx="11">
                  <c:v>-0.10779999999795109</c:v>
                </c:pt>
                <c:pt idx="12">
                  <c:v>-6.5950000003795139E-2</c:v>
                </c:pt>
                <c:pt idx="13">
                  <c:v>-4.5200000000477303E-2</c:v>
                </c:pt>
                <c:pt idx="14">
                  <c:v>-5.1350000001548324E-2</c:v>
                </c:pt>
                <c:pt idx="15">
                  <c:v>-6.2250000002677552E-2</c:v>
                </c:pt>
                <c:pt idx="16">
                  <c:v>-7.7550000001792796E-2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B7-471D-9FDF-48CE3515B0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7">
                  <c:v>-1.7662999998719897E-2</c:v>
                </c:pt>
                <c:pt idx="19">
                  <c:v>-2.2493000004033092E-2</c:v>
                </c:pt>
                <c:pt idx="22">
                  <c:v>5.4000000018277206E-3</c:v>
                </c:pt>
                <c:pt idx="23">
                  <c:v>-6.0999999986961484E-3</c:v>
                </c:pt>
                <c:pt idx="24">
                  <c:v>-8.3999999988009222E-3</c:v>
                </c:pt>
                <c:pt idx="25">
                  <c:v>-3.4050000002025627E-2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B7-471D-9FDF-48CE3515B0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B7-471D-9FDF-48CE3515B0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8">
                  <c:v>-1.6100000000733417E-2</c:v>
                </c:pt>
                <c:pt idx="20">
                  <c:v>-1.652499999909196E-2</c:v>
                </c:pt>
                <c:pt idx="26">
                  <c:v>3.1000000017229468E-3</c:v>
                </c:pt>
                <c:pt idx="27">
                  <c:v>8.3000000013271347E-3</c:v>
                </c:pt>
                <c:pt idx="28">
                  <c:v>1.0500000003958121E-2</c:v>
                </c:pt>
                <c:pt idx="29">
                  <c:v>9.4000000026426278E-3</c:v>
                </c:pt>
                <c:pt idx="30">
                  <c:v>9.1000000029453076E-3</c:v>
                </c:pt>
                <c:pt idx="31">
                  <c:v>-1.0475000002770685E-2</c:v>
                </c:pt>
                <c:pt idx="35">
                  <c:v>-5.0000000046566129E-3</c:v>
                </c:pt>
                <c:pt idx="36">
                  <c:v>-3.550000001268927E-3</c:v>
                </c:pt>
                <c:pt idx="37">
                  <c:v>9.1000000029453076E-3</c:v>
                </c:pt>
                <c:pt idx="38">
                  <c:v>3.3499999990453944E-3</c:v>
                </c:pt>
                <c:pt idx="39">
                  <c:v>9.1000000029453076E-3</c:v>
                </c:pt>
                <c:pt idx="40">
                  <c:v>9.1000000029453076E-3</c:v>
                </c:pt>
                <c:pt idx="41">
                  <c:v>9.1000000029453076E-3</c:v>
                </c:pt>
                <c:pt idx="42">
                  <c:v>2.599999999802094E-3</c:v>
                </c:pt>
                <c:pt idx="43">
                  <c:v>9.1000000029453076E-3</c:v>
                </c:pt>
                <c:pt idx="44">
                  <c:v>7.1250000037252903E-3</c:v>
                </c:pt>
                <c:pt idx="45">
                  <c:v>6.2250000046333298E-3</c:v>
                </c:pt>
                <c:pt idx="46">
                  <c:v>7.3499999998603016E-3</c:v>
                </c:pt>
                <c:pt idx="47">
                  <c:v>7.7750000054948032E-3</c:v>
                </c:pt>
                <c:pt idx="48">
                  <c:v>7.3750000010477379E-3</c:v>
                </c:pt>
                <c:pt idx="49">
                  <c:v>1.3809999996738043E-2</c:v>
                </c:pt>
                <c:pt idx="50">
                  <c:v>1.1075000002165325E-2</c:v>
                </c:pt>
                <c:pt idx="51">
                  <c:v>1.0200000004260801E-2</c:v>
                </c:pt>
                <c:pt idx="52">
                  <c:v>1.1149999998451676E-2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B7-471D-9FDF-48CE3515B0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B7-471D-9FDF-48CE3515B0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B7-471D-9FDF-48CE3515B0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8">
                    <c:v>6.9999999999999999E-4</c:v>
                  </c:pt>
                  <c:pt idx="20">
                    <c:v>4.0000000000000002E-4</c:v>
                  </c:pt>
                  <c:pt idx="26">
                    <c:v>8.9999999999999998E-4</c:v>
                  </c:pt>
                  <c:pt idx="27">
                    <c:v>8.9999999999999998E-4</c:v>
                  </c:pt>
                  <c:pt idx="28">
                    <c:v>1.5E-3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2E-3</c:v>
                  </c:pt>
                  <c:pt idx="39">
                    <c:v>1E-4</c:v>
                  </c:pt>
                  <c:pt idx="40">
                    <c:v>4.0000000000000001E-3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3.0000000000000001E-3</c:v>
                  </c:pt>
                  <c:pt idx="44">
                    <c:v>2.9999999999999997E-4</c:v>
                  </c:pt>
                  <c:pt idx="45">
                    <c:v>2E-3</c:v>
                  </c:pt>
                  <c:pt idx="46">
                    <c:v>2.9999999999999997E-4</c:v>
                  </c:pt>
                  <c:pt idx="47">
                    <c:v>1.6000000000000001E-3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B7-471D-9FDF-48CE3515B0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-1.8940839306697026E-2</c:v>
                </c:pt>
                <c:pt idx="1">
                  <c:v>-1.826936768455354E-2</c:v>
                </c:pt>
                <c:pt idx="2">
                  <c:v>-1.7645555720133172E-2</c:v>
                </c:pt>
                <c:pt idx="3">
                  <c:v>-1.7469744538310114E-2</c:v>
                </c:pt>
                <c:pt idx="4">
                  <c:v>-1.6444532345510597E-2</c:v>
                </c:pt>
                <c:pt idx="5">
                  <c:v>-1.5138657723897161E-2</c:v>
                </c:pt>
                <c:pt idx="6">
                  <c:v>-1.4339034577653734E-2</c:v>
                </c:pt>
                <c:pt idx="7">
                  <c:v>-1.4210883053553797E-2</c:v>
                </c:pt>
                <c:pt idx="8">
                  <c:v>-1.3495988187707024E-2</c:v>
                </c:pt>
                <c:pt idx="9">
                  <c:v>-1.3361482042577335E-2</c:v>
                </c:pt>
                <c:pt idx="10">
                  <c:v>-1.219646818712334E-2</c:v>
                </c:pt>
                <c:pt idx="11">
                  <c:v>-1.2150926736410137E-2</c:v>
                </c:pt>
                <c:pt idx="12">
                  <c:v>-1.2022775212310197E-2</c:v>
                </c:pt>
                <c:pt idx="13">
                  <c:v>-1.1477336907256736E-2</c:v>
                </c:pt>
                <c:pt idx="14">
                  <c:v>-1.1349185383156796E-2</c:v>
                </c:pt>
                <c:pt idx="15">
                  <c:v>-1.1173374201333738E-2</c:v>
                </c:pt>
                <c:pt idx="16">
                  <c:v>-1.1171255994323823E-2</c:v>
                </c:pt>
                <c:pt idx="17">
                  <c:v>-2.4622478730527129E-3</c:v>
                </c:pt>
                <c:pt idx="18">
                  <c:v>-2.4622478730527129E-3</c:v>
                </c:pt>
                <c:pt idx="19">
                  <c:v>-2.4474204239832982E-3</c:v>
                </c:pt>
                <c:pt idx="20">
                  <c:v>-2.4246496986266974E-3</c:v>
                </c:pt>
                <c:pt idx="21">
                  <c:v>-1.6149650690861694E-3</c:v>
                </c:pt>
                <c:pt idx="22">
                  <c:v>-1.6107286550663368E-3</c:v>
                </c:pt>
                <c:pt idx="23">
                  <c:v>-1.6001376200167549E-3</c:v>
                </c:pt>
                <c:pt idx="24">
                  <c:v>-1.5980194130068386E-3</c:v>
                </c:pt>
                <c:pt idx="25">
                  <c:v>-1.5651872043531349E-3</c:v>
                </c:pt>
                <c:pt idx="26">
                  <c:v>-1.5090547185903514E-3</c:v>
                </c:pt>
                <c:pt idx="27">
                  <c:v>-1.4783407169465643E-3</c:v>
                </c:pt>
                <c:pt idx="28">
                  <c:v>-1.4762225099366479E-3</c:v>
                </c:pt>
                <c:pt idx="29">
                  <c:v>-1.4719860959168153E-3</c:v>
                </c:pt>
                <c:pt idx="30">
                  <c:v>-1.4698678889068987E-3</c:v>
                </c:pt>
                <c:pt idx="31">
                  <c:v>-9.5779134425961912E-4</c:v>
                </c:pt>
                <c:pt idx="32">
                  <c:v>-8.7994723664519298E-4</c:v>
                </c:pt>
                <c:pt idx="33">
                  <c:v>-8.7782902963527666E-4</c:v>
                </c:pt>
                <c:pt idx="34">
                  <c:v>-8.7571082262536022E-4</c:v>
                </c:pt>
                <c:pt idx="35">
                  <c:v>8.0826375025814471E-4</c:v>
                </c:pt>
                <c:pt idx="36">
                  <c:v>1.3452292272719416E-3</c:v>
                </c:pt>
                <c:pt idx="37">
                  <c:v>2.0527103685840055E-3</c:v>
                </c:pt>
                <c:pt idx="38">
                  <c:v>2.1247294069211618E-3</c:v>
                </c:pt>
                <c:pt idx="39">
                  <c:v>2.1596798225847814E-3</c:v>
                </c:pt>
                <c:pt idx="40">
                  <c:v>2.2549991380310178E-3</c:v>
                </c:pt>
                <c:pt idx="41">
                  <c:v>3.5915877612882402E-3</c:v>
                </c:pt>
                <c:pt idx="42">
                  <c:v>4.2969506955903873E-3</c:v>
                </c:pt>
                <c:pt idx="43">
                  <c:v>5.1399970855370986E-3</c:v>
                </c:pt>
                <c:pt idx="44">
                  <c:v>5.8734262627206371E-3</c:v>
                </c:pt>
                <c:pt idx="45">
                  <c:v>5.9348542660082118E-3</c:v>
                </c:pt>
                <c:pt idx="46">
                  <c:v>6.6216828889735903E-3</c:v>
                </c:pt>
                <c:pt idx="47">
                  <c:v>6.6561037528847311E-3</c:v>
                </c:pt>
                <c:pt idx="48">
                  <c:v>7.4525495886132833E-3</c:v>
                </c:pt>
                <c:pt idx="49">
                  <c:v>9.7057922954118074E-3</c:v>
                </c:pt>
                <c:pt idx="50">
                  <c:v>1.1239903722343732E-2</c:v>
                </c:pt>
                <c:pt idx="51">
                  <c:v>1.1301861277383786E-2</c:v>
                </c:pt>
                <c:pt idx="52">
                  <c:v>1.337029042256711E-2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B7-471D-9FDF-48CE3515B03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-16359</c:v>
                </c:pt>
                <c:pt idx="1">
                  <c:v>-15725</c:v>
                </c:pt>
                <c:pt idx="2">
                  <c:v>-15136</c:v>
                </c:pt>
                <c:pt idx="3">
                  <c:v>-14970</c:v>
                </c:pt>
                <c:pt idx="4">
                  <c:v>-14002</c:v>
                </c:pt>
                <c:pt idx="5">
                  <c:v>-12769</c:v>
                </c:pt>
                <c:pt idx="6">
                  <c:v>-12014</c:v>
                </c:pt>
                <c:pt idx="7">
                  <c:v>-11893</c:v>
                </c:pt>
                <c:pt idx="8">
                  <c:v>-11218</c:v>
                </c:pt>
                <c:pt idx="9">
                  <c:v>-11091</c:v>
                </c:pt>
                <c:pt idx="10">
                  <c:v>-9991</c:v>
                </c:pt>
                <c:pt idx="11">
                  <c:v>-9948</c:v>
                </c:pt>
                <c:pt idx="12">
                  <c:v>-9827</c:v>
                </c:pt>
                <c:pt idx="13">
                  <c:v>-9312</c:v>
                </c:pt>
                <c:pt idx="14">
                  <c:v>-9191</c:v>
                </c:pt>
                <c:pt idx="15">
                  <c:v>-9025</c:v>
                </c:pt>
                <c:pt idx="16">
                  <c:v>-9023</c:v>
                </c:pt>
                <c:pt idx="17">
                  <c:v>-800</c:v>
                </c:pt>
                <c:pt idx="18">
                  <c:v>-800</c:v>
                </c:pt>
                <c:pt idx="19">
                  <c:v>-786</c:v>
                </c:pt>
                <c:pt idx="20">
                  <c:v>-764.5</c:v>
                </c:pt>
                <c:pt idx="21">
                  <c:v>0</c:v>
                </c:pt>
                <c:pt idx="22">
                  <c:v>4</c:v>
                </c:pt>
                <c:pt idx="23">
                  <c:v>14</c:v>
                </c:pt>
                <c:pt idx="24">
                  <c:v>16</c:v>
                </c:pt>
                <c:pt idx="25">
                  <c:v>47</c:v>
                </c:pt>
                <c:pt idx="26">
                  <c:v>100</c:v>
                </c:pt>
                <c:pt idx="27">
                  <c:v>129</c:v>
                </c:pt>
                <c:pt idx="28">
                  <c:v>131</c:v>
                </c:pt>
                <c:pt idx="29">
                  <c:v>135</c:v>
                </c:pt>
                <c:pt idx="30">
                  <c:v>137</c:v>
                </c:pt>
                <c:pt idx="31">
                  <c:v>620.5</c:v>
                </c:pt>
                <c:pt idx="32">
                  <c:v>694</c:v>
                </c:pt>
                <c:pt idx="33">
                  <c:v>696</c:v>
                </c:pt>
                <c:pt idx="34">
                  <c:v>698</c:v>
                </c:pt>
                <c:pt idx="35">
                  <c:v>2288</c:v>
                </c:pt>
                <c:pt idx="36">
                  <c:v>2795</c:v>
                </c:pt>
                <c:pt idx="37">
                  <c:v>3463</c:v>
                </c:pt>
                <c:pt idx="38">
                  <c:v>3531</c:v>
                </c:pt>
                <c:pt idx="39">
                  <c:v>3564</c:v>
                </c:pt>
                <c:pt idx="40">
                  <c:v>3654</c:v>
                </c:pt>
                <c:pt idx="41">
                  <c:v>4916</c:v>
                </c:pt>
                <c:pt idx="42">
                  <c:v>5582</c:v>
                </c:pt>
                <c:pt idx="43">
                  <c:v>6378</c:v>
                </c:pt>
                <c:pt idx="44">
                  <c:v>7070.5</c:v>
                </c:pt>
                <c:pt idx="45">
                  <c:v>7128.5</c:v>
                </c:pt>
                <c:pt idx="46">
                  <c:v>7777</c:v>
                </c:pt>
                <c:pt idx="47">
                  <c:v>7809.5</c:v>
                </c:pt>
                <c:pt idx="48">
                  <c:v>8561.5</c:v>
                </c:pt>
                <c:pt idx="49">
                  <c:v>10689</c:v>
                </c:pt>
                <c:pt idx="50">
                  <c:v>12137.5</c:v>
                </c:pt>
                <c:pt idx="51">
                  <c:v>12196</c:v>
                </c:pt>
                <c:pt idx="52">
                  <c:v>14149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2">
                  <c:v>9.1000000029453076E-3</c:v>
                </c:pt>
                <c:pt idx="33">
                  <c:v>9.1000000029453076E-3</c:v>
                </c:pt>
                <c:pt idx="34">
                  <c:v>9.1000000029453076E-3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B7-471D-9FDF-48CE3515B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707344"/>
        <c:axId val="1"/>
      </c:scatterChart>
      <c:valAx>
        <c:axId val="513707344"/>
        <c:scaling>
          <c:orientation val="minMax"/>
          <c:max val="15000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3772515076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81679389312976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707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31313738454447"/>
          <c:y val="0.92097264437689974"/>
          <c:w val="0.7480920839093586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16</xdr:col>
      <xdr:colOff>638175</xdr:colOff>
      <xdr:row>18</xdr:row>
      <xdr:rowOff>38100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65D78062-A047-2B4A-1BCA-04AECAE0E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104775</xdr:colOff>
      <xdr:row>0</xdr:row>
      <xdr:rowOff>0</xdr:rowOff>
    </xdr:from>
    <xdr:to>
      <xdr:col>26</xdr:col>
      <xdr:colOff>171450</xdr:colOff>
      <xdr:row>18</xdr:row>
      <xdr:rowOff>47625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6E8F6CA3-1929-BAC2-2043-66C5789D7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677" TargetMode="External"/><Relationship Id="rId11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www.konkoly.hu/cgi-bin/IBVS?5592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www.konkoly.hu/cgi-bin/IBVS?5592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40"/>
  <sheetViews>
    <sheetView tabSelected="1" workbookViewId="0">
      <pane xSplit="14" ySplit="21" topLeftCell="O56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2" t="s">
        <v>42</v>
      </c>
      <c r="F1" s="68" t="s">
        <v>4</v>
      </c>
    </row>
    <row r="2" spans="1:6" x14ac:dyDescent="0.2">
      <c r="A2" t="s">
        <v>28</v>
      </c>
      <c r="B2" t="s">
        <v>44</v>
      </c>
      <c r="C2" s="2"/>
      <c r="D2" s="2"/>
      <c r="F2" t="s">
        <v>3</v>
      </c>
    </row>
    <row r="3" spans="1:6" ht="13.5" thickBot="1" x14ac:dyDescent="0.25"/>
    <row r="4" spans="1:6" ht="14.25" thickTop="1" thickBot="1" x14ac:dyDescent="0.25">
      <c r="A4" s="4" t="s">
        <v>5</v>
      </c>
      <c r="C4" s="7" t="s">
        <v>29</v>
      </c>
      <c r="D4" s="8" t="s">
        <v>29</v>
      </c>
    </row>
    <row r="5" spans="1:6" ht="13.5" thickTop="1" x14ac:dyDescent="0.2">
      <c r="A5" s="10" t="s">
        <v>31</v>
      </c>
      <c r="B5" s="11"/>
      <c r="C5" s="12">
        <v>-9.5</v>
      </c>
      <c r="D5" s="11" t="s">
        <v>32</v>
      </c>
    </row>
    <row r="6" spans="1:6" x14ac:dyDescent="0.2">
      <c r="A6" s="4" t="s">
        <v>6</v>
      </c>
    </row>
    <row r="7" spans="1:6" x14ac:dyDescent="0.2">
      <c r="A7" t="s">
        <v>7</v>
      </c>
      <c r="C7" s="25">
        <v>51697.68</v>
      </c>
    </row>
    <row r="8" spans="1:6" x14ac:dyDescent="0.2">
      <c r="A8" t="s">
        <v>8</v>
      </c>
      <c r="C8" s="25">
        <v>0.51114999999999999</v>
      </c>
    </row>
    <row r="9" spans="1:6" x14ac:dyDescent="0.2">
      <c r="A9" s="30" t="s">
        <v>43</v>
      </c>
      <c r="B9" s="31">
        <v>62</v>
      </c>
      <c r="C9" s="28" t="str">
        <f>"F"&amp;B9</f>
        <v>F62</v>
      </c>
      <c r="D9" s="29" t="str">
        <f>"G"&amp;B9</f>
        <v>G62</v>
      </c>
    </row>
    <row r="10" spans="1:6" ht="13.5" thickBot="1" x14ac:dyDescent="0.25">
      <c r="A10" s="11"/>
      <c r="B10" s="11"/>
      <c r="C10" s="3" t="s">
        <v>24</v>
      </c>
      <c r="D10" s="3" t="s">
        <v>25</v>
      </c>
      <c r="E10" s="11"/>
    </row>
    <row r="11" spans="1:6" x14ac:dyDescent="0.2">
      <c r="A11" s="11" t="s">
        <v>20</v>
      </c>
      <c r="B11" s="11"/>
      <c r="C11" s="27">
        <f ca="1">INTERCEPT(INDIRECT($D$9):G992,INDIRECT($C$9):F992)</f>
        <v>-1.6149650690861694E-3</v>
      </c>
      <c r="D11" s="2"/>
      <c r="E11" s="11"/>
    </row>
    <row r="12" spans="1:6" x14ac:dyDescent="0.2">
      <c r="A12" s="11" t="s">
        <v>21</v>
      </c>
      <c r="B12" s="11"/>
      <c r="C12" s="27">
        <f ca="1">SLOPE(INDIRECT($D$9):G992,INDIRECT($C$9):F992)</f>
        <v>1.0591035049581793E-6</v>
      </c>
      <c r="D12" s="2"/>
      <c r="E12" s="11"/>
    </row>
    <row r="13" spans="1:6" x14ac:dyDescent="0.2">
      <c r="A13" s="11" t="s">
        <v>23</v>
      </c>
      <c r="B13" s="11"/>
      <c r="C13" s="2" t="s">
        <v>18</v>
      </c>
    </row>
    <row r="14" spans="1:6" x14ac:dyDescent="0.2">
      <c r="A14" s="11"/>
      <c r="B14" s="11"/>
      <c r="C14" s="11"/>
    </row>
    <row r="15" spans="1:6" x14ac:dyDescent="0.2">
      <c r="A15" s="13" t="s">
        <v>22</v>
      </c>
      <c r="B15" s="11"/>
      <c r="C15" s="14">
        <f ca="1">(C7+C11)+(C8+C12)*INT(MAX(F21:F3533))</f>
        <v>58929.954720290421</v>
      </c>
      <c r="E15" s="15" t="s">
        <v>55</v>
      </c>
      <c r="F15" s="12">
        <v>1</v>
      </c>
    </row>
    <row r="16" spans="1:6" x14ac:dyDescent="0.2">
      <c r="A16" s="17" t="s">
        <v>9</v>
      </c>
      <c r="B16" s="11"/>
      <c r="C16" s="18">
        <f ca="1">+C8+C12</f>
        <v>0.511151059103505</v>
      </c>
      <c r="E16" s="15" t="s">
        <v>33</v>
      </c>
      <c r="F16" s="16">
        <f ca="1">NOW()+15018.5+$C$5/24</f>
        <v>60354.747951620368</v>
      </c>
    </row>
    <row r="17" spans="1:21" ht="13.5" thickBot="1" x14ac:dyDescent="0.25">
      <c r="A17" s="15" t="s">
        <v>30</v>
      </c>
      <c r="B17" s="11"/>
      <c r="C17" s="11">
        <f>COUNT(C21:C2191)</f>
        <v>53</v>
      </c>
      <c r="E17" s="15" t="s">
        <v>56</v>
      </c>
      <c r="F17" s="16">
        <f ca="1">ROUND(2*(F16-$C$7)/$C$8,0)/2+F15</f>
        <v>16937.5</v>
      </c>
    </row>
    <row r="18" spans="1:21" ht="14.25" thickTop="1" thickBot="1" x14ac:dyDescent="0.25">
      <c r="A18" s="17" t="s">
        <v>10</v>
      </c>
      <c r="B18" s="11"/>
      <c r="C18" s="20">
        <f ca="1">+C15</f>
        <v>58929.954720290421</v>
      </c>
      <c r="D18" s="21">
        <f ca="1">+C16</f>
        <v>0.511151059103505</v>
      </c>
      <c r="E18" s="15" t="s">
        <v>34</v>
      </c>
      <c r="F18" s="29">
        <f ca="1">ROUND(2*(F16-$C$15)/$C$16,0)/2+F15</f>
        <v>2788.5</v>
      </c>
    </row>
    <row r="19" spans="1:21" ht="13.5" thickTop="1" x14ac:dyDescent="0.2">
      <c r="E19" s="15" t="s">
        <v>35</v>
      </c>
      <c r="F19" s="19">
        <f ca="1">+$C$15+$C$16*F18-15018.5-$C$5/24</f>
        <v>45337.195281933884</v>
      </c>
    </row>
    <row r="20" spans="1:21" ht="13.5" thickBot="1" x14ac:dyDescent="0.25">
      <c r="A20" s="3" t="s">
        <v>11</v>
      </c>
      <c r="B20" s="3" t="s">
        <v>12</v>
      </c>
      <c r="C20" s="3" t="s">
        <v>13</v>
      </c>
      <c r="D20" s="3" t="s">
        <v>17</v>
      </c>
      <c r="E20" s="3" t="s">
        <v>14</v>
      </c>
      <c r="F20" s="3" t="s">
        <v>15</v>
      </c>
      <c r="G20" s="3" t="s">
        <v>16</v>
      </c>
      <c r="H20" s="6" t="s">
        <v>70</v>
      </c>
      <c r="I20" s="6" t="s">
        <v>51</v>
      </c>
      <c r="J20" s="6" t="s">
        <v>67</v>
      </c>
      <c r="K20" s="6" t="s">
        <v>65</v>
      </c>
      <c r="L20" s="6" t="s">
        <v>156</v>
      </c>
      <c r="M20" s="6" t="s">
        <v>0</v>
      </c>
      <c r="N20" s="6" t="s">
        <v>1</v>
      </c>
      <c r="O20" s="6" t="s">
        <v>27</v>
      </c>
      <c r="P20" s="5" t="s">
        <v>26</v>
      </c>
      <c r="Q20" s="3" t="s">
        <v>19</v>
      </c>
      <c r="U20" s="67" t="s">
        <v>2</v>
      </c>
    </row>
    <row r="21" spans="1:21" x14ac:dyDescent="0.2">
      <c r="A21" s="23" t="s">
        <v>36</v>
      </c>
      <c r="B21" s="23"/>
      <c r="C21" s="24">
        <v>43335.669000000002</v>
      </c>
      <c r="D21" s="24"/>
      <c r="E21">
        <f t="shared" ref="E21:E52" si="0">+(C21-C$7)/C$8</f>
        <v>-16359.211581727475</v>
      </c>
      <c r="F21">
        <f t="shared" ref="F21:F52" si="1">ROUND(2*E21,0)/2</f>
        <v>-16359</v>
      </c>
      <c r="G21">
        <f t="shared" ref="G21:G52" si="2">+C21-(C$7+F21*C$8)</f>
        <v>-0.10815000000002328</v>
      </c>
      <c r="H21">
        <f t="shared" ref="H21:H31" si="3">+G21</f>
        <v>-0.10815000000002328</v>
      </c>
      <c r="O21">
        <f t="shared" ref="O21:O52" ca="1" si="4">+C$11+C$12*$F21</f>
        <v>-1.8940839306697026E-2</v>
      </c>
      <c r="Q21" s="1">
        <f t="shared" ref="Q21:Q52" si="5">+C21-15018.5</f>
        <v>28317.169000000002</v>
      </c>
    </row>
    <row r="22" spans="1:21" x14ac:dyDescent="0.2">
      <c r="A22" s="25" t="s">
        <v>36</v>
      </c>
      <c r="B22" s="47"/>
      <c r="C22" s="26">
        <v>43659.74</v>
      </c>
      <c r="D22" s="26"/>
      <c r="E22">
        <f t="shared" si="0"/>
        <v>-15725.207864619</v>
      </c>
      <c r="F22">
        <f t="shared" si="1"/>
        <v>-15725</v>
      </c>
      <c r="G22">
        <f t="shared" si="2"/>
        <v>-0.10625000000436557</v>
      </c>
      <c r="H22">
        <f t="shared" si="3"/>
        <v>-0.10625000000436557</v>
      </c>
      <c r="O22">
        <f t="shared" ca="1" si="4"/>
        <v>-1.826936768455354E-2</v>
      </c>
      <c r="Q22" s="1">
        <f t="shared" si="5"/>
        <v>28641.239999999998</v>
      </c>
    </row>
    <row r="23" spans="1:21" x14ac:dyDescent="0.2">
      <c r="A23" s="25" t="s">
        <v>36</v>
      </c>
      <c r="B23" s="47"/>
      <c r="C23" s="26">
        <v>43960.832999999999</v>
      </c>
      <c r="D23" s="26"/>
      <c r="E23">
        <f t="shared" si="0"/>
        <v>-15136.157683654508</v>
      </c>
      <c r="F23">
        <f t="shared" si="1"/>
        <v>-15136</v>
      </c>
      <c r="G23">
        <f t="shared" si="2"/>
        <v>-8.060000000114087E-2</v>
      </c>
      <c r="H23">
        <f t="shared" si="3"/>
        <v>-8.060000000114087E-2</v>
      </c>
      <c r="O23">
        <f t="shared" ca="1" si="4"/>
        <v>-1.7645555720133172E-2</v>
      </c>
      <c r="Q23" s="1">
        <f t="shared" si="5"/>
        <v>28942.332999999999</v>
      </c>
    </row>
    <row r="24" spans="1:21" x14ac:dyDescent="0.2">
      <c r="A24" s="25" t="s">
        <v>36</v>
      </c>
      <c r="B24" s="47"/>
      <c r="C24" s="26">
        <v>44045.671000000002</v>
      </c>
      <c r="D24" s="26"/>
      <c r="E24">
        <f t="shared" si="0"/>
        <v>-14970.182920864714</v>
      </c>
      <c r="F24">
        <f t="shared" si="1"/>
        <v>-14970</v>
      </c>
      <c r="G24">
        <f t="shared" si="2"/>
        <v>-9.3499999995401595E-2</v>
      </c>
      <c r="H24">
        <f t="shared" si="3"/>
        <v>-9.3499999995401595E-2</v>
      </c>
      <c r="O24">
        <f t="shared" ca="1" si="4"/>
        <v>-1.7469744538310114E-2</v>
      </c>
      <c r="Q24" s="1">
        <f t="shared" si="5"/>
        <v>29027.171000000002</v>
      </c>
    </row>
    <row r="25" spans="1:21" x14ac:dyDescent="0.2">
      <c r="A25" s="25" t="s">
        <v>36</v>
      </c>
      <c r="B25" s="47"/>
      <c r="C25" s="26">
        <v>44540.474000000002</v>
      </c>
      <c r="D25" s="26"/>
      <c r="E25">
        <f t="shared" si="0"/>
        <v>-14002.163748410443</v>
      </c>
      <c r="F25">
        <f t="shared" si="1"/>
        <v>-14002</v>
      </c>
      <c r="G25">
        <f t="shared" si="2"/>
        <v>-8.3699999995587859E-2</v>
      </c>
      <c r="H25">
        <f t="shared" si="3"/>
        <v>-8.3699999995587859E-2</v>
      </c>
      <c r="O25">
        <f t="shared" ca="1" si="4"/>
        <v>-1.6444532345510597E-2</v>
      </c>
      <c r="Q25" s="1">
        <f t="shared" si="5"/>
        <v>29521.974000000002</v>
      </c>
    </row>
    <row r="26" spans="1:21" x14ac:dyDescent="0.2">
      <c r="A26" s="25" t="s">
        <v>36</v>
      </c>
      <c r="B26" s="47"/>
      <c r="C26" s="26">
        <v>45170.699000000001</v>
      </c>
      <c r="D26" s="26"/>
      <c r="E26">
        <f t="shared" si="0"/>
        <v>-12769.20864716815</v>
      </c>
      <c r="F26">
        <f t="shared" si="1"/>
        <v>-12769</v>
      </c>
      <c r="G26">
        <f t="shared" si="2"/>
        <v>-0.10665000000153668</v>
      </c>
      <c r="H26">
        <f t="shared" si="3"/>
        <v>-0.10665000000153668</v>
      </c>
      <c r="O26">
        <f t="shared" ca="1" si="4"/>
        <v>-1.5138657723897161E-2</v>
      </c>
      <c r="Q26" s="1">
        <f t="shared" si="5"/>
        <v>30152.199000000001</v>
      </c>
    </row>
    <row r="27" spans="1:21" x14ac:dyDescent="0.2">
      <c r="A27" s="25" t="s">
        <v>36</v>
      </c>
      <c r="B27" s="47"/>
      <c r="C27" s="26">
        <v>45556.633000000002</v>
      </c>
      <c r="D27" s="26"/>
      <c r="E27">
        <f t="shared" si="0"/>
        <v>-12014.177834295215</v>
      </c>
      <c r="F27">
        <f t="shared" si="1"/>
        <v>-12014</v>
      </c>
      <c r="G27">
        <f t="shared" si="2"/>
        <v>-9.0899999995599501E-2</v>
      </c>
      <c r="H27">
        <f t="shared" si="3"/>
        <v>-9.0899999995599501E-2</v>
      </c>
      <c r="O27">
        <f t="shared" ca="1" si="4"/>
        <v>-1.4339034577653734E-2</v>
      </c>
      <c r="Q27" s="1">
        <f t="shared" si="5"/>
        <v>30538.133000000002</v>
      </c>
    </row>
    <row r="28" spans="1:21" x14ac:dyDescent="0.2">
      <c r="A28" s="25" t="s">
        <v>36</v>
      </c>
      <c r="B28" s="47"/>
      <c r="C28" s="26">
        <v>45618.49</v>
      </c>
      <c r="D28" s="26"/>
      <c r="E28">
        <f t="shared" si="0"/>
        <v>-11893.162476768077</v>
      </c>
      <c r="F28">
        <f t="shared" si="1"/>
        <v>-11893</v>
      </c>
      <c r="G28">
        <f t="shared" si="2"/>
        <v>-8.3050000001094304E-2</v>
      </c>
      <c r="H28">
        <f t="shared" si="3"/>
        <v>-8.3050000001094304E-2</v>
      </c>
      <c r="O28">
        <f t="shared" ca="1" si="4"/>
        <v>-1.4210883053553797E-2</v>
      </c>
      <c r="Q28" s="1">
        <f t="shared" si="5"/>
        <v>30599.989999999998</v>
      </c>
    </row>
    <row r="29" spans="1:21" x14ac:dyDescent="0.2">
      <c r="A29" s="25" t="s">
        <v>36</v>
      </c>
      <c r="B29" s="47"/>
      <c r="C29" s="26">
        <v>45963.512999999999</v>
      </c>
      <c r="D29" s="26"/>
      <c r="E29">
        <f t="shared" si="0"/>
        <v>-11218.16883497995</v>
      </c>
      <c r="F29">
        <f t="shared" si="1"/>
        <v>-11218</v>
      </c>
      <c r="G29">
        <f t="shared" si="2"/>
        <v>-8.6300000002665911E-2</v>
      </c>
      <c r="H29">
        <f t="shared" si="3"/>
        <v>-8.6300000002665911E-2</v>
      </c>
      <c r="O29">
        <f t="shared" ca="1" si="4"/>
        <v>-1.3495988187707024E-2</v>
      </c>
      <c r="Q29" s="1">
        <f t="shared" si="5"/>
        <v>30945.012999999999</v>
      </c>
    </row>
    <row r="30" spans="1:21" x14ac:dyDescent="0.2">
      <c r="A30" s="25" t="s">
        <v>36</v>
      </c>
      <c r="B30" s="47"/>
      <c r="C30" s="26">
        <v>46028.455999999998</v>
      </c>
      <c r="D30" s="26"/>
      <c r="E30">
        <f t="shared" si="0"/>
        <v>-11091.116110730709</v>
      </c>
      <c r="F30">
        <f t="shared" si="1"/>
        <v>-11091</v>
      </c>
      <c r="G30">
        <f t="shared" si="2"/>
        <v>-5.9350000003178138E-2</v>
      </c>
      <c r="H30">
        <f t="shared" si="3"/>
        <v>-5.9350000003178138E-2</v>
      </c>
      <c r="O30">
        <f t="shared" ca="1" si="4"/>
        <v>-1.3361482042577335E-2</v>
      </c>
      <c r="Q30" s="1">
        <f t="shared" si="5"/>
        <v>31009.955999999998</v>
      </c>
    </row>
    <row r="31" spans="1:21" x14ac:dyDescent="0.2">
      <c r="A31" s="25" t="s">
        <v>36</v>
      </c>
      <c r="B31" s="47"/>
      <c r="C31" s="26">
        <v>46590.728999999999</v>
      </c>
      <c r="D31" s="26"/>
      <c r="E31">
        <f t="shared" si="0"/>
        <v>-9991.1004597476294</v>
      </c>
      <c r="F31">
        <f t="shared" si="1"/>
        <v>-9991</v>
      </c>
      <c r="G31">
        <f t="shared" si="2"/>
        <v>-5.1350000001548324E-2</v>
      </c>
      <c r="H31">
        <f t="shared" si="3"/>
        <v>-5.1350000001548324E-2</v>
      </c>
      <c r="O31">
        <f t="shared" ca="1" si="4"/>
        <v>-1.219646818712334E-2</v>
      </c>
      <c r="Q31" s="1">
        <f t="shared" si="5"/>
        <v>31572.228999999999</v>
      </c>
    </row>
    <row r="32" spans="1:21" x14ac:dyDescent="0.2">
      <c r="A32" s="25" t="s">
        <v>36</v>
      </c>
      <c r="B32" s="47"/>
      <c r="C32" s="26">
        <v>46612.652000000002</v>
      </c>
      <c r="D32" s="26"/>
      <c r="E32">
        <f t="shared" si="0"/>
        <v>-9948.2108969969649</v>
      </c>
      <c r="F32">
        <f t="shared" si="1"/>
        <v>-9948</v>
      </c>
      <c r="G32">
        <f t="shared" si="2"/>
        <v>-0.10779999999795109</v>
      </c>
      <c r="H32">
        <f t="shared" ref="H32:H37" si="6">+G32</f>
        <v>-0.10779999999795109</v>
      </c>
      <c r="O32">
        <f t="shared" ca="1" si="4"/>
        <v>-1.2150926736410137E-2</v>
      </c>
      <c r="Q32" s="1">
        <f t="shared" si="5"/>
        <v>31594.152000000002</v>
      </c>
    </row>
    <row r="33" spans="1:17" x14ac:dyDescent="0.2">
      <c r="A33" s="32" t="s">
        <v>36</v>
      </c>
      <c r="B33" s="48"/>
      <c r="C33" s="33">
        <v>46674.542999999998</v>
      </c>
      <c r="D33" s="33"/>
      <c r="E33">
        <f t="shared" si="0"/>
        <v>-9827.1290227917489</v>
      </c>
      <c r="F33">
        <f t="shared" si="1"/>
        <v>-9827</v>
      </c>
      <c r="G33">
        <f t="shared" si="2"/>
        <v>-6.5950000003795139E-2</v>
      </c>
      <c r="H33">
        <f t="shared" si="6"/>
        <v>-6.5950000003795139E-2</v>
      </c>
      <c r="O33">
        <f t="shared" ca="1" si="4"/>
        <v>-1.2022775212310197E-2</v>
      </c>
      <c r="Q33" s="1">
        <f t="shared" si="5"/>
        <v>31656.042999999998</v>
      </c>
    </row>
    <row r="34" spans="1:17" x14ac:dyDescent="0.2">
      <c r="A34" s="32" t="s">
        <v>36</v>
      </c>
      <c r="B34" s="48"/>
      <c r="C34" s="33">
        <v>46937.805999999997</v>
      </c>
      <c r="D34" s="33"/>
      <c r="E34">
        <f t="shared" si="0"/>
        <v>-9312.0884280543942</v>
      </c>
      <c r="F34">
        <f t="shared" si="1"/>
        <v>-9312</v>
      </c>
      <c r="G34">
        <f t="shared" si="2"/>
        <v>-4.5200000000477303E-2</v>
      </c>
      <c r="H34">
        <f t="shared" si="6"/>
        <v>-4.5200000000477303E-2</v>
      </c>
      <c r="O34">
        <f t="shared" ca="1" si="4"/>
        <v>-1.1477336907256736E-2</v>
      </c>
      <c r="Q34" s="1">
        <f t="shared" si="5"/>
        <v>31919.305999999997</v>
      </c>
    </row>
    <row r="35" spans="1:17" x14ac:dyDescent="0.2">
      <c r="A35" s="32" t="s">
        <v>36</v>
      </c>
      <c r="B35" s="48"/>
      <c r="C35" s="33">
        <v>46999.648999999998</v>
      </c>
      <c r="D35" s="33"/>
      <c r="E35">
        <f t="shared" si="0"/>
        <v>-9191.1004597476331</v>
      </c>
      <c r="F35">
        <f t="shared" si="1"/>
        <v>-9191</v>
      </c>
      <c r="G35">
        <f t="shared" si="2"/>
        <v>-5.1350000001548324E-2</v>
      </c>
      <c r="H35">
        <f t="shared" si="6"/>
        <v>-5.1350000001548324E-2</v>
      </c>
      <c r="O35">
        <f t="shared" ca="1" si="4"/>
        <v>-1.1349185383156796E-2</v>
      </c>
      <c r="Q35" s="1">
        <f t="shared" si="5"/>
        <v>31981.148999999998</v>
      </c>
    </row>
    <row r="36" spans="1:17" x14ac:dyDescent="0.2">
      <c r="A36" s="32" t="s">
        <v>36</v>
      </c>
      <c r="B36" s="48"/>
      <c r="C36" s="33">
        <v>47084.489000000001</v>
      </c>
      <c r="D36" s="33"/>
      <c r="E36">
        <f t="shared" si="0"/>
        <v>-9025.1217842120695</v>
      </c>
      <c r="F36">
        <f t="shared" si="1"/>
        <v>-9025</v>
      </c>
      <c r="G36">
        <f t="shared" si="2"/>
        <v>-6.2250000002677552E-2</v>
      </c>
      <c r="H36">
        <f t="shared" si="6"/>
        <v>-6.2250000002677552E-2</v>
      </c>
      <c r="O36">
        <f t="shared" ca="1" si="4"/>
        <v>-1.1173374201333738E-2</v>
      </c>
      <c r="Q36" s="1">
        <f t="shared" si="5"/>
        <v>32065.989000000001</v>
      </c>
    </row>
    <row r="37" spans="1:17" x14ac:dyDescent="0.2">
      <c r="A37" s="32" t="s">
        <v>36</v>
      </c>
      <c r="B37" s="48"/>
      <c r="C37" s="33">
        <v>47085.495999999999</v>
      </c>
      <c r="D37" s="33"/>
      <c r="E37">
        <f t="shared" si="0"/>
        <v>-9023.1517167172078</v>
      </c>
      <c r="F37">
        <f t="shared" si="1"/>
        <v>-9023</v>
      </c>
      <c r="G37">
        <f t="shared" si="2"/>
        <v>-7.7550000001792796E-2</v>
      </c>
      <c r="H37">
        <f t="shared" si="6"/>
        <v>-7.7550000001792796E-2</v>
      </c>
      <c r="O37">
        <f t="shared" ca="1" si="4"/>
        <v>-1.1171255994323823E-2</v>
      </c>
      <c r="Q37" s="1">
        <f t="shared" si="5"/>
        <v>32066.995999999999</v>
      </c>
    </row>
    <row r="38" spans="1:17" x14ac:dyDescent="0.2">
      <c r="A38" s="32" t="s">
        <v>37</v>
      </c>
      <c r="B38" s="48" t="s">
        <v>38</v>
      </c>
      <c r="C38" s="33">
        <v>51288.742337000003</v>
      </c>
      <c r="D38" s="33"/>
      <c r="E38">
        <f t="shared" si="0"/>
        <v>-800.03455541425603</v>
      </c>
      <c r="F38">
        <f t="shared" si="1"/>
        <v>-800</v>
      </c>
      <c r="G38">
        <f t="shared" si="2"/>
        <v>-1.7662999998719897E-2</v>
      </c>
      <c r="I38">
        <f>+G38</f>
        <v>-1.7662999998719897E-2</v>
      </c>
      <c r="O38">
        <f t="shared" ca="1" si="4"/>
        <v>-2.4622478730527129E-3</v>
      </c>
      <c r="Q38" s="1">
        <f t="shared" si="5"/>
        <v>36270.242337000003</v>
      </c>
    </row>
    <row r="39" spans="1:17" x14ac:dyDescent="0.2">
      <c r="A39" s="34" t="s">
        <v>52</v>
      </c>
      <c r="B39" s="35" t="s">
        <v>38</v>
      </c>
      <c r="C39" s="36">
        <v>51288.743900000001</v>
      </c>
      <c r="D39" s="36">
        <v>6.9999999999999999E-4</v>
      </c>
      <c r="E39">
        <f t="shared" si="0"/>
        <v>-800.03149760344127</v>
      </c>
      <c r="F39">
        <f t="shared" si="1"/>
        <v>-800</v>
      </c>
      <c r="G39">
        <f t="shared" si="2"/>
        <v>-1.6100000000733417E-2</v>
      </c>
      <c r="K39">
        <f>G39</f>
        <v>-1.6100000000733417E-2</v>
      </c>
      <c r="O39">
        <f t="shared" ca="1" si="4"/>
        <v>-2.4622478730527129E-3</v>
      </c>
      <c r="Q39" s="1">
        <f t="shared" si="5"/>
        <v>36270.243900000001</v>
      </c>
    </row>
    <row r="40" spans="1:17" x14ac:dyDescent="0.2">
      <c r="A40" s="32" t="s">
        <v>37</v>
      </c>
      <c r="B40" s="48" t="s">
        <v>38</v>
      </c>
      <c r="C40" s="33">
        <v>51295.893606999998</v>
      </c>
      <c r="D40" s="33"/>
      <c r="E40">
        <f t="shared" si="0"/>
        <v>-786.04400469529912</v>
      </c>
      <c r="F40">
        <f t="shared" si="1"/>
        <v>-786</v>
      </c>
      <c r="G40">
        <f t="shared" si="2"/>
        <v>-2.2493000004033092E-2</v>
      </c>
      <c r="I40">
        <f>+G40</f>
        <v>-2.2493000004033092E-2</v>
      </c>
      <c r="O40">
        <f t="shared" ca="1" si="4"/>
        <v>-2.4474204239832982E-3</v>
      </c>
      <c r="Q40" s="1">
        <f t="shared" si="5"/>
        <v>36277.393606999998</v>
      </c>
    </row>
    <row r="41" spans="1:17" x14ac:dyDescent="0.2">
      <c r="A41" s="34" t="s">
        <v>52</v>
      </c>
      <c r="B41" s="35" t="s">
        <v>53</v>
      </c>
      <c r="C41" s="36">
        <v>51306.889300000003</v>
      </c>
      <c r="D41" s="36">
        <v>4.0000000000000002E-4</v>
      </c>
      <c r="E41">
        <f t="shared" si="0"/>
        <v>-764.53232906191477</v>
      </c>
      <c r="F41">
        <f t="shared" si="1"/>
        <v>-764.5</v>
      </c>
      <c r="G41">
        <f t="shared" si="2"/>
        <v>-1.652499999909196E-2</v>
      </c>
      <c r="K41">
        <f>G41</f>
        <v>-1.652499999909196E-2</v>
      </c>
      <c r="O41">
        <f t="shared" ca="1" si="4"/>
        <v>-2.4246496986266974E-3</v>
      </c>
      <c r="Q41" s="1">
        <f t="shared" si="5"/>
        <v>36288.389300000003</v>
      </c>
    </row>
    <row r="42" spans="1:17" x14ac:dyDescent="0.2">
      <c r="A42" s="32" t="s">
        <v>39</v>
      </c>
      <c r="B42" s="48"/>
      <c r="C42" s="33">
        <v>51697.68</v>
      </c>
      <c r="D42" s="33"/>
      <c r="E42">
        <f t="shared" si="0"/>
        <v>0</v>
      </c>
      <c r="F42">
        <f t="shared" si="1"/>
        <v>0</v>
      </c>
      <c r="G42">
        <f t="shared" si="2"/>
        <v>0</v>
      </c>
      <c r="J42">
        <f>+G42</f>
        <v>0</v>
      </c>
      <c r="O42">
        <f t="shared" ca="1" si="4"/>
        <v>-1.6149650690861694E-3</v>
      </c>
      <c r="Q42" s="1">
        <f t="shared" si="5"/>
        <v>36679.18</v>
      </c>
    </row>
    <row r="43" spans="1:17" x14ac:dyDescent="0.2">
      <c r="A43" s="32" t="s">
        <v>39</v>
      </c>
      <c r="B43" s="48"/>
      <c r="C43" s="33">
        <v>51699.73</v>
      </c>
      <c r="D43" s="33"/>
      <c r="E43">
        <f t="shared" si="0"/>
        <v>4.0105644135829213</v>
      </c>
      <c r="F43">
        <f t="shared" si="1"/>
        <v>4</v>
      </c>
      <c r="G43">
        <f t="shared" si="2"/>
        <v>5.4000000018277206E-3</v>
      </c>
      <c r="I43">
        <f>+G43</f>
        <v>5.4000000018277206E-3</v>
      </c>
      <c r="O43">
        <f t="shared" ca="1" si="4"/>
        <v>-1.6107286550663368E-3</v>
      </c>
      <c r="Q43" s="1">
        <f t="shared" si="5"/>
        <v>36681.230000000003</v>
      </c>
    </row>
    <row r="44" spans="1:17" x14ac:dyDescent="0.2">
      <c r="A44" s="32" t="s">
        <v>39</v>
      </c>
      <c r="B44" s="48"/>
      <c r="C44" s="33">
        <v>51704.83</v>
      </c>
      <c r="D44" s="33"/>
      <c r="E44">
        <f t="shared" si="0"/>
        <v>13.988066125406348</v>
      </c>
      <c r="F44">
        <f t="shared" si="1"/>
        <v>14</v>
      </c>
      <c r="G44">
        <f t="shared" si="2"/>
        <v>-6.0999999986961484E-3</v>
      </c>
      <c r="I44">
        <f>+G44</f>
        <v>-6.0999999986961484E-3</v>
      </c>
      <c r="O44">
        <f t="shared" ca="1" si="4"/>
        <v>-1.6001376200167549E-3</v>
      </c>
      <c r="Q44" s="1">
        <f t="shared" si="5"/>
        <v>36686.33</v>
      </c>
    </row>
    <row r="45" spans="1:17" x14ac:dyDescent="0.2">
      <c r="A45" s="32" t="s">
        <v>39</v>
      </c>
      <c r="B45" s="48"/>
      <c r="C45" s="33">
        <v>51705.85</v>
      </c>
      <c r="D45" s="33"/>
      <c r="E45">
        <f t="shared" si="0"/>
        <v>15.983566467765341</v>
      </c>
      <c r="F45">
        <f t="shared" si="1"/>
        <v>16</v>
      </c>
      <c r="G45">
        <f t="shared" si="2"/>
        <v>-8.3999999988009222E-3</v>
      </c>
      <c r="I45">
        <f>+G45</f>
        <v>-8.3999999988009222E-3</v>
      </c>
      <c r="O45">
        <f t="shared" ca="1" si="4"/>
        <v>-1.5980194130068386E-3</v>
      </c>
      <c r="Q45" s="1">
        <f t="shared" si="5"/>
        <v>36687.35</v>
      </c>
    </row>
    <row r="46" spans="1:17" x14ac:dyDescent="0.2">
      <c r="A46" s="32" t="s">
        <v>39</v>
      </c>
      <c r="B46" s="48"/>
      <c r="C46" s="33">
        <v>51721.67</v>
      </c>
      <c r="D46" s="33"/>
      <c r="E46">
        <f t="shared" si="0"/>
        <v>46.933385503272937</v>
      </c>
      <c r="F46">
        <f t="shared" si="1"/>
        <v>47</v>
      </c>
      <c r="G46">
        <f t="shared" si="2"/>
        <v>-3.4050000002025627E-2</v>
      </c>
      <c r="I46">
        <f>+G46</f>
        <v>-3.4050000002025627E-2</v>
      </c>
      <c r="O46">
        <f t="shared" ca="1" si="4"/>
        <v>-1.5651872043531349E-3</v>
      </c>
      <c r="Q46" s="1">
        <f t="shared" si="5"/>
        <v>36703.17</v>
      </c>
    </row>
    <row r="47" spans="1:17" x14ac:dyDescent="0.2">
      <c r="A47" s="32" t="s">
        <v>40</v>
      </c>
      <c r="B47" s="48"/>
      <c r="C47" s="33">
        <v>51748.783100000001</v>
      </c>
      <c r="D47" s="33">
        <v>8.9999999999999998E-4</v>
      </c>
      <c r="E47">
        <f t="shared" si="0"/>
        <v>99.976719162672936</v>
      </c>
      <c r="F47">
        <f t="shared" si="1"/>
        <v>100</v>
      </c>
      <c r="G47">
        <f t="shared" si="2"/>
        <v>-1.1899999997694977E-2</v>
      </c>
      <c r="K47">
        <v>3.1000000017229468E-3</v>
      </c>
      <c r="O47">
        <f t="shared" ca="1" si="4"/>
        <v>-1.5090547185903514E-3</v>
      </c>
      <c r="Q47" s="1">
        <f t="shared" si="5"/>
        <v>36730.283100000001</v>
      </c>
    </row>
    <row r="48" spans="1:17" x14ac:dyDescent="0.2">
      <c r="A48" s="32" t="s">
        <v>40</v>
      </c>
      <c r="B48" s="48"/>
      <c r="C48" s="33">
        <v>51763.607300000003</v>
      </c>
      <c r="D48" s="33">
        <v>8.9999999999999998E-4</v>
      </c>
      <c r="E48">
        <f t="shared" si="0"/>
        <v>128.97838207963028</v>
      </c>
      <c r="F48">
        <f t="shared" si="1"/>
        <v>129</v>
      </c>
      <c r="G48">
        <f t="shared" si="2"/>
        <v>-1.1049999993701931E-2</v>
      </c>
      <c r="K48">
        <v>8.3000000013271347E-3</v>
      </c>
      <c r="O48">
        <f t="shared" ca="1" si="4"/>
        <v>-1.4783407169465643E-3</v>
      </c>
      <c r="Q48" s="1">
        <f t="shared" si="5"/>
        <v>36745.107300000003</v>
      </c>
    </row>
    <row r="49" spans="1:24" x14ac:dyDescent="0.2">
      <c r="A49" s="32" t="s">
        <v>40</v>
      </c>
      <c r="B49" s="48"/>
      <c r="C49" s="33">
        <v>51764.631500000003</v>
      </c>
      <c r="D49" s="33">
        <v>1.5E-3</v>
      </c>
      <c r="E49">
        <f t="shared" si="0"/>
        <v>130.98209918811082</v>
      </c>
      <c r="F49">
        <f t="shared" si="1"/>
        <v>131</v>
      </c>
      <c r="G49">
        <f t="shared" si="2"/>
        <v>-9.1499999980442226E-3</v>
      </c>
      <c r="K49">
        <v>1.0500000003958121E-2</v>
      </c>
      <c r="O49">
        <f t="shared" ca="1" si="4"/>
        <v>-1.4762225099366479E-3</v>
      </c>
      <c r="Q49" s="1">
        <f t="shared" si="5"/>
        <v>36746.131500000003</v>
      </c>
    </row>
    <row r="50" spans="1:24" x14ac:dyDescent="0.2">
      <c r="A50" s="32" t="s">
        <v>40</v>
      </c>
      <c r="B50" s="48"/>
      <c r="C50" s="33">
        <v>51766.674400000004</v>
      </c>
      <c r="D50" s="33">
        <v>2.0000000000000001E-4</v>
      </c>
      <c r="E50">
        <f t="shared" si="0"/>
        <v>134.97877335420762</v>
      </c>
      <c r="F50">
        <f t="shared" si="1"/>
        <v>135</v>
      </c>
      <c r="G50">
        <f t="shared" si="2"/>
        <v>-1.0849999998754356E-2</v>
      </c>
      <c r="K50">
        <v>9.4000000026426278E-3</v>
      </c>
      <c r="O50">
        <f t="shared" ca="1" si="4"/>
        <v>-1.4719860959168153E-3</v>
      </c>
      <c r="Q50" s="1">
        <f t="shared" si="5"/>
        <v>36748.174400000004</v>
      </c>
    </row>
    <row r="51" spans="1:24" x14ac:dyDescent="0.2">
      <c r="A51" s="37" t="s">
        <v>40</v>
      </c>
      <c r="B51" s="49"/>
      <c r="C51" s="38">
        <v>51767.696100000001</v>
      </c>
      <c r="D51" s="33">
        <v>2.0000000000000001E-4</v>
      </c>
      <c r="E51">
        <f t="shared" si="0"/>
        <v>136.97759953047193</v>
      </c>
      <c r="F51">
        <f t="shared" si="1"/>
        <v>137</v>
      </c>
      <c r="G51">
        <f t="shared" si="2"/>
        <v>-1.1449999998148996E-2</v>
      </c>
      <c r="K51">
        <v>9.1000000029453076E-3</v>
      </c>
      <c r="O51">
        <f t="shared" ca="1" si="4"/>
        <v>-1.4698678889068987E-3</v>
      </c>
      <c r="Q51" s="1">
        <f t="shared" si="5"/>
        <v>36749.196100000001</v>
      </c>
    </row>
    <row r="52" spans="1:24" x14ac:dyDescent="0.2">
      <c r="A52" s="39" t="s">
        <v>41</v>
      </c>
      <c r="B52" s="49"/>
      <c r="C52" s="38">
        <v>52014.838100000001</v>
      </c>
      <c r="D52" s="38">
        <v>1E-4</v>
      </c>
      <c r="E52">
        <f t="shared" si="0"/>
        <v>620.47950699403418</v>
      </c>
      <c r="F52">
        <f t="shared" si="1"/>
        <v>620.5</v>
      </c>
      <c r="G52">
        <f t="shared" si="2"/>
        <v>-1.0475000002770685E-2</v>
      </c>
      <c r="K52">
        <f>+G52</f>
        <v>-1.0475000002770685E-2</v>
      </c>
      <c r="O52">
        <f t="shared" ca="1" si="4"/>
        <v>-9.5779134425961912E-4</v>
      </c>
      <c r="Q52" s="1">
        <f t="shared" si="5"/>
        <v>36996.338100000001</v>
      </c>
      <c r="X52" s="76" t="s">
        <v>155</v>
      </c>
    </row>
    <row r="53" spans="1:24" x14ac:dyDescent="0.2">
      <c r="A53" s="40" t="s">
        <v>50</v>
      </c>
      <c r="B53" s="41" t="s">
        <v>38</v>
      </c>
      <c r="C53" s="40">
        <v>52052.414499999999</v>
      </c>
      <c r="D53" s="40" t="s">
        <v>51</v>
      </c>
      <c r="E53">
        <f t="shared" ref="E53:E72" si="7">+(C53-C$7)/C$8</f>
        <v>693.99295705761256</v>
      </c>
      <c r="F53">
        <f t="shared" ref="F53:F73" si="8">ROUND(2*E53,0)/2</f>
        <v>694</v>
      </c>
      <c r="O53">
        <f t="shared" ref="O53:O72" ca="1" si="9">+C$11+C$12*$F53</f>
        <v>-8.7994723664519298E-4</v>
      </c>
      <c r="Q53" s="1">
        <f t="shared" ref="Q53:Q72" si="10">+C53-15018.5</f>
        <v>37033.914499999999</v>
      </c>
      <c r="U53" s="29">
        <v>9.1000000029453076E-3</v>
      </c>
    </row>
    <row r="54" spans="1:24" x14ac:dyDescent="0.2">
      <c r="A54" s="40" t="s">
        <v>50</v>
      </c>
      <c r="B54" s="41" t="s">
        <v>38</v>
      </c>
      <c r="C54" s="40">
        <v>52053.431900000003</v>
      </c>
      <c r="D54" s="40" t="s">
        <v>51</v>
      </c>
      <c r="E54">
        <f t="shared" si="7"/>
        <v>695.98337083048602</v>
      </c>
      <c r="F54">
        <f t="shared" si="8"/>
        <v>696</v>
      </c>
      <c r="O54">
        <f t="shared" ca="1" si="9"/>
        <v>-8.7782902963527666E-4</v>
      </c>
      <c r="Q54" s="1">
        <f t="shared" si="10"/>
        <v>37034.931900000003</v>
      </c>
      <c r="U54" s="29">
        <v>9.1000000029453076E-3</v>
      </c>
    </row>
    <row r="55" spans="1:24" x14ac:dyDescent="0.2">
      <c r="A55" s="40" t="s">
        <v>50</v>
      </c>
      <c r="B55" s="41" t="s">
        <v>38</v>
      </c>
      <c r="C55" s="40">
        <v>52054.455499999996</v>
      </c>
      <c r="D55" s="40" t="s">
        <v>51</v>
      </c>
      <c r="E55">
        <f t="shared" si="7"/>
        <v>697.98591411522273</v>
      </c>
      <c r="F55">
        <f t="shared" si="8"/>
        <v>698</v>
      </c>
      <c r="O55">
        <f t="shared" ca="1" si="9"/>
        <v>-8.7571082262536022E-4</v>
      </c>
      <c r="Q55" s="1">
        <f t="shared" si="10"/>
        <v>37035.955499999996</v>
      </c>
      <c r="U55" s="29">
        <v>9.1000000029453076E-3</v>
      </c>
    </row>
    <row r="56" spans="1:24" x14ac:dyDescent="0.2">
      <c r="A56" s="42" t="s">
        <v>57</v>
      </c>
      <c r="B56" s="50" t="s">
        <v>38</v>
      </c>
      <c r="C56" s="42">
        <v>52867.186199999996</v>
      </c>
      <c r="D56" s="42">
        <v>2.0000000000000001E-4</v>
      </c>
      <c r="E56">
        <f t="shared" si="7"/>
        <v>2287.9902181355692</v>
      </c>
      <c r="F56">
        <f t="shared" si="8"/>
        <v>2288</v>
      </c>
      <c r="G56">
        <f t="shared" ref="G56:G72" si="11">+C56-(C$7+F56*C$8)</f>
        <v>-5.0000000046566129E-3</v>
      </c>
      <c r="K56">
        <f>G56</f>
        <v>-5.0000000046566129E-3</v>
      </c>
      <c r="O56">
        <f t="shared" ca="1" si="9"/>
        <v>8.0826375025814471E-4</v>
      </c>
      <c r="Q56" s="1">
        <f t="shared" si="10"/>
        <v>37848.686199999996</v>
      </c>
    </row>
    <row r="57" spans="1:24" x14ac:dyDescent="0.2">
      <c r="A57" s="42" t="s">
        <v>57</v>
      </c>
      <c r="B57" s="50" t="s">
        <v>38</v>
      </c>
      <c r="C57" s="42">
        <v>53126.340700000001</v>
      </c>
      <c r="D57" s="42">
        <v>2.0000000000000001E-4</v>
      </c>
      <c r="E57">
        <f t="shared" si="7"/>
        <v>2794.99305487626</v>
      </c>
      <c r="F57">
        <f t="shared" si="8"/>
        <v>2795</v>
      </c>
      <c r="G57">
        <f t="shared" si="11"/>
        <v>-3.550000001268927E-3</v>
      </c>
      <c r="K57">
        <f>G57</f>
        <v>-3.550000001268927E-3</v>
      </c>
      <c r="O57">
        <f t="shared" ca="1" si="9"/>
        <v>1.3452292272719416E-3</v>
      </c>
      <c r="Q57" s="1">
        <f t="shared" si="10"/>
        <v>38107.840700000001</v>
      </c>
    </row>
    <row r="58" spans="1:24" x14ac:dyDescent="0.2">
      <c r="A58" s="42" t="s">
        <v>45</v>
      </c>
      <c r="B58" s="43" t="s">
        <v>38</v>
      </c>
      <c r="C58" s="44">
        <v>53467.791799999999</v>
      </c>
      <c r="D58" s="44">
        <v>2.0000000000000001E-4</v>
      </c>
      <c r="E58">
        <f t="shared" si="7"/>
        <v>3462.9987283576224</v>
      </c>
      <c r="F58">
        <f t="shared" si="8"/>
        <v>3463</v>
      </c>
      <c r="G58">
        <f t="shared" si="11"/>
        <v>-6.5000000176951289E-4</v>
      </c>
      <c r="K58">
        <v>9.1000000029453076E-3</v>
      </c>
      <c r="O58">
        <f t="shared" ca="1" si="9"/>
        <v>2.0527103685840055E-3</v>
      </c>
      <c r="Q58" s="1">
        <f t="shared" si="10"/>
        <v>38449.291799999999</v>
      </c>
    </row>
    <row r="59" spans="1:24" x14ac:dyDescent="0.2">
      <c r="A59" s="42" t="s">
        <v>61</v>
      </c>
      <c r="B59" s="50" t="s">
        <v>38</v>
      </c>
      <c r="C59" s="42">
        <v>53502.553999999996</v>
      </c>
      <c r="D59" s="42">
        <v>2E-3</v>
      </c>
      <c r="E59">
        <f t="shared" si="7"/>
        <v>3531.0065538491563</v>
      </c>
      <c r="F59">
        <f t="shared" si="8"/>
        <v>3531</v>
      </c>
      <c r="G59">
        <f t="shared" si="11"/>
        <v>3.3499999990453944E-3</v>
      </c>
      <c r="K59">
        <f>G59</f>
        <v>3.3499999990453944E-3</v>
      </c>
      <c r="O59">
        <f t="shared" ca="1" si="9"/>
        <v>2.1247294069211618E-3</v>
      </c>
      <c r="Q59" s="1">
        <f t="shared" si="10"/>
        <v>38484.053999999996</v>
      </c>
    </row>
    <row r="60" spans="1:24" x14ac:dyDescent="0.2">
      <c r="A60" s="38" t="s">
        <v>46</v>
      </c>
      <c r="B60" s="43"/>
      <c r="C60" s="38">
        <v>53519.417600000001</v>
      </c>
      <c r="D60" s="38">
        <v>1E-4</v>
      </c>
      <c r="E60">
        <f t="shared" si="7"/>
        <v>3563.9980436271162</v>
      </c>
      <c r="F60">
        <f t="shared" si="8"/>
        <v>3564</v>
      </c>
      <c r="G60">
        <f t="shared" si="11"/>
        <v>-9.9999999656574801E-4</v>
      </c>
      <c r="K60">
        <v>9.1000000029453076E-3</v>
      </c>
      <c r="O60">
        <f t="shared" ca="1" si="9"/>
        <v>2.1596798225847814E-3</v>
      </c>
      <c r="Q60" s="1">
        <f t="shared" si="10"/>
        <v>38500.917600000001</v>
      </c>
    </row>
    <row r="61" spans="1:24" x14ac:dyDescent="0.2">
      <c r="A61" s="42" t="s">
        <v>61</v>
      </c>
      <c r="B61" s="50" t="s">
        <v>38</v>
      </c>
      <c r="C61" s="42">
        <v>53565.423000000003</v>
      </c>
      <c r="D61" s="42">
        <v>4.0000000000000001E-3</v>
      </c>
      <c r="E61">
        <f t="shared" si="7"/>
        <v>3654.0017607356008</v>
      </c>
      <c r="F61">
        <f t="shared" si="8"/>
        <v>3654</v>
      </c>
      <c r="G61">
        <f t="shared" si="11"/>
        <v>8.9999999909196049E-4</v>
      </c>
      <c r="K61">
        <v>9.1000000029453076E-3</v>
      </c>
      <c r="O61">
        <f t="shared" ca="1" si="9"/>
        <v>2.2549991380310178E-3</v>
      </c>
      <c r="Q61" s="1">
        <f t="shared" si="10"/>
        <v>38546.923000000003</v>
      </c>
    </row>
    <row r="62" spans="1:24" x14ac:dyDescent="0.2">
      <c r="A62" s="38" t="s">
        <v>48</v>
      </c>
      <c r="B62" s="45" t="s">
        <v>38</v>
      </c>
      <c r="C62" s="38">
        <v>54210.495600000002</v>
      </c>
      <c r="D62" s="38">
        <v>1E-4</v>
      </c>
      <c r="E62">
        <f t="shared" si="7"/>
        <v>4916.00430402035</v>
      </c>
      <c r="F62">
        <f t="shared" si="8"/>
        <v>4916</v>
      </c>
      <c r="G62">
        <f t="shared" si="11"/>
        <v>2.2000000026309863E-3</v>
      </c>
      <c r="K62">
        <v>9.1000000029453076E-3</v>
      </c>
      <c r="O62">
        <f t="shared" ca="1" si="9"/>
        <v>3.5915877612882402E-3</v>
      </c>
      <c r="Q62" s="1">
        <f t="shared" si="10"/>
        <v>39191.995600000002</v>
      </c>
    </row>
    <row r="63" spans="1:24" x14ac:dyDescent="0.2">
      <c r="A63" s="46" t="s">
        <v>47</v>
      </c>
      <c r="B63" s="45"/>
      <c r="C63" s="38">
        <v>54550.921900000001</v>
      </c>
      <c r="D63" s="38">
        <v>1E-4</v>
      </c>
      <c r="E63">
        <f t="shared" si="7"/>
        <v>5582.0050865695021</v>
      </c>
      <c r="F63">
        <f t="shared" si="8"/>
        <v>5582</v>
      </c>
      <c r="G63">
        <f t="shared" si="11"/>
        <v>2.599999999802094E-3</v>
      </c>
      <c r="K63">
        <f>+G63</f>
        <v>2.599999999802094E-3</v>
      </c>
      <c r="O63">
        <f t="shared" ca="1" si="9"/>
        <v>4.2969506955903873E-3</v>
      </c>
      <c r="Q63" s="1">
        <f t="shared" si="10"/>
        <v>39532.421900000001</v>
      </c>
      <c r="X63" s="76" t="s">
        <v>155</v>
      </c>
    </row>
    <row r="64" spans="1:24" x14ac:dyDescent="0.2">
      <c r="A64" s="38" t="s">
        <v>49</v>
      </c>
      <c r="B64" s="45" t="s">
        <v>38</v>
      </c>
      <c r="C64" s="38">
        <v>54957.798999999999</v>
      </c>
      <c r="D64" s="38">
        <v>3.0000000000000001E-3</v>
      </c>
      <c r="E64">
        <f t="shared" si="7"/>
        <v>6378.008412403402</v>
      </c>
      <c r="F64">
        <f t="shared" si="8"/>
        <v>6378</v>
      </c>
      <c r="G64">
        <f t="shared" si="11"/>
        <v>4.3000000005122274E-3</v>
      </c>
      <c r="K64">
        <v>9.1000000029453076E-3</v>
      </c>
      <c r="O64">
        <f t="shared" ca="1" si="9"/>
        <v>5.1399970855370986E-3</v>
      </c>
      <c r="Q64" s="1">
        <f t="shared" si="10"/>
        <v>39939.298999999999</v>
      </c>
    </row>
    <row r="65" spans="1:24" x14ac:dyDescent="0.2">
      <c r="A65" s="42" t="s">
        <v>54</v>
      </c>
      <c r="B65" s="50" t="s">
        <v>53</v>
      </c>
      <c r="C65" s="42">
        <v>55311.773200000003</v>
      </c>
      <c r="D65" s="42">
        <v>2.9999999999999997E-4</v>
      </c>
      <c r="E65">
        <f t="shared" si="7"/>
        <v>7070.5139391568091</v>
      </c>
      <c r="F65">
        <f t="shared" si="8"/>
        <v>7070.5</v>
      </c>
      <c r="G65">
        <f t="shared" si="11"/>
        <v>7.1250000037252903E-3</v>
      </c>
      <c r="K65">
        <f>G65</f>
        <v>7.1250000037252903E-3</v>
      </c>
      <c r="O65">
        <f t="shared" ca="1" si="9"/>
        <v>5.8734262627206371E-3</v>
      </c>
      <c r="Q65" s="1">
        <f t="shared" si="10"/>
        <v>40293.273200000003</v>
      </c>
    </row>
    <row r="66" spans="1:24" x14ac:dyDescent="0.2">
      <c r="A66" s="42" t="s">
        <v>58</v>
      </c>
      <c r="B66" s="50" t="s">
        <v>38</v>
      </c>
      <c r="C66" s="42">
        <v>55341.419000000002</v>
      </c>
      <c r="D66" s="42">
        <v>2E-3</v>
      </c>
      <c r="E66">
        <f t="shared" si="7"/>
        <v>7128.5121784212097</v>
      </c>
      <c r="F66">
        <f t="shared" si="8"/>
        <v>7128.5</v>
      </c>
      <c r="G66">
        <f t="shared" si="11"/>
        <v>6.2250000046333298E-3</v>
      </c>
      <c r="K66">
        <f>G66</f>
        <v>6.2250000046333298E-3</v>
      </c>
      <c r="O66">
        <f t="shared" ca="1" si="9"/>
        <v>5.9348542660082118E-3</v>
      </c>
      <c r="Q66" s="1">
        <f t="shared" si="10"/>
        <v>40322.919000000002</v>
      </c>
    </row>
    <row r="67" spans="1:24" x14ac:dyDescent="0.2">
      <c r="A67" s="42" t="s">
        <v>59</v>
      </c>
      <c r="B67" s="50" t="s">
        <v>38</v>
      </c>
      <c r="C67" s="42">
        <v>55672.900900000001</v>
      </c>
      <c r="D67" s="42">
        <v>2.9999999999999997E-4</v>
      </c>
      <c r="E67">
        <f t="shared" si="7"/>
        <v>7777.0143793407033</v>
      </c>
      <c r="F67">
        <f t="shared" si="8"/>
        <v>7777</v>
      </c>
      <c r="G67">
        <f t="shared" si="11"/>
        <v>7.3499999998603016E-3</v>
      </c>
      <c r="K67">
        <f>G67</f>
        <v>7.3499999998603016E-3</v>
      </c>
      <c r="O67">
        <f t="shared" ca="1" si="9"/>
        <v>6.6216828889735903E-3</v>
      </c>
      <c r="Q67" s="1">
        <f t="shared" si="10"/>
        <v>40654.400900000001</v>
      </c>
    </row>
    <row r="68" spans="1:24" x14ac:dyDescent="0.2">
      <c r="A68" s="42" t="s">
        <v>60</v>
      </c>
      <c r="B68" s="50" t="s">
        <v>38</v>
      </c>
      <c r="C68" s="42">
        <v>55689.513700000003</v>
      </c>
      <c r="D68" s="42">
        <v>1.6000000000000001E-3</v>
      </c>
      <c r="E68">
        <f t="shared" si="7"/>
        <v>7809.5152107991844</v>
      </c>
      <c r="F68">
        <f t="shared" si="8"/>
        <v>7809.5</v>
      </c>
      <c r="G68">
        <f t="shared" si="11"/>
        <v>7.7750000054948032E-3</v>
      </c>
      <c r="K68">
        <f>G68</f>
        <v>7.7750000054948032E-3</v>
      </c>
      <c r="O68">
        <f t="shared" ca="1" si="9"/>
        <v>6.6561037528847311E-3</v>
      </c>
      <c r="Q68" s="1">
        <f t="shared" si="10"/>
        <v>40671.013700000003</v>
      </c>
    </row>
    <row r="69" spans="1:24" x14ac:dyDescent="0.2">
      <c r="A69" s="65" t="s">
        <v>62</v>
      </c>
      <c r="B69" s="66" t="s">
        <v>53</v>
      </c>
      <c r="C69" s="65">
        <v>56073.898099999999</v>
      </c>
      <c r="D69" s="65">
        <v>2.0000000000000001E-4</v>
      </c>
      <c r="E69">
        <f t="shared" si="7"/>
        <v>8561.5144282500205</v>
      </c>
      <c r="F69">
        <f t="shared" si="8"/>
        <v>8561.5</v>
      </c>
      <c r="G69">
        <f t="shared" si="11"/>
        <v>7.3750000010477379E-3</v>
      </c>
      <c r="K69">
        <f>G69</f>
        <v>7.3750000010477379E-3</v>
      </c>
      <c r="O69">
        <f t="shared" ca="1" si="9"/>
        <v>7.4525495886132833E-3</v>
      </c>
      <c r="Q69" s="1">
        <f t="shared" si="10"/>
        <v>41055.398099999999</v>
      </c>
    </row>
    <row r="70" spans="1:24" x14ac:dyDescent="0.2">
      <c r="A70" s="70" t="s">
        <v>151</v>
      </c>
      <c r="B70" s="71" t="s">
        <v>38</v>
      </c>
      <c r="C70" s="72">
        <v>57161.37616</v>
      </c>
      <c r="D70" s="72">
        <v>1E-4</v>
      </c>
      <c r="E70">
        <f t="shared" si="7"/>
        <v>10689.027017509536</v>
      </c>
      <c r="F70">
        <f t="shared" si="8"/>
        <v>10689</v>
      </c>
      <c r="G70">
        <f t="shared" si="11"/>
        <v>1.3809999996738043E-2</v>
      </c>
      <c r="K70">
        <f>+G70</f>
        <v>1.3809999996738043E-2</v>
      </c>
      <c r="O70">
        <f t="shared" ca="1" si="9"/>
        <v>9.7057922954118074E-3</v>
      </c>
      <c r="Q70" s="1">
        <f t="shared" si="10"/>
        <v>42142.87616</v>
      </c>
    </row>
    <row r="71" spans="1:24" x14ac:dyDescent="0.2">
      <c r="A71" s="69" t="s">
        <v>152</v>
      </c>
      <c r="B71" s="51"/>
      <c r="C71" s="38">
        <v>57901.7742</v>
      </c>
      <c r="D71" s="38">
        <v>5.0000000000000001E-4</v>
      </c>
      <c r="E71">
        <f t="shared" si="7"/>
        <v>12137.521666829696</v>
      </c>
      <c r="F71">
        <f t="shared" si="8"/>
        <v>12137.5</v>
      </c>
      <c r="G71">
        <f t="shared" si="11"/>
        <v>1.1075000002165325E-2</v>
      </c>
      <c r="K71">
        <f>+G71</f>
        <v>1.1075000002165325E-2</v>
      </c>
      <c r="O71">
        <f t="shared" ca="1" si="9"/>
        <v>1.1239903722343732E-2</v>
      </c>
      <c r="Q71" s="1">
        <f t="shared" si="10"/>
        <v>42883.2742</v>
      </c>
      <c r="X71" s="76" t="s">
        <v>155</v>
      </c>
    </row>
    <row r="72" spans="1:24" x14ac:dyDescent="0.2">
      <c r="A72" s="73" t="s">
        <v>153</v>
      </c>
      <c r="B72" s="74" t="s">
        <v>38</v>
      </c>
      <c r="C72" s="75">
        <v>57931.675600000002</v>
      </c>
      <c r="D72" s="75">
        <v>1E-4</v>
      </c>
      <c r="E72">
        <f t="shared" si="7"/>
        <v>12196.019955003429</v>
      </c>
      <c r="F72">
        <f t="shared" si="8"/>
        <v>12196</v>
      </c>
      <c r="G72">
        <f t="shared" si="11"/>
        <v>1.0200000004260801E-2</v>
      </c>
      <c r="K72">
        <f>+G72</f>
        <v>1.0200000004260801E-2</v>
      </c>
      <c r="O72">
        <f t="shared" ca="1" si="9"/>
        <v>1.1301861277383786E-2</v>
      </c>
      <c r="Q72" s="1">
        <f t="shared" si="10"/>
        <v>42913.175600000002</v>
      </c>
    </row>
    <row r="73" spans="1:24" x14ac:dyDescent="0.2">
      <c r="A73" s="69" t="s">
        <v>154</v>
      </c>
      <c r="B73" s="51"/>
      <c r="C73" s="38">
        <v>58929.952499999999</v>
      </c>
      <c r="D73" s="38">
        <v>2.9999999999999997E-4</v>
      </c>
      <c r="E73">
        <f>+(C73-C$7)/C$8</f>
        <v>14149.021813557663</v>
      </c>
      <c r="F73">
        <f t="shared" si="8"/>
        <v>14149</v>
      </c>
      <c r="G73">
        <f>+C73-(C$7+F73*C$8)</f>
        <v>1.1149999998451676E-2</v>
      </c>
      <c r="K73">
        <f>+G73</f>
        <v>1.1149999998451676E-2</v>
      </c>
      <c r="O73">
        <f ca="1">+C$11+C$12*$F73</f>
        <v>1.337029042256711E-2</v>
      </c>
      <c r="Q73" s="1">
        <f>+C73-15018.5</f>
        <v>43911.452499999999</v>
      </c>
      <c r="X73" s="76" t="s">
        <v>155</v>
      </c>
    </row>
    <row r="74" spans="1:24" x14ac:dyDescent="0.2">
      <c r="A74" s="51"/>
      <c r="B74" s="51"/>
      <c r="C74" s="38"/>
      <c r="D74" s="38"/>
    </row>
    <row r="75" spans="1:24" x14ac:dyDescent="0.2">
      <c r="A75" s="51"/>
      <c r="B75" s="51"/>
      <c r="C75" s="38"/>
      <c r="D75" s="38"/>
    </row>
    <row r="76" spans="1:24" x14ac:dyDescent="0.2">
      <c r="A76" s="51"/>
      <c r="B76" s="51"/>
      <c r="C76" s="38"/>
      <c r="D76" s="38"/>
    </row>
    <row r="77" spans="1:24" x14ac:dyDescent="0.2">
      <c r="C77" s="9"/>
      <c r="D77" s="9"/>
    </row>
    <row r="78" spans="1:24" x14ac:dyDescent="0.2">
      <c r="C78" s="9"/>
      <c r="D78" s="9"/>
    </row>
    <row r="79" spans="1:24" x14ac:dyDescent="0.2">
      <c r="C79" s="9"/>
      <c r="D79" s="9"/>
    </row>
    <row r="80" spans="1:2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hyperlinks>
    <hyperlink ref="H175" r:id="rId1" display="http://vsolj.cetus-net.org/bulletin.html"/>
    <hyperlink ref="H168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3"/>
  <sheetViews>
    <sheetView topLeftCell="A3" workbookViewId="0">
      <selection activeCell="A24" sqref="A24:D26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52" t="s">
        <v>63</v>
      </c>
      <c r="I1" s="53" t="s">
        <v>64</v>
      </c>
      <c r="J1" s="54" t="s">
        <v>65</v>
      </c>
    </row>
    <row r="2" spans="1:16" x14ac:dyDescent="0.2">
      <c r="I2" s="55" t="s">
        <v>66</v>
      </c>
      <c r="J2" s="56" t="s">
        <v>67</v>
      </c>
    </row>
    <row r="3" spans="1:16" x14ac:dyDescent="0.2">
      <c r="A3" s="57" t="s">
        <v>68</v>
      </c>
      <c r="I3" s="55" t="s">
        <v>69</v>
      </c>
      <c r="J3" s="56" t="s">
        <v>70</v>
      </c>
    </row>
    <row r="4" spans="1:16" x14ac:dyDescent="0.2">
      <c r="I4" s="55" t="s">
        <v>71</v>
      </c>
      <c r="J4" s="56" t="s">
        <v>70</v>
      </c>
    </row>
    <row r="5" spans="1:16" ht="13.5" thickBot="1" x14ac:dyDescent="0.25">
      <c r="I5" s="58" t="s">
        <v>72</v>
      </c>
      <c r="J5" s="59" t="s">
        <v>51</v>
      </c>
    </row>
    <row r="10" spans="1:16" ht="13.5" thickBot="1" x14ac:dyDescent="0.25"/>
    <row r="11" spans="1:16" ht="12.75" customHeight="1" thickBot="1" x14ac:dyDescent="0.25">
      <c r="A11" s="9" t="str">
        <f t="shared" ref="A11:A26" si="0">P11</f>
        <v>IBVS 5592 </v>
      </c>
      <c r="B11" s="2" t="str">
        <f t="shared" ref="B11:B26" si="1">IF(H11=INT(H11),"I","II")</f>
        <v>I</v>
      </c>
      <c r="C11" s="9">
        <f t="shared" ref="C11:C26" si="2">1*G11</f>
        <v>52867.186199999996</v>
      </c>
      <c r="D11" s="11" t="str">
        <f t="shared" ref="D11:D26" si="3">VLOOKUP(F11,I$1:J$5,2,FALSE)</f>
        <v>vis</v>
      </c>
      <c r="E11" s="60">
        <f>VLOOKUP(C11,Active!C$21:E$973,3,FALSE)</f>
        <v>2287.9902181355692</v>
      </c>
      <c r="F11" s="2" t="s">
        <v>72</v>
      </c>
      <c r="G11" s="11" t="str">
        <f t="shared" ref="G11:G26" si="4">MID(I11,3,LEN(I11)-3)</f>
        <v>52867.1862</v>
      </c>
      <c r="H11" s="9">
        <f t="shared" ref="H11:H26" si="5">1*K11</f>
        <v>718</v>
      </c>
      <c r="I11" s="61" t="s">
        <v>85</v>
      </c>
      <c r="J11" s="62" t="s">
        <v>86</v>
      </c>
      <c r="K11" s="61">
        <v>718</v>
      </c>
      <c r="L11" s="61" t="s">
        <v>87</v>
      </c>
      <c r="M11" s="62" t="s">
        <v>88</v>
      </c>
      <c r="N11" s="62" t="s">
        <v>89</v>
      </c>
      <c r="O11" s="63" t="s">
        <v>90</v>
      </c>
      <c r="P11" s="64" t="s">
        <v>91</v>
      </c>
    </row>
    <row r="12" spans="1:16" ht="12.75" customHeight="1" thickBot="1" x14ac:dyDescent="0.25">
      <c r="A12" s="9" t="str">
        <f t="shared" si="0"/>
        <v>IBVS 5592 </v>
      </c>
      <c r="B12" s="2" t="str">
        <f t="shared" si="1"/>
        <v>I</v>
      </c>
      <c r="C12" s="9">
        <f t="shared" si="2"/>
        <v>53126.340700000001</v>
      </c>
      <c r="D12" s="11" t="str">
        <f t="shared" si="3"/>
        <v>vis</v>
      </c>
      <c r="E12" s="60">
        <f>VLOOKUP(C12,Active!C$21:E$973,3,FALSE)</f>
        <v>2794.99305487626</v>
      </c>
      <c r="F12" s="2" t="s">
        <v>72</v>
      </c>
      <c r="G12" s="11" t="str">
        <f t="shared" si="4"/>
        <v>53126.3407</v>
      </c>
      <c r="H12" s="9">
        <f t="shared" si="5"/>
        <v>1225</v>
      </c>
      <c r="I12" s="61" t="s">
        <v>92</v>
      </c>
      <c r="J12" s="62" t="s">
        <v>93</v>
      </c>
      <c r="K12" s="61">
        <v>1225</v>
      </c>
      <c r="L12" s="61" t="s">
        <v>94</v>
      </c>
      <c r="M12" s="62" t="s">
        <v>88</v>
      </c>
      <c r="N12" s="62" t="s">
        <v>89</v>
      </c>
      <c r="O12" s="63" t="s">
        <v>90</v>
      </c>
      <c r="P12" s="64" t="s">
        <v>91</v>
      </c>
    </row>
    <row r="13" spans="1:16" ht="12.75" customHeight="1" thickBot="1" x14ac:dyDescent="0.25">
      <c r="A13" s="9" t="str">
        <f t="shared" si="0"/>
        <v>IBVS 5677 </v>
      </c>
      <c r="B13" s="2" t="str">
        <f t="shared" si="1"/>
        <v>I</v>
      </c>
      <c r="C13" s="9">
        <f t="shared" si="2"/>
        <v>53467.791799999999</v>
      </c>
      <c r="D13" s="11" t="str">
        <f t="shared" si="3"/>
        <v>vis</v>
      </c>
      <c r="E13" s="60">
        <f>VLOOKUP(C13,Active!C$21:E$973,3,FALSE)</f>
        <v>3462.9987283576224</v>
      </c>
      <c r="F13" s="2" t="s">
        <v>72</v>
      </c>
      <c r="G13" s="11" t="str">
        <f t="shared" si="4"/>
        <v>53467.7918</v>
      </c>
      <c r="H13" s="9">
        <f t="shared" si="5"/>
        <v>1893</v>
      </c>
      <c r="I13" s="61" t="s">
        <v>95</v>
      </c>
      <c r="J13" s="62" t="s">
        <v>96</v>
      </c>
      <c r="K13" s="61">
        <v>1893</v>
      </c>
      <c r="L13" s="61" t="s">
        <v>97</v>
      </c>
      <c r="M13" s="62" t="s">
        <v>88</v>
      </c>
      <c r="N13" s="62" t="s">
        <v>89</v>
      </c>
      <c r="O13" s="63" t="s">
        <v>98</v>
      </c>
      <c r="P13" s="64" t="s">
        <v>99</v>
      </c>
    </row>
    <row r="14" spans="1:16" ht="12.75" customHeight="1" thickBot="1" x14ac:dyDescent="0.25">
      <c r="A14" s="9" t="str">
        <f t="shared" si="0"/>
        <v>OEJV 0003 </v>
      </c>
      <c r="B14" s="2" t="str">
        <f t="shared" si="1"/>
        <v>I</v>
      </c>
      <c r="C14" s="9">
        <f t="shared" si="2"/>
        <v>53502.553999999996</v>
      </c>
      <c r="D14" s="11" t="str">
        <f t="shared" si="3"/>
        <v>vis</v>
      </c>
      <c r="E14" s="60">
        <f>VLOOKUP(C14,Active!C$21:E$973,3,FALSE)</f>
        <v>3531.0065538491563</v>
      </c>
      <c r="F14" s="2" t="s">
        <v>72</v>
      </c>
      <c r="G14" s="11" t="str">
        <f t="shared" si="4"/>
        <v>53502.554</v>
      </c>
      <c r="H14" s="9">
        <f t="shared" si="5"/>
        <v>1961</v>
      </c>
      <c r="I14" s="61" t="s">
        <v>100</v>
      </c>
      <c r="J14" s="62" t="s">
        <v>101</v>
      </c>
      <c r="K14" s="61">
        <v>1961</v>
      </c>
      <c r="L14" s="61" t="s">
        <v>102</v>
      </c>
      <c r="M14" s="62" t="s">
        <v>77</v>
      </c>
      <c r="N14" s="62"/>
      <c r="O14" s="63" t="s">
        <v>103</v>
      </c>
      <c r="P14" s="64" t="s">
        <v>104</v>
      </c>
    </row>
    <row r="15" spans="1:16" ht="12.75" customHeight="1" thickBot="1" x14ac:dyDescent="0.25">
      <c r="A15" s="9" t="str">
        <f t="shared" si="0"/>
        <v>BAVM 178 </v>
      </c>
      <c r="B15" s="2" t="str">
        <f t="shared" si="1"/>
        <v>I</v>
      </c>
      <c r="C15" s="9">
        <f t="shared" si="2"/>
        <v>53519.417600000001</v>
      </c>
      <c r="D15" s="11" t="str">
        <f t="shared" si="3"/>
        <v>vis</v>
      </c>
      <c r="E15" s="60">
        <f>VLOOKUP(C15,Active!C$21:E$973,3,FALSE)</f>
        <v>3563.9980436271162</v>
      </c>
      <c r="F15" s="2" t="s">
        <v>72</v>
      </c>
      <c r="G15" s="11" t="str">
        <f t="shared" si="4"/>
        <v>53519.4176</v>
      </c>
      <c r="H15" s="9">
        <f t="shared" si="5"/>
        <v>1994</v>
      </c>
      <c r="I15" s="61" t="s">
        <v>105</v>
      </c>
      <c r="J15" s="62" t="s">
        <v>106</v>
      </c>
      <c r="K15" s="61">
        <v>1994</v>
      </c>
      <c r="L15" s="61" t="s">
        <v>107</v>
      </c>
      <c r="M15" s="62" t="s">
        <v>108</v>
      </c>
      <c r="N15" s="62" t="s">
        <v>109</v>
      </c>
      <c r="O15" s="63" t="s">
        <v>110</v>
      </c>
      <c r="P15" s="64" t="s">
        <v>111</v>
      </c>
    </row>
    <row r="16" spans="1:16" ht="12.75" customHeight="1" thickBot="1" x14ac:dyDescent="0.25">
      <c r="A16" s="9" t="str">
        <f t="shared" si="0"/>
        <v>OEJV 0003 </v>
      </c>
      <c r="B16" s="2" t="str">
        <f t="shared" si="1"/>
        <v>I</v>
      </c>
      <c r="C16" s="9">
        <f t="shared" si="2"/>
        <v>53565.423000000003</v>
      </c>
      <c r="D16" s="11" t="str">
        <f t="shared" si="3"/>
        <v>vis</v>
      </c>
      <c r="E16" s="60">
        <f>VLOOKUP(C16,Active!C$21:E$973,3,FALSE)</f>
        <v>3654.0017607356008</v>
      </c>
      <c r="F16" s="2" t="s">
        <v>72</v>
      </c>
      <c r="G16" s="11" t="str">
        <f t="shared" si="4"/>
        <v>53565.423</v>
      </c>
      <c r="H16" s="9">
        <f t="shared" si="5"/>
        <v>2084</v>
      </c>
      <c r="I16" s="61" t="s">
        <v>112</v>
      </c>
      <c r="J16" s="62" t="s">
        <v>113</v>
      </c>
      <c r="K16" s="61" t="s">
        <v>114</v>
      </c>
      <c r="L16" s="61" t="s">
        <v>76</v>
      </c>
      <c r="M16" s="62" t="s">
        <v>77</v>
      </c>
      <c r="N16" s="62"/>
      <c r="O16" s="63" t="s">
        <v>103</v>
      </c>
      <c r="P16" s="64" t="s">
        <v>104</v>
      </c>
    </row>
    <row r="17" spans="1:16" ht="12.75" customHeight="1" thickBot="1" x14ac:dyDescent="0.25">
      <c r="A17" s="9" t="str">
        <f t="shared" si="0"/>
        <v>BAVM 201 </v>
      </c>
      <c r="B17" s="2" t="str">
        <f t="shared" si="1"/>
        <v>I</v>
      </c>
      <c r="C17" s="9">
        <f t="shared" si="2"/>
        <v>54210.495600000002</v>
      </c>
      <c r="D17" s="11" t="str">
        <f t="shared" si="3"/>
        <v>vis</v>
      </c>
      <c r="E17" s="60">
        <f>VLOOKUP(C17,Active!C$21:E$973,3,FALSE)</f>
        <v>4916.00430402035</v>
      </c>
      <c r="F17" s="2" t="s">
        <v>72</v>
      </c>
      <c r="G17" s="11" t="str">
        <f t="shared" si="4"/>
        <v>54210.4956</v>
      </c>
      <c r="H17" s="9">
        <f t="shared" si="5"/>
        <v>3346</v>
      </c>
      <c r="I17" s="61" t="s">
        <v>115</v>
      </c>
      <c r="J17" s="62" t="s">
        <v>116</v>
      </c>
      <c r="K17" s="61" t="s">
        <v>117</v>
      </c>
      <c r="L17" s="61" t="s">
        <v>97</v>
      </c>
      <c r="M17" s="62" t="s">
        <v>108</v>
      </c>
      <c r="N17" s="62" t="s">
        <v>109</v>
      </c>
      <c r="O17" s="63" t="s">
        <v>118</v>
      </c>
      <c r="P17" s="64" t="s">
        <v>119</v>
      </c>
    </row>
    <row r="18" spans="1:16" ht="12.75" customHeight="1" thickBot="1" x14ac:dyDescent="0.25">
      <c r="A18" s="9" t="str">
        <f t="shared" si="0"/>
        <v>IBVS 5894 </v>
      </c>
      <c r="B18" s="2" t="str">
        <f t="shared" si="1"/>
        <v>I</v>
      </c>
      <c r="C18" s="9">
        <f t="shared" si="2"/>
        <v>54957.798999999999</v>
      </c>
      <c r="D18" s="11" t="str">
        <f t="shared" si="3"/>
        <v>vis</v>
      </c>
      <c r="E18" s="60">
        <f>VLOOKUP(C18,Active!C$21:E$973,3,FALSE)</f>
        <v>6378.008412403402</v>
      </c>
      <c r="F18" s="2" t="s">
        <v>72</v>
      </c>
      <c r="G18" s="11" t="str">
        <f t="shared" si="4"/>
        <v>54957.799</v>
      </c>
      <c r="H18" s="9">
        <f t="shared" si="5"/>
        <v>4808</v>
      </c>
      <c r="I18" s="61" t="s">
        <v>120</v>
      </c>
      <c r="J18" s="62" t="s">
        <v>121</v>
      </c>
      <c r="K18" s="61" t="s">
        <v>122</v>
      </c>
      <c r="L18" s="61" t="s">
        <v>123</v>
      </c>
      <c r="M18" s="62" t="s">
        <v>108</v>
      </c>
      <c r="N18" s="62" t="s">
        <v>72</v>
      </c>
      <c r="O18" s="63" t="s">
        <v>124</v>
      </c>
      <c r="P18" s="64" t="s">
        <v>125</v>
      </c>
    </row>
    <row r="19" spans="1:16" ht="12.75" customHeight="1" thickBot="1" x14ac:dyDescent="0.25">
      <c r="A19" s="9" t="str">
        <f t="shared" si="0"/>
        <v>IBVS 5945 </v>
      </c>
      <c r="B19" s="2" t="str">
        <f t="shared" si="1"/>
        <v>II</v>
      </c>
      <c r="C19" s="9">
        <f t="shared" si="2"/>
        <v>55311.773200000003</v>
      </c>
      <c r="D19" s="11" t="str">
        <f t="shared" si="3"/>
        <v>vis</v>
      </c>
      <c r="E19" s="60">
        <f>VLOOKUP(C19,Active!C$21:E$973,3,FALSE)</f>
        <v>7070.5139391568091</v>
      </c>
      <c r="F19" s="2" t="s">
        <v>72</v>
      </c>
      <c r="G19" s="11" t="str">
        <f t="shared" si="4"/>
        <v>55311.7732</v>
      </c>
      <c r="H19" s="9">
        <f t="shared" si="5"/>
        <v>5500.5</v>
      </c>
      <c r="I19" s="61" t="s">
        <v>126</v>
      </c>
      <c r="J19" s="62" t="s">
        <v>127</v>
      </c>
      <c r="K19" s="61" t="s">
        <v>128</v>
      </c>
      <c r="L19" s="61" t="s">
        <v>129</v>
      </c>
      <c r="M19" s="62" t="s">
        <v>108</v>
      </c>
      <c r="N19" s="62" t="s">
        <v>72</v>
      </c>
      <c r="O19" s="63" t="s">
        <v>124</v>
      </c>
      <c r="P19" s="64" t="s">
        <v>130</v>
      </c>
    </row>
    <row r="20" spans="1:16" ht="12.75" customHeight="1" thickBot="1" x14ac:dyDescent="0.25">
      <c r="A20" s="9" t="str">
        <f t="shared" si="0"/>
        <v>BAVM 214 </v>
      </c>
      <c r="B20" s="2" t="str">
        <f t="shared" si="1"/>
        <v>II</v>
      </c>
      <c r="C20" s="9">
        <f t="shared" si="2"/>
        <v>55341.419000000002</v>
      </c>
      <c r="D20" s="11" t="str">
        <f t="shared" si="3"/>
        <v>vis</v>
      </c>
      <c r="E20" s="60">
        <f>VLOOKUP(C20,Active!C$21:E$973,3,FALSE)</f>
        <v>7128.5121784212097</v>
      </c>
      <c r="F20" s="2" t="s">
        <v>72</v>
      </c>
      <c r="G20" s="11" t="str">
        <f t="shared" si="4"/>
        <v>55341.4190</v>
      </c>
      <c r="H20" s="9">
        <f t="shared" si="5"/>
        <v>5558.5</v>
      </c>
      <c r="I20" s="61" t="s">
        <v>131</v>
      </c>
      <c r="J20" s="62" t="s">
        <v>132</v>
      </c>
      <c r="K20" s="61" t="s">
        <v>133</v>
      </c>
      <c r="L20" s="61" t="s">
        <v>134</v>
      </c>
      <c r="M20" s="62" t="s">
        <v>108</v>
      </c>
      <c r="N20" s="62" t="s">
        <v>109</v>
      </c>
      <c r="O20" s="63" t="s">
        <v>135</v>
      </c>
      <c r="P20" s="64" t="s">
        <v>136</v>
      </c>
    </row>
    <row r="21" spans="1:16" ht="12.75" customHeight="1" thickBot="1" x14ac:dyDescent="0.25">
      <c r="A21" s="9" t="str">
        <f t="shared" si="0"/>
        <v>IBVS 5992 </v>
      </c>
      <c r="B21" s="2" t="str">
        <f t="shared" si="1"/>
        <v>I</v>
      </c>
      <c r="C21" s="9">
        <f t="shared" si="2"/>
        <v>55672.900900000001</v>
      </c>
      <c r="D21" s="11" t="str">
        <f t="shared" si="3"/>
        <v>vis</v>
      </c>
      <c r="E21" s="60">
        <f>VLOOKUP(C21,Active!C$21:E$973,3,FALSE)</f>
        <v>7777.0143793407033</v>
      </c>
      <c r="F21" s="2" t="s">
        <v>72</v>
      </c>
      <c r="G21" s="11" t="str">
        <f t="shared" si="4"/>
        <v>55672.9009</v>
      </c>
      <c r="H21" s="9">
        <f t="shared" si="5"/>
        <v>6207</v>
      </c>
      <c r="I21" s="61" t="s">
        <v>137</v>
      </c>
      <c r="J21" s="62" t="s">
        <v>138</v>
      </c>
      <c r="K21" s="61" t="s">
        <v>139</v>
      </c>
      <c r="L21" s="61" t="s">
        <v>140</v>
      </c>
      <c r="M21" s="62" t="s">
        <v>108</v>
      </c>
      <c r="N21" s="62" t="s">
        <v>72</v>
      </c>
      <c r="O21" s="63" t="s">
        <v>124</v>
      </c>
      <c r="P21" s="64" t="s">
        <v>141</v>
      </c>
    </row>
    <row r="22" spans="1:16" ht="12.75" customHeight="1" thickBot="1" x14ac:dyDescent="0.25">
      <c r="A22" s="9" t="str">
        <f t="shared" si="0"/>
        <v>BAVM 220 </v>
      </c>
      <c r="B22" s="2" t="str">
        <f t="shared" si="1"/>
        <v>II</v>
      </c>
      <c r="C22" s="9">
        <f t="shared" si="2"/>
        <v>55689.513700000003</v>
      </c>
      <c r="D22" s="11" t="str">
        <f t="shared" si="3"/>
        <v>vis</v>
      </c>
      <c r="E22" s="60">
        <f>VLOOKUP(C22,Active!C$21:E$973,3,FALSE)</f>
        <v>7809.5152107991844</v>
      </c>
      <c r="F22" s="2" t="s">
        <v>72</v>
      </c>
      <c r="G22" s="11" t="str">
        <f t="shared" si="4"/>
        <v>55689.5137</v>
      </c>
      <c r="H22" s="9">
        <f t="shared" si="5"/>
        <v>6239.5</v>
      </c>
      <c r="I22" s="61" t="s">
        <v>142</v>
      </c>
      <c r="J22" s="62" t="s">
        <v>143</v>
      </c>
      <c r="K22" s="61" t="s">
        <v>144</v>
      </c>
      <c r="L22" s="61" t="s">
        <v>145</v>
      </c>
      <c r="M22" s="62" t="s">
        <v>108</v>
      </c>
      <c r="N22" s="62" t="s">
        <v>109</v>
      </c>
      <c r="O22" s="63" t="s">
        <v>135</v>
      </c>
      <c r="P22" s="64" t="s">
        <v>146</v>
      </c>
    </row>
    <row r="23" spans="1:16" ht="12.75" customHeight="1" thickBot="1" x14ac:dyDescent="0.25">
      <c r="A23" s="9" t="str">
        <f t="shared" si="0"/>
        <v>IBVS 6029 </v>
      </c>
      <c r="B23" s="2" t="str">
        <f t="shared" si="1"/>
        <v>II</v>
      </c>
      <c r="C23" s="9">
        <f t="shared" si="2"/>
        <v>56073.898099999999</v>
      </c>
      <c r="D23" s="11" t="str">
        <f t="shared" si="3"/>
        <v>vis</v>
      </c>
      <c r="E23" s="60">
        <f>VLOOKUP(C23,Active!C$21:E$973,3,FALSE)</f>
        <v>8561.5144282500205</v>
      </c>
      <c r="F23" s="2" t="s">
        <v>72</v>
      </c>
      <c r="G23" s="11" t="str">
        <f t="shared" si="4"/>
        <v>56073.8981</v>
      </c>
      <c r="H23" s="9">
        <f t="shared" si="5"/>
        <v>6991.5</v>
      </c>
      <c r="I23" s="61" t="s">
        <v>147</v>
      </c>
      <c r="J23" s="62" t="s">
        <v>148</v>
      </c>
      <c r="K23" s="61" t="s">
        <v>149</v>
      </c>
      <c r="L23" s="61" t="s">
        <v>94</v>
      </c>
      <c r="M23" s="62" t="s">
        <v>108</v>
      </c>
      <c r="N23" s="62" t="s">
        <v>72</v>
      </c>
      <c r="O23" s="63" t="s">
        <v>124</v>
      </c>
      <c r="P23" s="64" t="s">
        <v>150</v>
      </c>
    </row>
    <row r="24" spans="1:16" ht="12.75" customHeight="1" thickBot="1" x14ac:dyDescent="0.25">
      <c r="A24" s="9" t="str">
        <f t="shared" si="0"/>
        <v>OEJV 0074 </v>
      </c>
      <c r="B24" s="2" t="str">
        <f t="shared" si="1"/>
        <v>I</v>
      </c>
      <c r="C24" s="9">
        <f t="shared" si="2"/>
        <v>52052.413999999997</v>
      </c>
      <c r="D24" s="11" t="str">
        <f t="shared" si="3"/>
        <v>vis</v>
      </c>
      <c r="E24" s="60" t="e">
        <f>VLOOKUP(C24,Active!C$21:E$973,3,FALSE)</f>
        <v>#N/A</v>
      </c>
      <c r="F24" s="2" t="s">
        <v>72</v>
      </c>
      <c r="G24" s="11" t="str">
        <f t="shared" si="4"/>
        <v>52052.414</v>
      </c>
      <c r="H24" s="9">
        <f t="shared" si="5"/>
        <v>-876</v>
      </c>
      <c r="I24" s="61" t="s">
        <v>74</v>
      </c>
      <c r="J24" s="62" t="s">
        <v>75</v>
      </c>
      <c r="K24" s="61">
        <v>-876</v>
      </c>
      <c r="L24" s="61" t="s">
        <v>76</v>
      </c>
      <c r="M24" s="62" t="s">
        <v>77</v>
      </c>
      <c r="N24" s="62"/>
      <c r="O24" s="63" t="s">
        <v>78</v>
      </c>
      <c r="P24" s="64" t="s">
        <v>79</v>
      </c>
    </row>
    <row r="25" spans="1:16" ht="12.75" customHeight="1" thickBot="1" x14ac:dyDescent="0.25">
      <c r="A25" s="9" t="str">
        <f t="shared" si="0"/>
        <v>OEJV 0074 </v>
      </c>
      <c r="B25" s="2" t="str">
        <f t="shared" si="1"/>
        <v>I</v>
      </c>
      <c r="C25" s="9">
        <f t="shared" si="2"/>
        <v>52053.430999999997</v>
      </c>
      <c r="D25" s="11" t="str">
        <f t="shared" si="3"/>
        <v>vis</v>
      </c>
      <c r="E25" s="60" t="e">
        <f>VLOOKUP(C25,Active!C$21:E$973,3,FALSE)</f>
        <v>#N/A</v>
      </c>
      <c r="F25" s="2" t="s">
        <v>72</v>
      </c>
      <c r="G25" s="11" t="str">
        <f t="shared" si="4"/>
        <v>52053.431</v>
      </c>
      <c r="H25" s="9">
        <f t="shared" si="5"/>
        <v>-874</v>
      </c>
      <c r="I25" s="61" t="s">
        <v>80</v>
      </c>
      <c r="J25" s="62" t="s">
        <v>81</v>
      </c>
      <c r="K25" s="61">
        <v>-874</v>
      </c>
      <c r="L25" s="61" t="s">
        <v>73</v>
      </c>
      <c r="M25" s="62" t="s">
        <v>77</v>
      </c>
      <c r="N25" s="62"/>
      <c r="O25" s="63" t="s">
        <v>78</v>
      </c>
      <c r="P25" s="64" t="s">
        <v>79</v>
      </c>
    </row>
    <row r="26" spans="1:16" ht="12.75" customHeight="1" thickBot="1" x14ac:dyDescent="0.25">
      <c r="A26" s="9" t="str">
        <f t="shared" si="0"/>
        <v>OEJV 0074 </v>
      </c>
      <c r="B26" s="2" t="str">
        <f t="shared" si="1"/>
        <v>I</v>
      </c>
      <c r="C26" s="9">
        <f t="shared" si="2"/>
        <v>52054.455000000002</v>
      </c>
      <c r="D26" s="11" t="str">
        <f t="shared" si="3"/>
        <v>vis</v>
      </c>
      <c r="E26" s="60" t="e">
        <f>VLOOKUP(C26,Active!C$21:E$973,3,FALSE)</f>
        <v>#N/A</v>
      </c>
      <c r="F26" s="2" t="s">
        <v>72</v>
      </c>
      <c r="G26" s="11" t="str">
        <f t="shared" si="4"/>
        <v>52054.455</v>
      </c>
      <c r="H26" s="9">
        <f t="shared" si="5"/>
        <v>-872</v>
      </c>
      <c r="I26" s="61" t="s">
        <v>82</v>
      </c>
      <c r="J26" s="62" t="s">
        <v>83</v>
      </c>
      <c r="K26" s="61">
        <v>-872</v>
      </c>
      <c r="L26" s="61" t="s">
        <v>84</v>
      </c>
      <c r="M26" s="62" t="s">
        <v>77</v>
      </c>
      <c r="N26" s="62"/>
      <c r="O26" s="63" t="s">
        <v>78</v>
      </c>
      <c r="P26" s="64" t="s">
        <v>79</v>
      </c>
    </row>
    <row r="27" spans="1:16" x14ac:dyDescent="0.2">
      <c r="B27" s="2"/>
      <c r="E27" s="60"/>
      <c r="F27" s="2"/>
    </row>
    <row r="28" spans="1:16" x14ac:dyDescent="0.2">
      <c r="B28" s="2"/>
      <c r="E28" s="60"/>
      <c r="F28" s="2"/>
    </row>
    <row r="29" spans="1:16" x14ac:dyDescent="0.2">
      <c r="B29" s="2"/>
      <c r="E29" s="60"/>
      <c r="F29" s="2"/>
    </row>
    <row r="30" spans="1:16" x14ac:dyDescent="0.2">
      <c r="B30" s="2"/>
      <c r="E30" s="60"/>
      <c r="F30" s="2"/>
    </row>
    <row r="31" spans="1:16" x14ac:dyDescent="0.2">
      <c r="B31" s="2"/>
      <c r="E31" s="60"/>
      <c r="F31" s="2"/>
    </row>
    <row r="32" spans="1:16" x14ac:dyDescent="0.2">
      <c r="B32" s="2"/>
      <c r="E32" s="60"/>
      <c r="F32" s="2"/>
    </row>
    <row r="33" spans="2:6" x14ac:dyDescent="0.2">
      <c r="B33" s="2"/>
      <c r="E33" s="60"/>
      <c r="F33" s="2"/>
    </row>
    <row r="34" spans="2:6" x14ac:dyDescent="0.2">
      <c r="B34" s="2"/>
      <c r="E34" s="60"/>
      <c r="F34" s="2"/>
    </row>
    <row r="35" spans="2:6" x14ac:dyDescent="0.2">
      <c r="B35" s="2"/>
      <c r="E35" s="60"/>
      <c r="F35" s="2"/>
    </row>
    <row r="36" spans="2:6" x14ac:dyDescent="0.2">
      <c r="B36" s="2"/>
      <c r="E36" s="60"/>
      <c r="F36" s="2"/>
    </row>
    <row r="37" spans="2:6" x14ac:dyDescent="0.2">
      <c r="B37" s="2"/>
      <c r="E37" s="60"/>
      <c r="F37" s="2"/>
    </row>
    <row r="38" spans="2:6" x14ac:dyDescent="0.2">
      <c r="B38" s="2"/>
      <c r="E38" s="60"/>
      <c r="F38" s="2"/>
    </row>
    <row r="39" spans="2:6" x14ac:dyDescent="0.2">
      <c r="B39" s="2"/>
      <c r="E39" s="60"/>
      <c r="F39" s="2"/>
    </row>
    <row r="40" spans="2:6" x14ac:dyDescent="0.2">
      <c r="B40" s="2"/>
      <c r="E40" s="60"/>
      <c r="F40" s="2"/>
    </row>
    <row r="41" spans="2:6" x14ac:dyDescent="0.2">
      <c r="B41" s="2"/>
      <c r="E41" s="60"/>
      <c r="F41" s="2"/>
    </row>
    <row r="42" spans="2:6" x14ac:dyDescent="0.2">
      <c r="B42" s="2"/>
      <c r="E42" s="60"/>
      <c r="F42" s="2"/>
    </row>
    <row r="43" spans="2:6" x14ac:dyDescent="0.2">
      <c r="B43" s="2"/>
      <c r="E43" s="60"/>
      <c r="F43" s="2"/>
    </row>
    <row r="44" spans="2:6" x14ac:dyDescent="0.2">
      <c r="B44" s="2"/>
      <c r="E44" s="60"/>
      <c r="F44" s="2"/>
    </row>
    <row r="45" spans="2:6" x14ac:dyDescent="0.2">
      <c r="B45" s="2"/>
      <c r="E45" s="60"/>
      <c r="F45" s="2"/>
    </row>
    <row r="46" spans="2:6" x14ac:dyDescent="0.2">
      <c r="B46" s="2"/>
      <c r="E46" s="60"/>
      <c r="F46" s="2"/>
    </row>
    <row r="47" spans="2:6" x14ac:dyDescent="0.2">
      <c r="B47" s="2"/>
      <c r="E47" s="60"/>
      <c r="F47" s="2"/>
    </row>
    <row r="48" spans="2:6" x14ac:dyDescent="0.2">
      <c r="B48" s="2"/>
      <c r="E48" s="60"/>
      <c r="F48" s="2"/>
    </row>
    <row r="49" spans="2:6" x14ac:dyDescent="0.2">
      <c r="B49" s="2"/>
      <c r="E49" s="60"/>
      <c r="F49" s="2"/>
    </row>
    <row r="50" spans="2:6" x14ac:dyDescent="0.2">
      <c r="B50" s="2"/>
      <c r="E50" s="60"/>
      <c r="F50" s="2"/>
    </row>
    <row r="51" spans="2:6" x14ac:dyDescent="0.2">
      <c r="B51" s="2"/>
      <c r="E51" s="60"/>
      <c r="F51" s="2"/>
    </row>
    <row r="52" spans="2:6" x14ac:dyDescent="0.2">
      <c r="B52" s="2"/>
      <c r="E52" s="60"/>
      <c r="F52" s="2"/>
    </row>
    <row r="53" spans="2:6" x14ac:dyDescent="0.2">
      <c r="B53" s="2"/>
      <c r="E53" s="60"/>
      <c r="F53" s="2"/>
    </row>
    <row r="54" spans="2:6" x14ac:dyDescent="0.2">
      <c r="B54" s="2"/>
      <c r="E54" s="60"/>
      <c r="F54" s="2"/>
    </row>
    <row r="55" spans="2:6" x14ac:dyDescent="0.2">
      <c r="B55" s="2"/>
      <c r="E55" s="60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</sheetData>
  <phoneticPr fontId="8" type="noConversion"/>
  <hyperlinks>
    <hyperlink ref="P24" r:id="rId1" display="http://var.astro.cz/oejv/issues/oejv0074.pdf"/>
    <hyperlink ref="P25" r:id="rId2" display="http://var.astro.cz/oejv/issues/oejv0074.pdf"/>
    <hyperlink ref="P26" r:id="rId3" display="http://var.astro.cz/oejv/issues/oejv0074.pdf"/>
    <hyperlink ref="P11" r:id="rId4" display="http://www.konkoly.hu/cgi-bin/IBVS?5592"/>
    <hyperlink ref="P12" r:id="rId5" display="http://www.konkoly.hu/cgi-bin/IBVS?5592"/>
    <hyperlink ref="P13" r:id="rId6" display="http://www.konkoly.hu/cgi-bin/IBVS?5677"/>
    <hyperlink ref="P14" r:id="rId7" display="http://var.astro.cz/oejv/issues/oejv0003.pdf"/>
    <hyperlink ref="P15" r:id="rId8" display="http://www.bav-astro.de/sfs/BAVM_link.php?BAVMnr=178"/>
    <hyperlink ref="P16" r:id="rId9" display="http://var.astro.cz/oejv/issues/oejv0003.pdf"/>
    <hyperlink ref="P17" r:id="rId10" display="http://www.bav-astro.de/sfs/BAVM_link.php?BAVMnr=201"/>
    <hyperlink ref="P18" r:id="rId11" display="http://www.konkoly.hu/cgi-bin/IBVS?5894"/>
    <hyperlink ref="P19" r:id="rId12" display="http://www.konkoly.hu/cgi-bin/IBVS?5945"/>
    <hyperlink ref="P20" r:id="rId13" display="http://www.bav-astro.de/sfs/BAVM_link.php?BAVMnr=214"/>
    <hyperlink ref="P21" r:id="rId14" display="http://www.konkoly.hu/cgi-bin/IBVS?5992"/>
    <hyperlink ref="P22" r:id="rId15" display="http://www.bav-astro.de/sfs/BAVM_link.php?BAVMnr=220"/>
    <hyperlink ref="P23" r:id="rId16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2024-02-14T04:57:03Z</dcterms:modified>
</cp:coreProperties>
</file>