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638CB9-44B8-4AC3-9CB1-AB946C19DE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/>
  <c r="Q72" i="1"/>
  <c r="Q73" i="1"/>
  <c r="Q71" i="1"/>
  <c r="F61" i="1"/>
  <c r="F62" i="1"/>
  <c r="G62" i="1"/>
  <c r="K62" i="1"/>
  <c r="F65" i="1"/>
  <c r="F69" i="1"/>
  <c r="E49" i="1"/>
  <c r="F49" i="1"/>
  <c r="E48" i="1"/>
  <c r="F48" i="1"/>
  <c r="E50" i="1"/>
  <c r="F50" i="1"/>
  <c r="C4" i="1"/>
  <c r="C7" i="1"/>
  <c r="E71" i="1"/>
  <c r="F71" i="1"/>
  <c r="D4" i="1"/>
  <c r="C8" i="1"/>
  <c r="E38" i="1"/>
  <c r="F38" i="1"/>
  <c r="U38" i="1"/>
  <c r="E68" i="1"/>
  <c r="F68" i="1"/>
  <c r="E69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9" i="1"/>
  <c r="F29" i="1"/>
  <c r="G29" i="1"/>
  <c r="I29" i="1"/>
  <c r="E30" i="1"/>
  <c r="F30" i="1"/>
  <c r="E31" i="1"/>
  <c r="F31" i="1"/>
  <c r="G31" i="1"/>
  <c r="I31" i="1"/>
  <c r="E32" i="1"/>
  <c r="F32" i="1"/>
  <c r="G32" i="1"/>
  <c r="I32" i="1"/>
  <c r="E33" i="1"/>
  <c r="F33" i="1"/>
  <c r="G33" i="1"/>
  <c r="I33" i="1"/>
  <c r="E35" i="1"/>
  <c r="F35" i="1"/>
  <c r="G35" i="1"/>
  <c r="I35" i="1"/>
  <c r="E37" i="1"/>
  <c r="F37" i="1"/>
  <c r="G37" i="1"/>
  <c r="I37" i="1"/>
  <c r="E39" i="1"/>
  <c r="F39" i="1"/>
  <c r="E40" i="1"/>
  <c r="F40" i="1"/>
  <c r="U40" i="1"/>
  <c r="E41" i="1"/>
  <c r="F41" i="1"/>
  <c r="G41" i="1"/>
  <c r="I41" i="1"/>
  <c r="E42" i="1"/>
  <c r="F42" i="1"/>
  <c r="U42" i="1"/>
  <c r="E43" i="1"/>
  <c r="F43" i="1"/>
  <c r="U43" i="1"/>
  <c r="D9" i="1"/>
  <c r="C9" i="1"/>
  <c r="E44" i="1"/>
  <c r="F44" i="1"/>
  <c r="G44" i="1"/>
  <c r="H44" i="1"/>
  <c r="E53" i="1"/>
  <c r="F53" i="1"/>
  <c r="G53" i="1"/>
  <c r="E54" i="1"/>
  <c r="F54" i="1"/>
  <c r="G54" i="1"/>
  <c r="K54" i="1"/>
  <c r="E55" i="1"/>
  <c r="F55" i="1"/>
  <c r="G55" i="1"/>
  <c r="J55" i="1"/>
  <c r="E56" i="1"/>
  <c r="F56" i="1"/>
  <c r="G56" i="1"/>
  <c r="J56" i="1"/>
  <c r="E58" i="1"/>
  <c r="F58" i="1"/>
  <c r="G58" i="1"/>
  <c r="J58" i="1"/>
  <c r="E59" i="1"/>
  <c r="F59" i="1"/>
  <c r="E60" i="1"/>
  <c r="F60" i="1"/>
  <c r="E61" i="1"/>
  <c r="E62" i="1"/>
  <c r="E63" i="1"/>
  <c r="F63" i="1"/>
  <c r="E64" i="1"/>
  <c r="F64" i="1"/>
  <c r="E65" i="1"/>
  <c r="E66" i="1"/>
  <c r="F66" i="1"/>
  <c r="G66" i="1"/>
  <c r="J66" i="1"/>
  <c r="E67" i="1"/>
  <c r="F67" i="1"/>
  <c r="E57" i="1"/>
  <c r="F57" i="1"/>
  <c r="Q68" i="1"/>
  <c r="Q69" i="1"/>
  <c r="Q7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G13" i="2"/>
  <c r="C13" i="2"/>
  <c r="G12" i="2"/>
  <c r="C12" i="2"/>
  <c r="E12" i="2"/>
  <c r="G11" i="2"/>
  <c r="C11" i="2"/>
  <c r="E11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G14" i="2"/>
  <c r="C14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H13" i="2"/>
  <c r="D13" i="2"/>
  <c r="B13" i="2"/>
  <c r="A13" i="2"/>
  <c r="H12" i="2"/>
  <c r="D12" i="2"/>
  <c r="B12" i="2"/>
  <c r="A12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Q66" i="1"/>
  <c r="Q67" i="1"/>
  <c r="Q63" i="1"/>
  <c r="Q64" i="1"/>
  <c r="Q65" i="1"/>
  <c r="Q54" i="1"/>
  <c r="F16" i="1"/>
  <c r="F17" i="1" s="1"/>
  <c r="C17" i="1"/>
  <c r="Q61" i="1"/>
  <c r="Q62" i="1"/>
  <c r="Q59" i="1"/>
  <c r="Q45" i="1"/>
  <c r="Q46" i="1"/>
  <c r="Q47" i="1"/>
  <c r="Q48" i="1"/>
  <c r="Q49" i="1"/>
  <c r="Q50" i="1"/>
  <c r="Q51" i="1"/>
  <c r="Q52" i="1"/>
  <c r="K53" i="1"/>
  <c r="Q53" i="1"/>
  <c r="Q55" i="1"/>
  <c r="Q56" i="1"/>
  <c r="Q57" i="1"/>
  <c r="Q58" i="1"/>
  <c r="Q60" i="1"/>
  <c r="B2" i="1"/>
  <c r="Q44" i="1"/>
  <c r="E44" i="2"/>
  <c r="E50" i="2"/>
  <c r="E14" i="2"/>
  <c r="E16" i="2"/>
  <c r="G69" i="1"/>
  <c r="J69" i="1"/>
  <c r="G65" i="1"/>
  <c r="K65" i="1"/>
  <c r="G61" i="1"/>
  <c r="K61" i="1"/>
  <c r="E21" i="1"/>
  <c r="E52" i="1"/>
  <c r="F52" i="1"/>
  <c r="E47" i="1"/>
  <c r="F47" i="1"/>
  <c r="E46" i="1"/>
  <c r="G68" i="1"/>
  <c r="J68" i="1"/>
  <c r="G64" i="1"/>
  <c r="J64" i="1"/>
  <c r="G60" i="1"/>
  <c r="K60" i="1"/>
  <c r="E73" i="1"/>
  <c r="F73" i="1"/>
  <c r="G73" i="1"/>
  <c r="K73" i="1"/>
  <c r="E34" i="1"/>
  <c r="F34" i="1"/>
  <c r="U34" i="1"/>
  <c r="G28" i="1"/>
  <c r="K28" i="1"/>
  <c r="E26" i="1"/>
  <c r="F26" i="1"/>
  <c r="G26" i="1"/>
  <c r="K26" i="1"/>
  <c r="E70" i="1"/>
  <c r="G71" i="1"/>
  <c r="K71" i="1"/>
  <c r="E51" i="1"/>
  <c r="F51" i="1"/>
  <c r="E45" i="1"/>
  <c r="F45" i="1"/>
  <c r="G67" i="1"/>
  <c r="J67" i="1"/>
  <c r="G63" i="1"/>
  <c r="J63" i="1"/>
  <c r="G59" i="1"/>
  <c r="K59" i="1"/>
  <c r="G72" i="1"/>
  <c r="K72" i="1"/>
  <c r="G39" i="1"/>
  <c r="I39" i="1"/>
  <c r="E36" i="1"/>
  <c r="F36" i="1"/>
  <c r="G36" i="1"/>
  <c r="I36" i="1"/>
  <c r="G30" i="1"/>
  <c r="I30" i="1"/>
  <c r="E28" i="1"/>
  <c r="F28" i="1"/>
  <c r="G22" i="1"/>
  <c r="K22" i="1"/>
  <c r="G49" i="1"/>
  <c r="I49" i="1"/>
  <c r="E52" i="2"/>
  <c r="F21" i="1"/>
  <c r="G21" i="1"/>
  <c r="K21" i="1"/>
  <c r="E37" i="2"/>
  <c r="E21" i="2"/>
  <c r="E42" i="2"/>
  <c r="F46" i="1"/>
  <c r="G46" i="1"/>
  <c r="E15" i="2"/>
  <c r="E13" i="2"/>
  <c r="F70" i="1"/>
  <c r="G70" i="1"/>
  <c r="J70" i="1"/>
  <c r="E20" i="2"/>
  <c r="K46" i="1"/>
  <c r="C12" i="1"/>
  <c r="C11" i="1"/>
  <c r="O55" i="1" l="1"/>
  <c r="O61" i="1"/>
  <c r="O25" i="1"/>
  <c r="O28" i="1"/>
  <c r="O59" i="1"/>
  <c r="O68" i="1"/>
  <c r="O52" i="1"/>
  <c r="O38" i="1"/>
  <c r="O45" i="1"/>
  <c r="O33" i="1"/>
  <c r="O43" i="1"/>
  <c r="O48" i="1"/>
  <c r="O26" i="1"/>
  <c r="O49" i="1"/>
  <c r="O41" i="1"/>
  <c r="O56" i="1"/>
  <c r="O36" i="1"/>
  <c r="O63" i="1"/>
  <c r="O65" i="1"/>
  <c r="O37" i="1"/>
  <c r="O73" i="1"/>
  <c r="O71" i="1"/>
  <c r="O39" i="1"/>
  <c r="O62" i="1"/>
  <c r="O23" i="1"/>
  <c r="O66" i="1"/>
  <c r="O21" i="1"/>
  <c r="O69" i="1"/>
  <c r="O22" i="1"/>
  <c r="O53" i="1"/>
  <c r="O46" i="1"/>
  <c r="O31" i="1"/>
  <c r="O47" i="1"/>
  <c r="O29" i="1"/>
  <c r="O27" i="1"/>
  <c r="O30" i="1"/>
  <c r="O44" i="1"/>
  <c r="O58" i="1"/>
  <c r="C15" i="1"/>
  <c r="F18" i="1" s="1"/>
  <c r="O70" i="1"/>
  <c r="O35" i="1"/>
  <c r="O60" i="1"/>
  <c r="O57" i="1"/>
  <c r="O50" i="1"/>
  <c r="O34" i="1"/>
  <c r="O51" i="1"/>
  <c r="O24" i="1"/>
  <c r="O67" i="1"/>
  <c r="O42" i="1"/>
  <c r="O72" i="1"/>
  <c r="O40" i="1"/>
  <c r="O32" i="1"/>
  <c r="O54" i="1"/>
  <c r="O64" i="1"/>
  <c r="C16" i="1"/>
  <c r="D18" i="1" s="1"/>
  <c r="F19" i="1" l="1"/>
  <c r="C18" i="1"/>
</calcChain>
</file>

<file path=xl/sharedStrings.xml><?xml version="1.0" encoding="utf-8"?>
<sst xmlns="http://schemas.openxmlformats.org/spreadsheetml/2006/main" count="564" uniqueCount="253">
  <si>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</si>
  <si>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</si>
  <si>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</si>
  <si>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</si>
  <si>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</si>
  <si>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</si>
  <si>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</si>
  <si>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</si>
  <si>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</si>
  <si>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</si>
  <si>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</si>
  <si>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</si>
  <si>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</si>
  <si>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</si>
  <si>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</si>
  <si>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</si>
  <si>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</si>
  <si>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</si>
  <si>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</si>
  <si>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</si>
  <si>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</si>
  <si>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</si>
  <si>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</si>
  <si>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</si>
  <si>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</si>
  <si>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</si>
  <si>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</si>
  <si>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</si>
  <si>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</si>
  <si>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</si>
  <si>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</si>
  <si>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</si>
  <si>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</si>
  <si>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</si>
  <si>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</si>
  <si>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</si>
  <si>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</si>
  <si>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V1053 Her / GSC 2604-1671               </t>
  </si>
  <si>
    <t xml:space="preserve">EW        </t>
  </si>
  <si>
    <t>IBVS 5438</t>
  </si>
  <si>
    <t>II</t>
  </si>
  <si>
    <t>IBVS 5543</t>
  </si>
  <si>
    <t>IBVS 5713</t>
  </si>
  <si>
    <t>IBVS 5731</t>
  </si>
  <si>
    <t>IBVS 5781</t>
  </si>
  <si>
    <t>IBVS 5871</t>
  </si>
  <si>
    <t>IBVS 5874</t>
  </si>
  <si>
    <t>BAD</t>
  </si>
  <si>
    <t>IBVS 5920</t>
  </si>
  <si>
    <t>IBVS 5945</t>
  </si>
  <si>
    <t>Add cycle</t>
  </si>
  <si>
    <t>Old Cycle</t>
  </si>
  <si>
    <t>IBVS 5959</t>
  </si>
  <si>
    <t>IBVS 5992</t>
  </si>
  <si>
    <t>OEJV 0003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</si>
  <si>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</si>
  <si>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</si>
  <si>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</si>
  <si>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</si>
  <si>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</si>
  <si>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</si>
  <si>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</si>
  <si>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</si>
  <si>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</si>
  <si>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</si>
  <si>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</si>
  <si>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</si>
  <si>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6157</t>
  </si>
  <si>
    <t>2452056.3944 </t>
  </si>
  <si>
    <t> 26.05.2001 21:27 </t>
  </si>
  <si>
    <t> -0.0020 </t>
  </si>
  <si>
    <t>E </t>
  </si>
  <si>
    <t>?</t>
  </si>
  <si>
    <t> E.Blättler </t>
  </si>
  <si>
    <t> BBS 126 </t>
  </si>
  <si>
    <t>2452056.5398 </t>
  </si>
  <si>
    <t> 27.05.2001 00:57 </t>
  </si>
  <si>
    <t> -0.0005 </t>
  </si>
  <si>
    <t>2452058.5548 </t>
  </si>
  <si>
    <t> 29.05.2001 01:18 </t>
  </si>
  <si>
    <t> -0.0000 </t>
  </si>
  <si>
    <t>2452065.4626 </t>
  </si>
  <si>
    <t> 04.06.2001 23:06 </t>
  </si>
  <si>
    <t> 0.0007 </t>
  </si>
  <si>
    <t>2452073.3767 </t>
  </si>
  <si>
    <t> 12.06.2001 21:02 </t>
  </si>
  <si>
    <t> 0.0004 </t>
  </si>
  <si>
    <t>2452073.5201 </t>
  </si>
  <si>
    <t> 13.06.2001 00:28 </t>
  </si>
  <si>
    <t> -0.0001 </t>
  </si>
  <si>
    <t>2452075.3936 </t>
  </si>
  <si>
    <t> 14.06.2001 21:26 </t>
  </si>
  <si>
    <t> 0.0027 </t>
  </si>
  <si>
    <t>2452075.5357 </t>
  </si>
  <si>
    <t> 15.06.2001 00:51 </t>
  </si>
  <si>
    <t> 0.0009 </t>
  </si>
  <si>
    <t>2452296.698 </t>
  </si>
  <si>
    <t> 22.01.2002 04:45 </t>
  </si>
  <si>
    <t> -0.008 </t>
  </si>
  <si>
    <t>V </t>
  </si>
  <si>
    <t> K.Locher </t>
  </si>
  <si>
    <t> BBS 127 </t>
  </si>
  <si>
    <t>2452323.614 </t>
  </si>
  <si>
    <t> 18.02.2002 02:44 </t>
  </si>
  <si>
    <t> -0.001 </t>
  </si>
  <si>
    <t>2452344.624 </t>
  </si>
  <si>
    <t> 11.03.2002 02:58 </t>
  </si>
  <si>
    <t> -0.000 </t>
  </si>
  <si>
    <t>2452345.630 </t>
  </si>
  <si>
    <t> 12.03.2002 03:07 </t>
  </si>
  <si>
    <t> -0.002 </t>
  </si>
  <si>
    <t>2452347.647 </t>
  </si>
  <si>
    <t> 14.03.2002 03:31 </t>
  </si>
  <si>
    <t> 0.001 </t>
  </si>
  <si>
    <t>2452370.540 </t>
  </si>
  <si>
    <t> 06.04.2002 00:57 </t>
  </si>
  <si>
    <t> 0.014 </t>
  </si>
  <si>
    <t> BBS 128 </t>
  </si>
  <si>
    <t>2452382.606 </t>
  </si>
  <si>
    <t> 18.04.2002 02:32 </t>
  </si>
  <si>
    <t> -0.007 </t>
  </si>
  <si>
    <t>2452395.423 </t>
  </si>
  <si>
    <t> 30.04.2002 22:09 </t>
  </si>
  <si>
    <t> 0.003 </t>
  </si>
  <si>
    <t>2452409.526 </t>
  </si>
  <si>
    <t> 15.05.2002 00:37 </t>
  </si>
  <si>
    <t> 0.004 </t>
  </si>
  <si>
    <t>2452411.547 </t>
  </si>
  <si>
    <t> 17.05.2002 01:07 </t>
  </si>
  <si>
    <t> 0.010 </t>
  </si>
  <si>
    <t>2452415.561 </t>
  </si>
  <si>
    <t> 21.05.2002 01:27 </t>
  </si>
  <si>
    <t> -0.005 </t>
  </si>
  <si>
    <t>2452438.466 </t>
  </si>
  <si>
    <t> 12.06.2002 23:11 </t>
  </si>
  <si>
    <t> 0.020 </t>
  </si>
  <si>
    <t>2452442.4740 </t>
  </si>
  <si>
    <t> 16.06.2002 23:22 </t>
  </si>
  <si>
    <t> -0.0010 </t>
  </si>
  <si>
    <t>2452460.475 </t>
  </si>
  <si>
    <t> 04.07.2002 23:24 </t>
  </si>
  <si>
    <t> 0.013 </t>
  </si>
  <si>
    <t>2452465.506 </t>
  </si>
  <si>
    <t> 10.07.2002 00:08 </t>
  </si>
  <si>
    <t> 0.007 </t>
  </si>
  <si>
    <t>2452708.569 </t>
  </si>
  <si>
    <t> 10.03.2003 01:39 </t>
  </si>
  <si>
    <t> 0.026 </t>
  </si>
  <si>
    <t> BBS 129 </t>
  </si>
  <si>
    <t>2452745.5237 </t>
  </si>
  <si>
    <t> 16.04.2003 00:34 </t>
  </si>
  <si>
    <t> -0.0007 </t>
  </si>
  <si>
    <t>2452752.604 </t>
  </si>
  <si>
    <t> 23.04.2003 02:29 </t>
  </si>
  <si>
    <t> 0.029 </t>
  </si>
  <si>
    <t>2452753.457 </t>
  </si>
  <si>
    <t> 23.04.2003 22:58 </t>
  </si>
  <si>
    <t> 0.018 </t>
  </si>
  <si>
    <t>2452783.514 </t>
  </si>
  <si>
    <t> 24.05.2003 00:20 </t>
  </si>
  <si>
    <t>2452791.577 </t>
  </si>
  <si>
    <t> 01.06.2003 01:50 </t>
  </si>
  <si>
    <t> 0.005 </t>
  </si>
  <si>
    <t>2452812.453 </t>
  </si>
  <si>
    <t> 21.06.2003 22:52 </t>
  </si>
  <si>
    <t> 0.016 </t>
  </si>
  <si>
    <t>2452850.432 </t>
  </si>
  <si>
    <t> 29.07.2003 22:22 </t>
  </si>
  <si>
    <t> 0.006 </t>
  </si>
  <si>
    <t> BBS 130 </t>
  </si>
  <si>
    <t>2453096.4892 </t>
  </si>
  <si>
    <t> 31.03.2004 23:44 </t>
  </si>
  <si>
    <t> -0.0026 </t>
  </si>
  <si>
    <t>2453186.567 </t>
  </si>
  <si>
    <t> 30.06.2004 01:36 </t>
  </si>
  <si>
    <t>OEJV 0003 </t>
  </si>
  <si>
    <t>2453614.3809 </t>
  </si>
  <si>
    <t> 31.08.2005 21:08 </t>
  </si>
  <si>
    <t> -0.0002 </t>
  </si>
  <si>
    <t>IBVS 5713 </t>
  </si>
  <si>
    <t>2453863.4685 </t>
  </si>
  <si>
    <t> 07.05.2006 23:14 </t>
  </si>
  <si>
    <t>C </t>
  </si>
  <si>
    <t>-I</t>
  </si>
  <si>
    <t> F.Agerer </t>
  </si>
  <si>
    <t>BAVM 178 </t>
  </si>
  <si>
    <t>2453992.406 </t>
  </si>
  <si>
    <t> 13.09.2006 21:44 </t>
  </si>
  <si>
    <t>5185</t>
  </si>
  <si>
    <t>R</t>
  </si>
  <si>
    <t> BBS 133 (=IBVS 5781) </t>
  </si>
  <si>
    <t>2454202.4899 </t>
  </si>
  <si>
    <t> 11.04.2007 23:45 </t>
  </si>
  <si>
    <t>5915</t>
  </si>
  <si>
    <t> -0.0027 </t>
  </si>
  <si>
    <t>o</t>
  </si>
  <si>
    <t>2454631.4514 </t>
  </si>
  <si>
    <t> 13.06.2008 22:50 </t>
  </si>
  <si>
    <t>7405.5</t>
  </si>
  <si>
    <t> -0.0015 </t>
  </si>
  <si>
    <t>BAVM 201 </t>
  </si>
  <si>
    <t>2454697.501 </t>
  </si>
  <si>
    <t> 19.08.2008 00:01 </t>
  </si>
  <si>
    <t>7635</t>
  </si>
  <si>
    <t>IBVS 5871 </t>
  </si>
  <si>
    <t>2455049.4727 </t>
  </si>
  <si>
    <t> 05.08.2009 23:20 </t>
  </si>
  <si>
    <t>8858</t>
  </si>
  <si>
    <t> -0.0041 </t>
  </si>
  <si>
    <t>IBVS 5920 </t>
  </si>
  <si>
    <t>2455312.8083 </t>
  </si>
  <si>
    <t> 26.04.2010 07:23 </t>
  </si>
  <si>
    <t>9773</t>
  </si>
  <si>
    <t> -0.0021 </t>
  </si>
  <si>
    <t> R.Diethelm </t>
  </si>
  <si>
    <t>IBVS 5945 </t>
  </si>
  <si>
    <t>2455314.3904 </t>
  </si>
  <si>
    <t> 27.04.2010 21:22 </t>
  </si>
  <si>
    <t>9778.5</t>
  </si>
  <si>
    <t> -0.0028 </t>
  </si>
  <si>
    <t>BAVM 214 </t>
  </si>
  <si>
    <t>2455314.5351 </t>
  </si>
  <si>
    <t> 28.04.2010 00:50 </t>
  </si>
  <si>
    <t>9779</t>
  </si>
  <si>
    <t>2455722.7746 </t>
  </si>
  <si>
    <t> 10.06.2011 06:35 </t>
  </si>
  <si>
    <t>11197.5</t>
  </si>
  <si>
    <t> -0.0014 </t>
  </si>
  <si>
    <t>IBVS 5992 </t>
  </si>
  <si>
    <t>2456764.4508 </t>
  </si>
  <si>
    <t> 16.04.2014 22:49 </t>
  </si>
  <si>
    <t>14817</t>
  </si>
  <si>
    <t> -0.0036 </t>
  </si>
  <si>
    <t>BAVM 238 </t>
  </si>
  <si>
    <t>2456764.5952 </t>
  </si>
  <si>
    <t> 17.04.2014 02:17 </t>
  </si>
  <si>
    <t>14817.5</t>
  </si>
  <si>
    <t> -0.0031 </t>
  </si>
  <si>
    <t>2457131.3901 </t>
  </si>
  <si>
    <t> 18.04.2015 21:21 </t>
  </si>
  <si>
    <t>16092</t>
  </si>
  <si>
    <t> -0.0045 </t>
  </si>
  <si>
    <t> W.Moschner &amp; P.Frank </t>
  </si>
  <si>
    <t>BAVM 241 (=IBVS 6157) </t>
  </si>
  <si>
    <t>2457136.5701 </t>
  </si>
  <si>
    <t> 24.04.2015 01:40 </t>
  </si>
  <si>
    <t>16110</t>
  </si>
  <si>
    <t> -0.0048 </t>
  </si>
  <si>
    <t>2457158.4428 </t>
  </si>
  <si>
    <t> 15.05.2015 22:37 </t>
  </si>
  <si>
    <t>16186</t>
  </si>
  <si>
    <t> -0.0046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</si>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</sst>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9" fillId="0" borderId="8" xfId="0" applyFont="1" applyFill="1" applyBorder="1" applyAlignment="1">
      <alignment horizontal="center"/>
    </xf>
    <xf numFmtId="0" fontId="35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Her - O-C Diagr.</a:t>
            </a:r>
          </a:p>
        </c:rich>
      </c:tx>
      <c:layout>
        <c:manualLayout>
          <c:xMode val="edge"/>
          <c:yMode val="edge"/>
          <c:x val="0.3452597673949074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57975019893767"/>
          <c:y val="0.13994189017784567"/>
          <c:w val="0.7799649031167045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7-4DBC-B40D-B6F614D957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8">
                  <c:v>-9.1573000026983209E-3</c:v>
                </c:pt>
                <c:pt idx="9">
                  <c:v>-2.0926499928464182E-3</c:v>
                </c:pt>
                <c:pt idx="10">
                  <c:v>-1.2079499938408844E-3</c:v>
                </c:pt>
                <c:pt idx="11">
                  <c:v>-2.4943000025814399E-3</c:v>
                </c:pt>
                <c:pt idx="12">
                  <c:v>-6.7000000854022801E-5</c:v>
                </c:pt>
                <c:pt idx="14">
                  <c:v>-8.2931500000995584E-3</c:v>
                </c:pt>
                <c:pt idx="15">
                  <c:v>1.7804000090109184E-3</c:v>
                </c:pt>
                <c:pt idx="16">
                  <c:v>2.771500003291294E-3</c:v>
                </c:pt>
                <c:pt idx="18">
                  <c:v>-5.9465999947860837E-3</c:v>
                </c:pt>
                <c:pt idx="20">
                  <c:v>-1.8819499964592978E-3</c:v>
                </c:pt>
                <c:pt idx="28">
                  <c:v>-2.6044999685836956E-4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17-4DBC-B40D-B6F614D957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4">
                  <c:v>-7.011499983491376E-4</c:v>
                </c:pt>
                <c:pt idx="35">
                  <c:v>-6.2569999136030674E-4</c:v>
                </c:pt>
                <c:pt idx="37">
                  <c:v>-3.0314999967231415E-3</c:v>
                </c:pt>
                <c:pt idx="42">
                  <c:v>-2.7638500032480806E-3</c:v>
                </c:pt>
                <c:pt idx="43">
                  <c:v>-1.9618999940576032E-3</c:v>
                </c:pt>
                <c:pt idx="45">
                  <c:v>-3.0136999994283542E-3</c:v>
                </c:pt>
                <c:pt idx="46">
                  <c:v>-2.5117499899351969E-3</c:v>
                </c:pt>
                <c:pt idx="47">
                  <c:v>-3.7412000019685365E-3</c:v>
                </c:pt>
                <c:pt idx="48">
                  <c:v>-4.0710000030230731E-3</c:v>
                </c:pt>
                <c:pt idx="49">
                  <c:v>-3.8745999991078861E-3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17-4DBC-B40D-B6F614D957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-3.0138000001898035E-3</c:v>
                </c:pt>
                <c:pt idx="1">
                  <c:v>-1.5118500014068559E-3</c:v>
                </c:pt>
                <c:pt idx="2">
                  <c:v>-1.0845500000868924E-3</c:v>
                </c:pt>
                <c:pt idx="3">
                  <c:v>-3.9095000101951882E-4</c:v>
                </c:pt>
                <c:pt idx="4">
                  <c:v>-6.8369999644346535E-4</c:v>
                </c:pt>
                <c:pt idx="5">
                  <c:v>-1.1817499980679713E-3</c:v>
                </c:pt>
                <c:pt idx="6">
                  <c:v>1.6436000078101642E-3</c:v>
                </c:pt>
                <c:pt idx="7">
                  <c:v>-1.5444999735336751E-4</c:v>
                </c:pt>
                <c:pt idx="25">
                  <c:v>-1.4752499992027879E-3</c:v>
                </c:pt>
                <c:pt idx="32">
                  <c:v>-3.3191999900736846E-3</c:v>
                </c:pt>
                <c:pt idx="33">
                  <c:v>-5.6984999901033007E-3</c:v>
                </c:pt>
                <c:pt idx="38">
                  <c:v>-1.6185499989660457E-3</c:v>
                </c:pt>
                <c:pt idx="39">
                  <c:v>-1.2235000031068921E-3</c:v>
                </c:pt>
                <c:pt idx="40">
                  <c:v>-4.1538000004948117E-3</c:v>
                </c:pt>
                <c:pt idx="41">
                  <c:v>-1.9852999976137653E-3</c:v>
                </c:pt>
                <c:pt idx="44">
                  <c:v>-1.2297499997657724E-3</c:v>
                </c:pt>
                <c:pt idx="50">
                  <c:v>-3.6166499994578771E-3</c:v>
                </c:pt>
                <c:pt idx="51">
                  <c:v>-3.0677999966428615E-3</c:v>
                </c:pt>
                <c:pt idx="52">
                  <c:v>-3.2131999978446402E-3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17-4DBC-B40D-B6F614D957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17-4DBC-B40D-B6F614D957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17-4DBC-B40D-B6F614D957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5.0000000000000001E-3</c:v>
                  </c:pt>
                  <c:pt idx="25">
                    <c:v>1.8E-3</c:v>
                  </c:pt>
                  <c:pt idx="26">
                    <c:v>4.0000000000000001E-3</c:v>
                  </c:pt>
                  <c:pt idx="27">
                    <c:v>5.0000000000000001E-3</c:v>
                  </c:pt>
                  <c:pt idx="28">
                    <c:v>6.0000000000000001E-3</c:v>
                  </c:pt>
                  <c:pt idx="29">
                    <c:v>8.0000000000000002E-3</c:v>
                  </c:pt>
                  <c:pt idx="30">
                    <c:v>6.0000000000000001E-3</c:v>
                  </c:pt>
                  <c:pt idx="31">
                    <c:v>3.0000000000000001E-3</c:v>
                  </c:pt>
                  <c:pt idx="32">
                    <c:v>1.9E-3</c:v>
                  </c:pt>
                  <c:pt idx="33">
                    <c:v>3.0000000000000001E-3</c:v>
                  </c:pt>
                  <c:pt idx="34">
                    <c:v>6.9999999999999999E-4</c:v>
                  </c:pt>
                  <c:pt idx="35">
                    <c:v>1.5E-3</c:v>
                  </c:pt>
                  <c:pt idx="36">
                    <c:v>4.0000000000000001E-3</c:v>
                  </c:pt>
                  <c:pt idx="37">
                    <c:v>5.9999999999999995E-4</c:v>
                  </c:pt>
                  <c:pt idx="38">
                    <c:v>2.0000000000000001E-4</c:v>
                  </c:pt>
                  <c:pt idx="39">
                    <c:v>2E-3</c:v>
                  </c:pt>
                  <c:pt idx="40">
                    <c:v>8.9999999999999998E-4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1.2999999999999999E-3</c:v>
                  </c:pt>
                  <c:pt idx="44">
                    <c:v>4.0000000000000002E-4</c:v>
                  </c:pt>
                  <c:pt idx="45">
                    <c:v>1.6999999999999999E-3</c:v>
                  </c:pt>
                  <c:pt idx="46">
                    <c:v>6.9999999999999999E-4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17-4DBC-B40D-B6F614D957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-1.5663936545879361E-3</c:v>
                </c:pt>
                <c:pt idx="1">
                  <c:v>-1.5664389724640963E-3</c:v>
                </c:pt>
                <c:pt idx="2">
                  <c:v>-1.5670734227303407E-3</c:v>
                </c:pt>
                <c:pt idx="3">
                  <c:v>-1.5692486807860357E-3</c:v>
                </c:pt>
                <c:pt idx="4">
                  <c:v>-1.571741163974853E-3</c:v>
                </c:pt>
                <c:pt idx="5">
                  <c:v>-1.5717864818510134E-3</c:v>
                </c:pt>
                <c:pt idx="6">
                  <c:v>-1.5723756142410974E-3</c:v>
                </c:pt>
                <c:pt idx="7">
                  <c:v>-1.5724209321172577E-3</c:v>
                </c:pt>
                <c:pt idx="8">
                  <c:v>-1.6420745077756593E-3</c:v>
                </c:pt>
                <c:pt idx="9">
                  <c:v>-1.6505489506176377E-3</c:v>
                </c:pt>
                <c:pt idx="10">
                  <c:v>-1.6571653605370435E-3</c:v>
                </c:pt>
                <c:pt idx="11">
                  <c:v>-1.6574825856701656E-3</c:v>
                </c:pt>
                <c:pt idx="12">
                  <c:v>-1.6581170359364101E-3</c:v>
                </c:pt>
                <c:pt idx="13">
                  <c:v>-1.6653225782458998E-3</c:v>
                </c:pt>
                <c:pt idx="14">
                  <c:v>-1.6691292798433662E-3</c:v>
                </c:pt>
                <c:pt idx="15">
                  <c:v>-1.6731625708216341E-3</c:v>
                </c:pt>
                <c:pt idx="16">
                  <c:v>-1.6776037226853449E-3</c:v>
                </c:pt>
                <c:pt idx="17">
                  <c:v>-1.6782381729515891E-3</c:v>
                </c:pt>
                <c:pt idx="18">
                  <c:v>-1.679507073484078E-3</c:v>
                </c:pt>
                <c:pt idx="19">
                  <c:v>-1.6867126157935678E-3</c:v>
                </c:pt>
                <c:pt idx="20">
                  <c:v>-1.6879815163260564E-3</c:v>
                </c:pt>
                <c:pt idx="21">
                  <c:v>-1.6936462508460957E-3</c:v>
                </c:pt>
                <c:pt idx="22">
                  <c:v>-1.6952323765117067E-3</c:v>
                </c:pt>
                <c:pt idx="23">
                  <c:v>-1.7061539846663421E-3</c:v>
                </c:pt>
                <c:pt idx="24">
                  <c:v>-1.7717742693464757E-3</c:v>
                </c:pt>
                <c:pt idx="25">
                  <c:v>-1.7834209635196763E-3</c:v>
                </c:pt>
                <c:pt idx="26">
                  <c:v>-1.7856415394515315E-3</c:v>
                </c:pt>
                <c:pt idx="27">
                  <c:v>-1.7859134467084934E-3</c:v>
                </c:pt>
                <c:pt idx="28">
                  <c:v>-1.7953848828259988E-3</c:v>
                </c:pt>
                <c:pt idx="29">
                  <c:v>-1.7979226838909764E-3</c:v>
                </c:pt>
                <c:pt idx="30">
                  <c:v>-1.8044937759342219E-3</c:v>
                </c:pt>
                <c:pt idx="31">
                  <c:v>-1.8164576952405447E-3</c:v>
                </c:pt>
                <c:pt idx="32">
                  <c:v>-1.8939512634746803E-3</c:v>
                </c:pt>
                <c:pt idx="33">
                  <c:v>-1.9223202539510363E-3</c:v>
                </c:pt>
                <c:pt idx="34">
                  <c:v>-2.0570502997756478E-3</c:v>
                </c:pt>
                <c:pt idx="35">
                  <c:v>-2.13549554340915E-3</c:v>
                </c:pt>
                <c:pt idx="36">
                  <c:v>-2.1761003604487904E-3</c:v>
                </c:pt>
                <c:pt idx="37">
                  <c:v>-2.242264459642848E-3</c:v>
                </c:pt>
                <c:pt idx="38">
                  <c:v>-2.3773570484767418E-3</c:v>
                </c:pt>
                <c:pt idx="39">
                  <c:v>-2.3981579536343257E-3</c:v>
                </c:pt>
                <c:pt idx="40">
                  <c:v>-2.5090054787224518E-3</c:v>
                </c:pt>
                <c:pt idx="41">
                  <c:v>-2.5919371920958252E-3</c:v>
                </c:pt>
                <c:pt idx="42">
                  <c:v>-2.5924356887335885E-3</c:v>
                </c:pt>
                <c:pt idx="43">
                  <c:v>-2.592481006609749E-3</c:v>
                </c:pt>
                <c:pt idx="44">
                  <c:v>-2.7210478212765575E-3</c:v>
                </c:pt>
                <c:pt idx="45">
                  <c:v>-3.0491039268010652E-3</c:v>
                </c:pt>
                <c:pt idx="46">
                  <c:v>-3.0491492446772257E-3</c:v>
                </c:pt>
                <c:pt idx="47">
                  <c:v>-3.164664511009864E-3</c:v>
                </c:pt>
                <c:pt idx="48">
                  <c:v>-3.1662959545516352E-3</c:v>
                </c:pt>
                <c:pt idx="49">
                  <c:v>-3.1731842717280028E-3</c:v>
                </c:pt>
                <c:pt idx="50">
                  <c:v>-3.1587278692328628E-3</c:v>
                </c:pt>
                <c:pt idx="51">
                  <c:v>-3.3917977063253543E-3</c:v>
                </c:pt>
                <c:pt idx="52">
                  <c:v>-3.3930666068578428E-3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17-4DBC-B40D-B6F614D957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-1542</c:v>
                </c:pt>
                <c:pt idx="1">
                  <c:v>-1541.5</c:v>
                </c:pt>
                <c:pt idx="2">
                  <c:v>-1534.5</c:v>
                </c:pt>
                <c:pt idx="3">
                  <c:v>-1510.5</c:v>
                </c:pt>
                <c:pt idx="4">
                  <c:v>-1483</c:v>
                </c:pt>
                <c:pt idx="5">
                  <c:v>-1482.5</c:v>
                </c:pt>
                <c:pt idx="6">
                  <c:v>-1476</c:v>
                </c:pt>
                <c:pt idx="7">
                  <c:v>-1475.5</c:v>
                </c:pt>
                <c:pt idx="8">
                  <c:v>-707</c:v>
                </c:pt>
                <c:pt idx="9">
                  <c:v>-613.5</c:v>
                </c:pt>
                <c:pt idx="10">
                  <c:v>-540.5</c:v>
                </c:pt>
                <c:pt idx="11">
                  <c:v>-537</c:v>
                </c:pt>
                <c:pt idx="12">
                  <c:v>-530</c:v>
                </c:pt>
                <c:pt idx="13">
                  <c:v>-450.5</c:v>
                </c:pt>
                <c:pt idx="14">
                  <c:v>-408.5</c:v>
                </c:pt>
                <c:pt idx="15">
                  <c:v>-364</c:v>
                </c:pt>
                <c:pt idx="16">
                  <c:v>-315</c:v>
                </c:pt>
                <c:pt idx="17">
                  <c:v>-308</c:v>
                </c:pt>
                <c:pt idx="18">
                  <c:v>-294</c:v>
                </c:pt>
                <c:pt idx="19">
                  <c:v>-214.5</c:v>
                </c:pt>
                <c:pt idx="20">
                  <c:v>-200.5</c:v>
                </c:pt>
                <c:pt idx="21">
                  <c:v>-138</c:v>
                </c:pt>
                <c:pt idx="22">
                  <c:v>-120.5</c:v>
                </c:pt>
                <c:pt idx="23">
                  <c:v>0</c:v>
                </c:pt>
                <c:pt idx="24">
                  <c:v>724</c:v>
                </c:pt>
                <c:pt idx="25">
                  <c:v>852.5</c:v>
                </c:pt>
                <c:pt idx="26">
                  <c:v>877</c:v>
                </c:pt>
                <c:pt idx="27">
                  <c:v>880</c:v>
                </c:pt>
                <c:pt idx="28">
                  <c:v>984.5</c:v>
                </c:pt>
                <c:pt idx="29">
                  <c:v>1012.5</c:v>
                </c:pt>
                <c:pt idx="30">
                  <c:v>1085</c:v>
                </c:pt>
                <c:pt idx="31">
                  <c:v>1217</c:v>
                </c:pt>
                <c:pt idx="32">
                  <c:v>2072</c:v>
                </c:pt>
                <c:pt idx="33">
                  <c:v>2385</c:v>
                </c:pt>
                <c:pt idx="34">
                  <c:v>3871.5</c:v>
                </c:pt>
                <c:pt idx="35">
                  <c:v>4737</c:v>
                </c:pt>
                <c:pt idx="36">
                  <c:v>5185</c:v>
                </c:pt>
                <c:pt idx="37">
                  <c:v>5915</c:v>
                </c:pt>
                <c:pt idx="38">
                  <c:v>7405.5</c:v>
                </c:pt>
                <c:pt idx="39">
                  <c:v>7635</c:v>
                </c:pt>
                <c:pt idx="40">
                  <c:v>8858</c:v>
                </c:pt>
                <c:pt idx="41">
                  <c:v>9773</c:v>
                </c:pt>
                <c:pt idx="42">
                  <c:v>9778.5</c:v>
                </c:pt>
                <c:pt idx="43">
                  <c:v>9779</c:v>
                </c:pt>
                <c:pt idx="44">
                  <c:v>11197.5</c:v>
                </c:pt>
                <c:pt idx="45">
                  <c:v>14817</c:v>
                </c:pt>
                <c:pt idx="46">
                  <c:v>14817.5</c:v>
                </c:pt>
                <c:pt idx="47">
                  <c:v>16092</c:v>
                </c:pt>
                <c:pt idx="48">
                  <c:v>16110</c:v>
                </c:pt>
                <c:pt idx="49">
                  <c:v>16186</c:v>
                </c:pt>
                <c:pt idx="50">
                  <c:v>16026.5</c:v>
                </c:pt>
                <c:pt idx="51">
                  <c:v>18598</c:v>
                </c:pt>
                <c:pt idx="52">
                  <c:v>18612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13">
                  <c:v>1.3143050004146062E-2</c:v>
                </c:pt>
                <c:pt idx="17">
                  <c:v>9.1988000058336183E-3</c:v>
                </c:pt>
                <c:pt idx="19">
                  <c:v>1.9263450005382765E-2</c:v>
                </c:pt>
                <c:pt idx="21">
                  <c:v>1.1861800005135592E-2</c:v>
                </c:pt>
                <c:pt idx="22">
                  <c:v>6.4300500016543083E-3</c:v>
                </c:pt>
                <c:pt idx="24">
                  <c:v>2.5623600005928893E-2</c:v>
                </c:pt>
                <c:pt idx="26">
                  <c:v>2.7820300005259924E-2</c:v>
                </c:pt>
                <c:pt idx="27">
                  <c:v>1.7432000007829629E-2</c:v>
                </c:pt>
                <c:pt idx="29">
                  <c:v>4.4487499981187284E-3</c:v>
                </c:pt>
                <c:pt idx="30">
                  <c:v>1.5231500001391396E-2</c:v>
                </c:pt>
                <c:pt idx="31">
                  <c:v>5.1463000054354779E-3</c:v>
                </c:pt>
                <c:pt idx="36">
                  <c:v>4.2215000066789798E-3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17-4DBC-B40D-B6F614D9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90392"/>
        <c:axId val="1"/>
      </c:scatterChart>
      <c:valAx>
        <c:axId val="55919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17370257161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19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11288906418002"/>
          <c:y val="0.92419947506561673"/>
          <c:w val="0.8497324149329277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</xdr:rowOff>
    </xdr:from>
    <xdr:to>
      <xdr:col>18</xdr:col>
      <xdr:colOff>295275</xdr:colOff>
      <xdr:row>18</xdr:row>
      <xdr:rowOff>133351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52CF68CB-1F94-B0BC-948D-31DDAADB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var.astro.cz/oejv/issues/oejv0003.pdf" TargetMode="External"/><Relationship Id="rId6" Type="http://schemas.openxmlformats.org/officeDocument/2006/relationships/hyperlink" Target="http://www.konkoly.hu/cgi-bin/IBVS?5920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871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37</v>
      </c>
      <c r="F1" s="3">
        <v>52500.178999999996</v>
      </c>
      <c r="G1" s="10">
        <v>0.2877961</v>
      </c>
      <c r="H1" s="3" t="s">
        <v>38</v>
      </c>
    </row>
    <row r="2" spans="1:8" x14ac:dyDescent="0.2">
      <c r="A2" t="s">
        <v>23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f>F1</f>
        <v>52500.178999999996</v>
      </c>
      <c r="D4" s="9">
        <f>G1</f>
        <v>0.2877961</v>
      </c>
    </row>
    <row r="5" spans="1:8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52500.178999999996</v>
      </c>
    </row>
    <row r="8" spans="1:8" x14ac:dyDescent="0.2">
      <c r="A8" t="s">
        <v>3</v>
      </c>
      <c r="C8">
        <f>D4</f>
        <v>0.2877961</v>
      </c>
      <c r="D8" s="29"/>
    </row>
    <row r="9" spans="1:8" x14ac:dyDescent="0.2">
      <c r="A9" s="26" t="s">
        <v>33</v>
      </c>
      <c r="B9" s="27">
        <v>45</v>
      </c>
      <c r="C9" s="24" t="str">
        <f>"F"&amp;B9</f>
        <v>F45</v>
      </c>
      <c r="D9" s="54" t="str">
        <f>"G"&amp;B9</f>
        <v>G45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3">
        <f ca="1">INTERCEPT(INDIRECT($D$9):G992,INDIRECT($C$9):F992)</f>
        <v>-1.7061539846663421E-3</v>
      </c>
      <c r="D11" s="3"/>
      <c r="E11" s="12"/>
    </row>
    <row r="12" spans="1:8" x14ac:dyDescent="0.2">
      <c r="A12" s="12" t="s">
        <v>16</v>
      </c>
      <c r="B12" s="12"/>
      <c r="C12" s="23">
        <f ca="1">SLOPE(INDIRECT($D$9):G992,INDIRECT($C$9):F992)</f>
        <v>-9.0635752320626513E-8</v>
      </c>
      <c r="D12" s="3"/>
      <c r="E12" s="12"/>
    </row>
    <row r="13" spans="1:8" x14ac:dyDescent="0.2">
      <c r="A13" s="12" t="s">
        <v>18</v>
      </c>
      <c r="B13" s="12"/>
      <c r="C13" s="3" t="s">
        <v>13</v>
      </c>
    </row>
    <row r="14" spans="1:8" x14ac:dyDescent="0.2">
      <c r="A14" s="12"/>
      <c r="B14" s="12"/>
      <c r="C14" s="12"/>
    </row>
    <row r="15" spans="1:8" x14ac:dyDescent="0.2">
      <c r="A15" s="14" t="s">
        <v>17</v>
      </c>
      <c r="B15" s="12"/>
      <c r="C15" s="15">
        <f ca="1">(C7+C11)+(C8+C12)*INT(MAX(F21:F3533))</f>
        <v>57856.636620133388</v>
      </c>
      <c r="E15" s="16" t="s">
        <v>50</v>
      </c>
      <c r="F15" s="13">
        <v>1</v>
      </c>
    </row>
    <row r="16" spans="1:8" x14ac:dyDescent="0.2">
      <c r="A16" s="18" t="s">
        <v>4</v>
      </c>
      <c r="B16" s="12"/>
      <c r="C16" s="19">
        <f ca="1">+C8+C12</f>
        <v>0.28779600936424765</v>
      </c>
      <c r="E16" s="16" t="s">
        <v>30</v>
      </c>
      <c r="F16" s="17">
        <f ca="1">NOW()+15018.5+$C$5/24</f>
        <v>60354.75841967592</v>
      </c>
    </row>
    <row r="17" spans="1:21" ht="13.5" thickBot="1" x14ac:dyDescent="0.25">
      <c r="A17" s="16" t="s">
        <v>27</v>
      </c>
      <c r="B17" s="12"/>
      <c r="C17" s="12">
        <f>COUNT(C21:C2191)</f>
        <v>53</v>
      </c>
      <c r="E17" s="16" t="s">
        <v>51</v>
      </c>
      <c r="F17" s="17">
        <f ca="1">ROUND(2*(F16-$C$7)/$C$8,0)/2+F15</f>
        <v>27293</v>
      </c>
    </row>
    <row r="18" spans="1:21" ht="14.25" thickTop="1" thickBot="1" x14ac:dyDescent="0.25">
      <c r="A18" s="18" t="s">
        <v>5</v>
      </c>
      <c r="B18" s="12"/>
      <c r="C18" s="21">
        <f ca="1">+C15</f>
        <v>57856.636620133388</v>
      </c>
      <c r="D18" s="22">
        <f ca="1">+C16</f>
        <v>0.28779600936424765</v>
      </c>
      <c r="E18" s="16" t="s">
        <v>31</v>
      </c>
      <c r="F18" s="25">
        <f ca="1">ROUND(2*(F16-$C$15)/$C$16,0)/2+F15</f>
        <v>8681</v>
      </c>
    </row>
    <row r="19" spans="1:21" ht="13.5" thickTop="1" x14ac:dyDescent="0.2">
      <c r="E19" s="16" t="s">
        <v>32</v>
      </c>
      <c r="F19" s="20">
        <f ca="1">+$C$15+$C$16*F18-15018.5-$C$5/24</f>
        <v>45336.88961075776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55" t="s">
        <v>11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8" t="s">
        <v>47</v>
      </c>
    </row>
    <row r="21" spans="1:21" x14ac:dyDescent="0.2">
      <c r="A21" s="51" t="s">
        <v>74</v>
      </c>
      <c r="B21" s="53" t="s">
        <v>34</v>
      </c>
      <c r="C21" s="52">
        <v>52056.394399999997</v>
      </c>
      <c r="D21" s="52" t="s">
        <v>66</v>
      </c>
      <c r="E21" s="36">
        <f t="shared" ref="E21:E52" si="0">+(C21-C$7)/C$8</f>
        <v>-1542.0104719973588</v>
      </c>
      <c r="F21">
        <f t="shared" ref="F21:F52" si="1">ROUND(2*E21,0)/2</f>
        <v>-1542</v>
      </c>
      <c r="G21" s="10">
        <f t="shared" ref="G21:G33" si="2">+C21-(C$7+F21*C$8)</f>
        <v>-3.0138000001898035E-3</v>
      </c>
      <c r="K21">
        <f t="shared" ref="K21:K28" si="3">+G21</f>
        <v>-3.0138000001898035E-3</v>
      </c>
      <c r="O21">
        <f t="shared" ref="O21:O52" ca="1" si="4">+C$11+C$12*$F21</f>
        <v>-1.5663936545879361E-3</v>
      </c>
      <c r="Q21" s="2">
        <f t="shared" ref="Q21:Q52" si="5">+C21-15018.5</f>
        <v>37037.894399999997</v>
      </c>
    </row>
    <row r="22" spans="1:21" x14ac:dyDescent="0.2">
      <c r="A22" s="51" t="s">
        <v>74</v>
      </c>
      <c r="B22" s="53" t="s">
        <v>40</v>
      </c>
      <c r="C22" s="52">
        <v>52056.539799999999</v>
      </c>
      <c r="D22" s="52" t="s">
        <v>66</v>
      </c>
      <c r="E22" s="36">
        <f t="shared" si="0"/>
        <v>-1541.5052531983506</v>
      </c>
      <c r="F22">
        <f t="shared" si="1"/>
        <v>-1541.5</v>
      </c>
      <c r="G22" s="10">
        <f t="shared" si="2"/>
        <v>-1.5118500014068559E-3</v>
      </c>
      <c r="K22">
        <f t="shared" si="3"/>
        <v>-1.5118500014068559E-3</v>
      </c>
      <c r="O22">
        <f t="shared" ca="1" si="4"/>
        <v>-1.5664389724640963E-3</v>
      </c>
      <c r="Q22" s="2">
        <f t="shared" si="5"/>
        <v>37038.039799999999</v>
      </c>
    </row>
    <row r="23" spans="1:21" x14ac:dyDescent="0.2">
      <c r="A23" s="51" t="s">
        <v>74</v>
      </c>
      <c r="B23" s="53" t="s">
        <v>40</v>
      </c>
      <c r="C23" s="52">
        <v>52058.554799999998</v>
      </c>
      <c r="D23" s="52" t="s">
        <v>66</v>
      </c>
      <c r="E23" s="36">
        <f t="shared" si="0"/>
        <v>-1534.5037684666274</v>
      </c>
      <c r="F23">
        <f t="shared" si="1"/>
        <v>-1534.5</v>
      </c>
      <c r="G23" s="10">
        <f t="shared" si="2"/>
        <v>-1.0845500000868924E-3</v>
      </c>
      <c r="K23">
        <f t="shared" si="3"/>
        <v>-1.0845500000868924E-3</v>
      </c>
      <c r="O23">
        <f t="shared" ca="1" si="4"/>
        <v>-1.5670734227303407E-3</v>
      </c>
      <c r="Q23" s="2">
        <f t="shared" si="5"/>
        <v>37040.054799999998</v>
      </c>
    </row>
    <row r="24" spans="1:21" x14ac:dyDescent="0.2">
      <c r="A24" s="51" t="s">
        <v>74</v>
      </c>
      <c r="B24" s="53" t="s">
        <v>40</v>
      </c>
      <c r="C24" s="52">
        <v>52065.462599999999</v>
      </c>
      <c r="D24" s="52" t="s">
        <v>66</v>
      </c>
      <c r="E24" s="36">
        <f t="shared" si="0"/>
        <v>-1510.5013584270166</v>
      </c>
      <c r="F24">
        <f t="shared" si="1"/>
        <v>-1510.5</v>
      </c>
      <c r="G24" s="10">
        <f t="shared" si="2"/>
        <v>-3.9095000101951882E-4</v>
      </c>
      <c r="K24">
        <f t="shared" si="3"/>
        <v>-3.9095000101951882E-4</v>
      </c>
      <c r="O24">
        <f t="shared" ca="1" si="4"/>
        <v>-1.5692486807860357E-3</v>
      </c>
      <c r="Q24" s="2">
        <f t="shared" si="5"/>
        <v>37046.962599999999</v>
      </c>
    </row>
    <row r="25" spans="1:21" x14ac:dyDescent="0.2">
      <c r="A25" s="51" t="s">
        <v>74</v>
      </c>
      <c r="B25" s="53" t="s">
        <v>34</v>
      </c>
      <c r="C25" s="52">
        <v>52073.376700000001</v>
      </c>
      <c r="D25" s="52" t="s">
        <v>66</v>
      </c>
      <c r="E25" s="36">
        <f t="shared" si="0"/>
        <v>-1483.0023756402388</v>
      </c>
      <c r="F25">
        <f t="shared" si="1"/>
        <v>-1483</v>
      </c>
      <c r="G25" s="10">
        <f t="shared" si="2"/>
        <v>-6.8369999644346535E-4</v>
      </c>
      <c r="K25">
        <f t="shared" si="3"/>
        <v>-6.8369999644346535E-4</v>
      </c>
      <c r="O25">
        <f t="shared" ca="1" si="4"/>
        <v>-1.571741163974853E-3</v>
      </c>
      <c r="Q25" s="2">
        <f t="shared" si="5"/>
        <v>37054.876700000001</v>
      </c>
    </row>
    <row r="26" spans="1:21" x14ac:dyDescent="0.2">
      <c r="A26" s="51" t="s">
        <v>74</v>
      </c>
      <c r="B26" s="53" t="s">
        <v>40</v>
      </c>
      <c r="C26" s="52">
        <v>52073.520100000002</v>
      </c>
      <c r="D26" s="52" t="s">
        <v>66</v>
      </c>
      <c r="E26" s="36">
        <f t="shared" si="0"/>
        <v>-1482.5041062057301</v>
      </c>
      <c r="F26">
        <f t="shared" si="1"/>
        <v>-1482.5</v>
      </c>
      <c r="G26" s="10">
        <f t="shared" si="2"/>
        <v>-1.1817499980679713E-3</v>
      </c>
      <c r="K26">
        <f t="shared" si="3"/>
        <v>-1.1817499980679713E-3</v>
      </c>
      <c r="O26">
        <f t="shared" ca="1" si="4"/>
        <v>-1.5717864818510134E-3</v>
      </c>
      <c r="Q26" s="2">
        <f t="shared" si="5"/>
        <v>37055.020100000002</v>
      </c>
    </row>
    <row r="27" spans="1:21" x14ac:dyDescent="0.2">
      <c r="A27" s="51" t="s">
        <v>74</v>
      </c>
      <c r="B27" s="53" t="s">
        <v>34</v>
      </c>
      <c r="C27" s="52">
        <v>52075.393600000003</v>
      </c>
      <c r="D27" s="52" t="s">
        <v>66</v>
      </c>
      <c r="E27" s="36">
        <f t="shared" si="0"/>
        <v>-1475.9942890122327</v>
      </c>
      <c r="F27">
        <f t="shared" si="1"/>
        <v>-1476</v>
      </c>
      <c r="G27" s="10">
        <f t="shared" si="2"/>
        <v>1.6436000078101642E-3</v>
      </c>
      <c r="K27">
        <f t="shared" si="3"/>
        <v>1.6436000078101642E-3</v>
      </c>
      <c r="O27">
        <f t="shared" ca="1" si="4"/>
        <v>-1.5723756142410974E-3</v>
      </c>
      <c r="Q27" s="2">
        <f t="shared" si="5"/>
        <v>37056.893600000003</v>
      </c>
    </row>
    <row r="28" spans="1:21" x14ac:dyDescent="0.2">
      <c r="A28" s="51" t="s">
        <v>74</v>
      </c>
      <c r="B28" s="53" t="s">
        <v>40</v>
      </c>
      <c r="C28" s="52">
        <v>52075.5357</v>
      </c>
      <c r="D28" s="52" t="s">
        <v>66</v>
      </c>
      <c r="E28" s="36">
        <f t="shared" si="0"/>
        <v>-1475.5005366646599</v>
      </c>
      <c r="F28">
        <f t="shared" si="1"/>
        <v>-1475.5</v>
      </c>
      <c r="G28" s="10">
        <f t="shared" si="2"/>
        <v>-1.5444999735336751E-4</v>
      </c>
      <c r="K28">
        <f t="shared" si="3"/>
        <v>-1.5444999735336751E-4</v>
      </c>
      <c r="O28">
        <f t="shared" ca="1" si="4"/>
        <v>-1.5724209321172577E-3</v>
      </c>
      <c r="Q28" s="2">
        <f t="shared" si="5"/>
        <v>37057.0357</v>
      </c>
      <c r="U28" s="56"/>
    </row>
    <row r="29" spans="1:21" x14ac:dyDescent="0.2">
      <c r="A29" s="51" t="s">
        <v>101</v>
      </c>
      <c r="B29" s="53" t="s">
        <v>34</v>
      </c>
      <c r="C29" s="52">
        <v>52296.697999999997</v>
      </c>
      <c r="D29" s="52" t="s">
        <v>66</v>
      </c>
      <c r="E29" s="36">
        <f t="shared" si="0"/>
        <v>-707.03181870775791</v>
      </c>
      <c r="F29">
        <f t="shared" si="1"/>
        <v>-707</v>
      </c>
      <c r="G29" s="10">
        <f t="shared" si="2"/>
        <v>-9.1573000026983209E-3</v>
      </c>
      <c r="I29">
        <f>+G29</f>
        <v>-9.1573000026983209E-3</v>
      </c>
      <c r="O29">
        <f t="shared" ca="1" si="4"/>
        <v>-1.6420745077756593E-3</v>
      </c>
      <c r="Q29" s="2">
        <f t="shared" si="5"/>
        <v>37278.197999999997</v>
      </c>
      <c r="U29" s="56"/>
    </row>
    <row r="30" spans="1:21" x14ac:dyDescent="0.2">
      <c r="A30" s="51" t="s">
        <v>101</v>
      </c>
      <c r="B30" s="53" t="s">
        <v>40</v>
      </c>
      <c r="C30" s="52">
        <v>52323.614000000001</v>
      </c>
      <c r="D30" s="52" t="s">
        <v>66</v>
      </c>
      <c r="E30" s="36">
        <f t="shared" si="0"/>
        <v>-613.50727129379118</v>
      </c>
      <c r="F30">
        <f t="shared" si="1"/>
        <v>-613.5</v>
      </c>
      <c r="G30" s="10">
        <f t="shared" si="2"/>
        <v>-2.0926499928464182E-3</v>
      </c>
      <c r="I30">
        <f>+G30</f>
        <v>-2.0926499928464182E-3</v>
      </c>
      <c r="O30">
        <f t="shared" ca="1" si="4"/>
        <v>-1.6505489506176377E-3</v>
      </c>
      <c r="Q30" s="2">
        <f t="shared" si="5"/>
        <v>37305.114000000001</v>
      </c>
      <c r="U30" s="56"/>
    </row>
    <row r="31" spans="1:21" x14ac:dyDescent="0.2">
      <c r="A31" s="51" t="s">
        <v>101</v>
      </c>
      <c r="B31" s="53" t="s">
        <v>40</v>
      </c>
      <c r="C31" s="52">
        <v>52344.624000000003</v>
      </c>
      <c r="D31" s="52" t="s">
        <v>66</v>
      </c>
      <c r="E31" s="36">
        <f t="shared" si="0"/>
        <v>-540.50419724239839</v>
      </c>
      <c r="F31">
        <f t="shared" si="1"/>
        <v>-540.5</v>
      </c>
      <c r="G31" s="10">
        <f t="shared" si="2"/>
        <v>-1.2079499938408844E-3</v>
      </c>
      <c r="I31">
        <f>+G31</f>
        <v>-1.2079499938408844E-3</v>
      </c>
      <c r="O31">
        <f t="shared" ca="1" si="4"/>
        <v>-1.6571653605370435E-3</v>
      </c>
      <c r="Q31" s="2">
        <f t="shared" si="5"/>
        <v>37326.124000000003</v>
      </c>
      <c r="U31" s="56"/>
    </row>
    <row r="32" spans="1:21" x14ac:dyDescent="0.2">
      <c r="A32" s="51" t="s">
        <v>101</v>
      </c>
      <c r="B32" s="53" t="s">
        <v>34</v>
      </c>
      <c r="C32" s="52">
        <v>52345.63</v>
      </c>
      <c r="D32" s="52" t="s">
        <v>66</v>
      </c>
      <c r="E32" s="36">
        <f t="shared" si="0"/>
        <v>-537.0086668999304</v>
      </c>
      <c r="F32">
        <f t="shared" si="1"/>
        <v>-537</v>
      </c>
      <c r="G32" s="10">
        <f t="shared" si="2"/>
        <v>-2.4943000025814399E-3</v>
      </c>
      <c r="I32">
        <f>+G32</f>
        <v>-2.4943000025814399E-3</v>
      </c>
      <c r="O32">
        <f t="shared" ca="1" si="4"/>
        <v>-1.6574825856701656E-3</v>
      </c>
      <c r="Q32" s="2">
        <f t="shared" si="5"/>
        <v>37327.129999999997</v>
      </c>
      <c r="U32" s="56"/>
    </row>
    <row r="33" spans="1:21" x14ac:dyDescent="0.2">
      <c r="A33" s="51" t="s">
        <v>101</v>
      </c>
      <c r="B33" s="53" t="s">
        <v>34</v>
      </c>
      <c r="C33" s="52">
        <v>52347.646999999997</v>
      </c>
      <c r="D33" s="52" t="s">
        <v>66</v>
      </c>
      <c r="E33" s="36">
        <f t="shared" si="0"/>
        <v>-530.00023280370806</v>
      </c>
      <c r="F33">
        <f t="shared" si="1"/>
        <v>-530</v>
      </c>
      <c r="G33" s="10">
        <f t="shared" si="2"/>
        <v>-6.7000000854022801E-5</v>
      </c>
      <c r="I33">
        <f>+G33</f>
        <v>-6.7000000854022801E-5</v>
      </c>
      <c r="O33">
        <f t="shared" ca="1" si="4"/>
        <v>-1.6581170359364101E-3</v>
      </c>
      <c r="Q33" s="2">
        <f t="shared" si="5"/>
        <v>37329.146999999997</v>
      </c>
      <c r="U33" s="56"/>
    </row>
    <row r="34" spans="1:21" x14ac:dyDescent="0.2">
      <c r="A34" s="51" t="s">
        <v>117</v>
      </c>
      <c r="B34" s="53" t="s">
        <v>40</v>
      </c>
      <c r="C34" s="52">
        <v>52370.54</v>
      </c>
      <c r="D34" s="52" t="s">
        <v>66</v>
      </c>
      <c r="E34" s="36">
        <f t="shared" si="0"/>
        <v>-450.45433207745197</v>
      </c>
      <c r="F34">
        <f t="shared" si="1"/>
        <v>-450.5</v>
      </c>
      <c r="O34">
        <f t="shared" ca="1" si="4"/>
        <v>-1.6653225782458998E-3</v>
      </c>
      <c r="Q34" s="2">
        <f t="shared" si="5"/>
        <v>37352.04</v>
      </c>
      <c r="U34" s="57">
        <f>+C34-(C$7+F34*C$8)</f>
        <v>1.3143050004146062E-2</v>
      </c>
    </row>
    <row r="35" spans="1:21" x14ac:dyDescent="0.2">
      <c r="A35" s="51" t="s">
        <v>117</v>
      </c>
      <c r="B35" s="53" t="s">
        <v>40</v>
      </c>
      <c r="C35" s="52">
        <v>52382.606</v>
      </c>
      <c r="D35" s="52" t="s">
        <v>66</v>
      </c>
      <c r="E35" s="36">
        <f t="shared" si="0"/>
        <v>-408.52881606108173</v>
      </c>
      <c r="F35">
        <f t="shared" si="1"/>
        <v>-408.5</v>
      </c>
      <c r="G35" s="10">
        <f>+C35-(C$7+F35*C$8)</f>
        <v>-8.2931500000995584E-3</v>
      </c>
      <c r="I35">
        <f>+G35</f>
        <v>-8.2931500000995584E-3</v>
      </c>
      <c r="O35">
        <f t="shared" ca="1" si="4"/>
        <v>-1.6691292798433662E-3</v>
      </c>
      <c r="Q35" s="2">
        <f t="shared" si="5"/>
        <v>37364.106</v>
      </c>
      <c r="U35" s="56"/>
    </row>
    <row r="36" spans="1:21" x14ac:dyDescent="0.2">
      <c r="A36" s="51" t="s">
        <v>117</v>
      </c>
      <c r="B36" s="53" t="s">
        <v>34</v>
      </c>
      <c r="C36" s="52">
        <v>52395.423000000003</v>
      </c>
      <c r="D36" s="52" t="s">
        <v>66</v>
      </c>
      <c r="E36" s="36">
        <f t="shared" si="0"/>
        <v>-363.99381367570288</v>
      </c>
      <c r="F36">
        <f t="shared" si="1"/>
        <v>-364</v>
      </c>
      <c r="G36" s="10">
        <f>+C36-(C$7+F36*C$8)</f>
        <v>1.7804000090109184E-3</v>
      </c>
      <c r="I36">
        <f>+G36</f>
        <v>1.7804000090109184E-3</v>
      </c>
      <c r="O36">
        <f t="shared" ca="1" si="4"/>
        <v>-1.6731625708216341E-3</v>
      </c>
      <c r="Q36" s="2">
        <f t="shared" si="5"/>
        <v>37376.923000000003</v>
      </c>
      <c r="U36" s="56"/>
    </row>
    <row r="37" spans="1:21" x14ac:dyDescent="0.2">
      <c r="A37" s="51" t="s">
        <v>117</v>
      </c>
      <c r="B37" s="53" t="s">
        <v>34</v>
      </c>
      <c r="C37" s="52">
        <v>52409.525999999998</v>
      </c>
      <c r="D37" s="52" t="s">
        <v>66</v>
      </c>
      <c r="E37" s="36">
        <f t="shared" si="0"/>
        <v>-314.99036991814143</v>
      </c>
      <c r="F37">
        <f t="shared" si="1"/>
        <v>-315</v>
      </c>
      <c r="G37" s="10">
        <f>+C37-(C$7+F37*C$8)</f>
        <v>2.771500003291294E-3</v>
      </c>
      <c r="I37">
        <f>+G37</f>
        <v>2.771500003291294E-3</v>
      </c>
      <c r="O37">
        <f t="shared" ca="1" si="4"/>
        <v>-1.6776037226853449E-3</v>
      </c>
      <c r="Q37" s="2">
        <f t="shared" si="5"/>
        <v>37391.025999999998</v>
      </c>
      <c r="U37" s="56"/>
    </row>
    <row r="38" spans="1:21" x14ac:dyDescent="0.2">
      <c r="A38" s="51" t="s">
        <v>117</v>
      </c>
      <c r="B38" s="53" t="s">
        <v>34</v>
      </c>
      <c r="C38" s="52">
        <v>52411.546999999999</v>
      </c>
      <c r="D38" s="52" t="s">
        <v>66</v>
      </c>
      <c r="E38" s="36">
        <f t="shared" si="0"/>
        <v>-307.96803709292027</v>
      </c>
      <c r="F38">
        <f t="shared" si="1"/>
        <v>-308</v>
      </c>
      <c r="O38">
        <f t="shared" ca="1" si="4"/>
        <v>-1.6782381729515891E-3</v>
      </c>
      <c r="Q38" s="2">
        <f t="shared" si="5"/>
        <v>37393.046999999999</v>
      </c>
      <c r="U38" s="57">
        <f>+C38-(C$7+F38*C$8)</f>
        <v>9.1988000058336183E-3</v>
      </c>
    </row>
    <row r="39" spans="1:21" x14ac:dyDescent="0.2">
      <c r="A39" s="51" t="s">
        <v>117</v>
      </c>
      <c r="B39" s="53" t="s">
        <v>34</v>
      </c>
      <c r="C39" s="52">
        <v>52415.561000000002</v>
      </c>
      <c r="D39" s="52" t="s">
        <v>66</v>
      </c>
      <c r="E39" s="36">
        <f t="shared" si="0"/>
        <v>-294.02066254544428</v>
      </c>
      <c r="F39">
        <f t="shared" si="1"/>
        <v>-294</v>
      </c>
      <c r="G39" s="10">
        <f>+C39-(C$7+F39*C$8)</f>
        <v>-5.9465999947860837E-3</v>
      </c>
      <c r="I39">
        <f>+G39</f>
        <v>-5.9465999947860837E-3</v>
      </c>
      <c r="O39">
        <f t="shared" ca="1" si="4"/>
        <v>-1.679507073484078E-3</v>
      </c>
      <c r="Q39" s="2">
        <f t="shared" si="5"/>
        <v>37397.061000000002</v>
      </c>
      <c r="U39" s="56"/>
    </row>
    <row r="40" spans="1:21" x14ac:dyDescent="0.2">
      <c r="A40" s="51" t="s">
        <v>117</v>
      </c>
      <c r="B40" s="53" t="s">
        <v>40</v>
      </c>
      <c r="C40" s="52">
        <v>52438.466</v>
      </c>
      <c r="D40" s="52" t="s">
        <v>66</v>
      </c>
      <c r="E40" s="36">
        <f t="shared" si="0"/>
        <v>-214.43306563221705</v>
      </c>
      <c r="F40">
        <f t="shared" si="1"/>
        <v>-214.5</v>
      </c>
      <c r="O40">
        <f t="shared" ca="1" si="4"/>
        <v>-1.6867126157935678E-3</v>
      </c>
      <c r="Q40" s="2">
        <f t="shared" si="5"/>
        <v>37419.966</v>
      </c>
      <c r="U40" s="57">
        <f>+C40-(C$7+F40*C$8)</f>
        <v>1.9263450005382765E-2</v>
      </c>
    </row>
    <row r="41" spans="1:21" x14ac:dyDescent="0.2">
      <c r="A41" s="51" t="s">
        <v>117</v>
      </c>
      <c r="B41" s="53" t="s">
        <v>40</v>
      </c>
      <c r="C41" s="52">
        <v>52442.474000000002</v>
      </c>
      <c r="D41" s="52" t="s">
        <v>66</v>
      </c>
      <c r="E41" s="36">
        <f t="shared" si="0"/>
        <v>-200.50653917823928</v>
      </c>
      <c r="F41">
        <f t="shared" si="1"/>
        <v>-200.5</v>
      </c>
      <c r="G41" s="10">
        <f>+C41-(C$7+F41*C$8)</f>
        <v>-1.8819499964592978E-3</v>
      </c>
      <c r="I41">
        <f>+G41</f>
        <v>-1.8819499964592978E-3</v>
      </c>
      <c r="O41">
        <f t="shared" ca="1" si="4"/>
        <v>-1.6879815163260564E-3</v>
      </c>
      <c r="Q41" s="2">
        <f t="shared" si="5"/>
        <v>37423.974000000002</v>
      </c>
      <c r="U41" s="56"/>
    </row>
    <row r="42" spans="1:21" x14ac:dyDescent="0.2">
      <c r="A42" s="51" t="s">
        <v>117</v>
      </c>
      <c r="B42" s="53" t="s">
        <v>34</v>
      </c>
      <c r="C42" s="52">
        <v>52460.474999999999</v>
      </c>
      <c r="D42" s="52" t="s">
        <v>66</v>
      </c>
      <c r="E42" s="36">
        <f t="shared" si="0"/>
        <v>-137.95878401409158</v>
      </c>
      <c r="F42">
        <f t="shared" si="1"/>
        <v>-138</v>
      </c>
      <c r="O42">
        <f t="shared" ca="1" si="4"/>
        <v>-1.6936462508460957E-3</v>
      </c>
      <c r="Q42" s="2">
        <f t="shared" si="5"/>
        <v>37441.974999999999</v>
      </c>
      <c r="U42" s="57">
        <f>+C42-(C$7+F42*C$8)</f>
        <v>1.1861800005135592E-2</v>
      </c>
    </row>
    <row r="43" spans="1:21" x14ac:dyDescent="0.2">
      <c r="A43" s="51" t="s">
        <v>117</v>
      </c>
      <c r="B43" s="53" t="s">
        <v>40</v>
      </c>
      <c r="C43" s="52">
        <v>52465.506000000001</v>
      </c>
      <c r="D43" s="52" t="s">
        <v>66</v>
      </c>
      <c r="E43" s="36">
        <f t="shared" si="0"/>
        <v>-120.47765761938827</v>
      </c>
      <c r="F43">
        <f t="shared" si="1"/>
        <v>-120.5</v>
      </c>
      <c r="O43">
        <f t="shared" ca="1" si="4"/>
        <v>-1.6952323765117067E-3</v>
      </c>
      <c r="Q43" s="2">
        <f t="shared" si="5"/>
        <v>37447.006000000001</v>
      </c>
      <c r="U43" s="57">
        <f>+C43-(C$7+F43*C$8)</f>
        <v>6.4300500016543083E-3</v>
      </c>
    </row>
    <row r="44" spans="1:21" x14ac:dyDescent="0.2">
      <c r="A44" s="31" t="s">
        <v>35</v>
      </c>
      <c r="B44" s="30" t="s">
        <v>34</v>
      </c>
      <c r="C44" s="31">
        <v>52500.178999999996</v>
      </c>
      <c r="D44" s="28"/>
      <c r="E44">
        <f t="shared" si="0"/>
        <v>0</v>
      </c>
      <c r="F44">
        <f t="shared" si="1"/>
        <v>0</v>
      </c>
      <c r="G44" s="10">
        <f>+C44-(C$7+F44*C$8)</f>
        <v>0</v>
      </c>
      <c r="H44">
        <f>+G44</f>
        <v>0</v>
      </c>
      <c r="O44">
        <f t="shared" ca="1" si="4"/>
        <v>-1.7061539846663421E-3</v>
      </c>
      <c r="Q44" s="2">
        <f t="shared" si="5"/>
        <v>37481.678999999996</v>
      </c>
      <c r="U44" s="56"/>
    </row>
    <row r="45" spans="1:21" x14ac:dyDescent="0.2">
      <c r="A45" s="31" t="s">
        <v>39</v>
      </c>
      <c r="B45" s="30" t="s">
        <v>34</v>
      </c>
      <c r="C45" s="31">
        <v>52708.569000000003</v>
      </c>
      <c r="D45" s="31">
        <v>5.0000000000000001E-3</v>
      </c>
      <c r="E45">
        <f t="shared" si="0"/>
        <v>724.08903386809857</v>
      </c>
      <c r="F45">
        <f t="shared" si="1"/>
        <v>724</v>
      </c>
      <c r="O45">
        <f t="shared" ca="1" si="4"/>
        <v>-1.7717742693464757E-3</v>
      </c>
      <c r="Q45" s="2">
        <f t="shared" si="5"/>
        <v>37690.069000000003</v>
      </c>
      <c r="U45" s="56">
        <v>2.5623600005928893E-2</v>
      </c>
    </row>
    <row r="46" spans="1:21" x14ac:dyDescent="0.2">
      <c r="A46" s="31" t="s">
        <v>39</v>
      </c>
      <c r="B46" s="30" t="s">
        <v>40</v>
      </c>
      <c r="C46" s="31">
        <v>52745.523699999998</v>
      </c>
      <c r="D46" s="31">
        <v>1.8E-3</v>
      </c>
      <c r="E46">
        <f t="shared" si="0"/>
        <v>852.4948739750173</v>
      </c>
      <c r="F46">
        <f t="shared" si="1"/>
        <v>852.5</v>
      </c>
      <c r="G46" s="10">
        <f>+C46-(C$7+F46*C$8)</f>
        <v>-1.4752499992027879E-3</v>
      </c>
      <c r="K46">
        <f>+G46</f>
        <v>-1.4752499992027879E-3</v>
      </c>
      <c r="O46">
        <f t="shared" ca="1" si="4"/>
        <v>-1.7834209635196763E-3</v>
      </c>
      <c r="Q46" s="2">
        <f t="shared" si="5"/>
        <v>37727.023699999998</v>
      </c>
      <c r="U46" s="56"/>
    </row>
    <row r="47" spans="1:21" x14ac:dyDescent="0.2">
      <c r="A47" s="31" t="s">
        <v>39</v>
      </c>
      <c r="B47" s="30" t="s">
        <v>34</v>
      </c>
      <c r="C47" s="31">
        <v>52752.603999999999</v>
      </c>
      <c r="D47" s="31">
        <v>4.0000000000000001E-3</v>
      </c>
      <c r="E47">
        <f t="shared" si="0"/>
        <v>877.09666670258184</v>
      </c>
      <c r="F47">
        <f t="shared" si="1"/>
        <v>877</v>
      </c>
      <c r="O47">
        <f t="shared" ca="1" si="4"/>
        <v>-1.7856415394515315E-3</v>
      </c>
      <c r="Q47" s="2">
        <f t="shared" si="5"/>
        <v>37734.103999999999</v>
      </c>
      <c r="U47" s="56">
        <v>2.7820300005259924E-2</v>
      </c>
    </row>
    <row r="48" spans="1:21" x14ac:dyDescent="0.2">
      <c r="A48" s="31" t="s">
        <v>39</v>
      </c>
      <c r="B48" s="30" t="s">
        <v>34</v>
      </c>
      <c r="C48" s="31">
        <v>52753.457000000002</v>
      </c>
      <c r="D48" s="31">
        <v>5.0000000000000001E-3</v>
      </c>
      <c r="E48">
        <f t="shared" si="0"/>
        <v>880.06057066098435</v>
      </c>
      <c r="F48">
        <f t="shared" si="1"/>
        <v>880</v>
      </c>
      <c r="O48">
        <f t="shared" ca="1" si="4"/>
        <v>-1.7859134467084934E-3</v>
      </c>
      <c r="Q48" s="2">
        <f t="shared" si="5"/>
        <v>37734.957000000002</v>
      </c>
      <c r="U48" s="56">
        <v>1.7432000007829629E-2</v>
      </c>
    </row>
    <row r="49" spans="1:21" x14ac:dyDescent="0.2">
      <c r="A49" s="31" t="s">
        <v>39</v>
      </c>
      <c r="B49" s="30" t="s">
        <v>40</v>
      </c>
      <c r="C49" s="31">
        <v>52783.514000000003</v>
      </c>
      <c r="D49" s="31">
        <v>6.0000000000000001E-3</v>
      </c>
      <c r="E49">
        <f t="shared" si="0"/>
        <v>984.49909501903051</v>
      </c>
      <c r="F49">
        <f t="shared" si="1"/>
        <v>984.5</v>
      </c>
      <c r="G49" s="10">
        <f>+C49-(C$7+F49*C$8)</f>
        <v>-2.6044999685836956E-4</v>
      </c>
      <c r="I49">
        <f>G49</f>
        <v>-2.6044999685836956E-4</v>
      </c>
      <c r="O49">
        <f t="shared" ca="1" si="4"/>
        <v>-1.7953848828259988E-3</v>
      </c>
      <c r="Q49" s="2">
        <f t="shared" si="5"/>
        <v>37765.014000000003</v>
      </c>
      <c r="U49" s="56"/>
    </row>
    <row r="50" spans="1:21" x14ac:dyDescent="0.2">
      <c r="A50" s="31" t="s">
        <v>39</v>
      </c>
      <c r="B50" s="30" t="s">
        <v>40</v>
      </c>
      <c r="C50" s="31">
        <v>52791.576999999997</v>
      </c>
      <c r="D50" s="31">
        <v>8.0000000000000002E-3</v>
      </c>
      <c r="E50" s="36">
        <f t="shared" si="0"/>
        <v>1012.5154579926589</v>
      </c>
      <c r="F50">
        <f t="shared" si="1"/>
        <v>1012.5</v>
      </c>
      <c r="O50">
        <f t="shared" ca="1" si="4"/>
        <v>-1.7979226838909764E-3</v>
      </c>
      <c r="Q50" s="2">
        <f t="shared" si="5"/>
        <v>37773.076999999997</v>
      </c>
      <c r="U50" s="56">
        <v>4.4487499981187284E-3</v>
      </c>
    </row>
    <row r="51" spans="1:21" x14ac:dyDescent="0.2">
      <c r="A51" s="31" t="s">
        <v>39</v>
      </c>
      <c r="B51" s="30" t="s">
        <v>34</v>
      </c>
      <c r="C51" s="31">
        <v>52812.453000000001</v>
      </c>
      <c r="D51" s="31">
        <v>6.0000000000000001E-3</v>
      </c>
      <c r="E51" s="36">
        <f t="shared" si="0"/>
        <v>1085.0529246226927</v>
      </c>
      <c r="F51">
        <f t="shared" si="1"/>
        <v>1085</v>
      </c>
      <c r="O51">
        <f t="shared" ca="1" si="4"/>
        <v>-1.8044937759342219E-3</v>
      </c>
      <c r="Q51" s="2">
        <f t="shared" si="5"/>
        <v>37793.953000000001</v>
      </c>
      <c r="U51" s="56">
        <v>1.5231500001391396E-2</v>
      </c>
    </row>
    <row r="52" spans="1:21" x14ac:dyDescent="0.2">
      <c r="A52" s="34" t="s">
        <v>41</v>
      </c>
      <c r="B52" s="32" t="s">
        <v>34</v>
      </c>
      <c r="C52" s="34">
        <v>52850.432000000001</v>
      </c>
      <c r="D52" s="35">
        <v>3.0000000000000001E-3</v>
      </c>
      <c r="E52" s="36">
        <f t="shared" si="0"/>
        <v>1217.0178817572728</v>
      </c>
      <c r="F52">
        <f t="shared" si="1"/>
        <v>1217</v>
      </c>
      <c r="G52" s="54"/>
      <c r="O52">
        <f t="shared" ca="1" si="4"/>
        <v>-1.8164576952405447E-3</v>
      </c>
      <c r="Q52" s="2">
        <f t="shared" si="5"/>
        <v>37831.932000000001</v>
      </c>
      <c r="U52" s="56">
        <v>5.1463000054354779E-3</v>
      </c>
    </row>
    <row r="53" spans="1:21" x14ac:dyDescent="0.2">
      <c r="A53" s="34" t="s">
        <v>41</v>
      </c>
      <c r="B53" s="32" t="s">
        <v>34</v>
      </c>
      <c r="C53" s="34">
        <v>53096.489200000004</v>
      </c>
      <c r="D53" s="35">
        <v>1.9E-3</v>
      </c>
      <c r="E53" s="36">
        <f t="shared" ref="E53:E70" si="6">+(C53-C$7)/C$8</f>
        <v>2071.988466834704</v>
      </c>
      <c r="F53">
        <f t="shared" ref="F53:F73" si="7">ROUND(2*E53,0)/2</f>
        <v>2072</v>
      </c>
      <c r="G53" s="10">
        <f>+C53-(C$7+F53*C$8)</f>
        <v>-3.3191999900736846E-3</v>
      </c>
      <c r="K53">
        <f>+G53</f>
        <v>-3.3191999900736846E-3</v>
      </c>
      <c r="O53">
        <f t="shared" ref="O53:O70" ca="1" si="8">+C$11+C$12*$F53</f>
        <v>-1.8939512634746803E-3</v>
      </c>
      <c r="Q53" s="2">
        <f t="shared" ref="Q53:Q70" si="9">+C53-15018.5</f>
        <v>38077.989200000004</v>
      </c>
    </row>
    <row r="54" spans="1:21" x14ac:dyDescent="0.2">
      <c r="A54" s="34" t="s">
        <v>54</v>
      </c>
      <c r="B54" s="32" t="s">
        <v>34</v>
      </c>
      <c r="C54" s="34">
        <v>53186.567000000003</v>
      </c>
      <c r="D54" s="34">
        <v>3.0000000000000001E-3</v>
      </c>
      <c r="E54" s="36">
        <f t="shared" si="6"/>
        <v>2384.980199523226</v>
      </c>
      <c r="F54">
        <f t="shared" si="7"/>
        <v>2385</v>
      </c>
      <c r="G54" s="10">
        <f>+C54-(C$7+F54*C$8)</f>
        <v>-5.6984999901033007E-3</v>
      </c>
      <c r="K54">
        <f>+G54</f>
        <v>-5.6984999901033007E-3</v>
      </c>
      <c r="O54">
        <f t="shared" ca="1" si="8"/>
        <v>-1.9223202539510363E-3</v>
      </c>
      <c r="Q54" s="2">
        <f t="shared" si="9"/>
        <v>38168.067000000003</v>
      </c>
    </row>
    <row r="55" spans="1:21" x14ac:dyDescent="0.2">
      <c r="A55" s="31" t="s">
        <v>42</v>
      </c>
      <c r="B55" s="30" t="s">
        <v>40</v>
      </c>
      <c r="C55" s="31">
        <v>53614.380899999996</v>
      </c>
      <c r="D55" s="31">
        <v>6.9999999999999999E-4</v>
      </c>
      <c r="E55" s="36">
        <f t="shared" si="6"/>
        <v>3871.4975637265411</v>
      </c>
      <c r="F55">
        <f t="shared" si="7"/>
        <v>3871.5</v>
      </c>
      <c r="G55" s="10">
        <f>+C55-(C$7+F55*C$8)</f>
        <v>-7.011499983491376E-4</v>
      </c>
      <c r="J55">
        <f>+G55</f>
        <v>-7.011499983491376E-4</v>
      </c>
      <c r="O55">
        <f t="shared" ca="1" si="8"/>
        <v>-2.0570502997756478E-3</v>
      </c>
      <c r="Q55" s="2">
        <f t="shared" si="9"/>
        <v>38595.880899999996</v>
      </c>
    </row>
    <row r="56" spans="1:21" x14ac:dyDescent="0.2">
      <c r="A56" s="31" t="s">
        <v>43</v>
      </c>
      <c r="B56" s="33"/>
      <c r="C56" s="31">
        <v>53863.468500000003</v>
      </c>
      <c r="D56" s="31">
        <v>1.5E-3</v>
      </c>
      <c r="E56" s="36">
        <f t="shared" si="6"/>
        <v>4736.9978258913388</v>
      </c>
      <c r="F56">
        <f t="shared" si="7"/>
        <v>4737</v>
      </c>
      <c r="G56" s="10">
        <f>+C56-(C$7+F56*C$8)</f>
        <v>-6.2569999136030674E-4</v>
      </c>
      <c r="J56">
        <f>+G56</f>
        <v>-6.2569999136030674E-4</v>
      </c>
      <c r="O56">
        <f t="shared" ca="1" si="8"/>
        <v>-2.13549554340915E-3</v>
      </c>
      <c r="Q56" s="2">
        <f t="shared" si="9"/>
        <v>38844.968500000003</v>
      </c>
    </row>
    <row r="57" spans="1:21" x14ac:dyDescent="0.2">
      <c r="A57" s="34" t="s">
        <v>44</v>
      </c>
      <c r="B57" s="30" t="s">
        <v>34</v>
      </c>
      <c r="C57" s="31">
        <v>53992.406000000003</v>
      </c>
      <c r="D57" s="31">
        <v>4.0000000000000001E-3</v>
      </c>
      <c r="E57" s="36">
        <f t="shared" si="6"/>
        <v>5185.0146683711355</v>
      </c>
      <c r="F57">
        <f t="shared" si="7"/>
        <v>5185</v>
      </c>
      <c r="O57">
        <f t="shared" ca="1" si="8"/>
        <v>-2.1761003604487904E-3</v>
      </c>
      <c r="Q57" s="2">
        <f t="shared" si="9"/>
        <v>38973.906000000003</v>
      </c>
      <c r="U57" s="56">
        <v>4.2215000066789798E-3</v>
      </c>
    </row>
    <row r="58" spans="1:21" x14ac:dyDescent="0.2">
      <c r="A58" s="34" t="s">
        <v>44</v>
      </c>
      <c r="B58" s="30" t="s">
        <v>34</v>
      </c>
      <c r="C58" s="31">
        <v>54202.4899</v>
      </c>
      <c r="D58" s="31">
        <v>5.9999999999999995E-4</v>
      </c>
      <c r="E58" s="36">
        <f t="shared" si="6"/>
        <v>5914.989466500776</v>
      </c>
      <c r="F58">
        <f t="shared" si="7"/>
        <v>5915</v>
      </c>
      <c r="G58" s="10">
        <f t="shared" ref="G58:G70" si="10">+C58-(C$7+F58*C$8)</f>
        <v>-3.0314999967231415E-3</v>
      </c>
      <c r="J58">
        <f>+G58</f>
        <v>-3.0314999967231415E-3</v>
      </c>
      <c r="O58">
        <f t="shared" ca="1" si="8"/>
        <v>-2.242264459642848E-3</v>
      </c>
      <c r="Q58" s="2">
        <f t="shared" si="9"/>
        <v>39183.9899</v>
      </c>
    </row>
    <row r="59" spans="1:21" x14ac:dyDescent="0.2">
      <c r="A59" s="31" t="s">
        <v>46</v>
      </c>
      <c r="B59" s="30" t="s">
        <v>34</v>
      </c>
      <c r="C59" s="31">
        <v>54631.451399999998</v>
      </c>
      <c r="D59" s="31">
        <v>2.0000000000000001E-4</v>
      </c>
      <c r="E59" s="36">
        <f t="shared" si="6"/>
        <v>7405.4943760530514</v>
      </c>
      <c r="F59">
        <f t="shared" si="7"/>
        <v>7405.5</v>
      </c>
      <c r="G59" s="10">
        <f t="shared" si="10"/>
        <v>-1.6185499989660457E-3</v>
      </c>
      <c r="K59">
        <f>+G59</f>
        <v>-1.6185499989660457E-3</v>
      </c>
      <c r="O59">
        <f t="shared" ca="1" si="8"/>
        <v>-2.3773570484767418E-3</v>
      </c>
      <c r="Q59" s="2">
        <f t="shared" si="9"/>
        <v>39612.951399999998</v>
      </c>
    </row>
    <row r="60" spans="1:21" x14ac:dyDescent="0.2">
      <c r="A60" s="31" t="s">
        <v>45</v>
      </c>
      <c r="B60" s="30" t="s">
        <v>34</v>
      </c>
      <c r="C60" s="31">
        <v>54697.500999999997</v>
      </c>
      <c r="D60" s="31">
        <v>2E-3</v>
      </c>
      <c r="E60" s="36">
        <f t="shared" si="6"/>
        <v>7634.9957487262691</v>
      </c>
      <c r="F60">
        <f t="shared" si="7"/>
        <v>7635</v>
      </c>
      <c r="G60" s="10">
        <f t="shared" si="10"/>
        <v>-1.2235000031068921E-3</v>
      </c>
      <c r="K60">
        <f>+G60</f>
        <v>-1.2235000031068921E-3</v>
      </c>
      <c r="O60">
        <f t="shared" ca="1" si="8"/>
        <v>-2.3981579536343257E-3</v>
      </c>
      <c r="Q60" s="2">
        <f t="shared" si="9"/>
        <v>39679.000999999997</v>
      </c>
    </row>
    <row r="61" spans="1:21" x14ac:dyDescent="0.2">
      <c r="A61" s="34" t="s">
        <v>48</v>
      </c>
      <c r="B61" s="32" t="s">
        <v>34</v>
      </c>
      <c r="C61" s="34">
        <v>55049.472699999998</v>
      </c>
      <c r="D61" s="34">
        <v>8.9999999999999998E-4</v>
      </c>
      <c r="E61" s="36">
        <f t="shared" si="6"/>
        <v>8857.9855668648815</v>
      </c>
      <c r="F61">
        <f t="shared" si="7"/>
        <v>8858</v>
      </c>
      <c r="G61" s="10">
        <f t="shared" si="10"/>
        <v>-4.1538000004948117E-3</v>
      </c>
      <c r="K61">
        <f>+G61</f>
        <v>-4.1538000004948117E-3</v>
      </c>
      <c r="O61">
        <f t="shared" ca="1" si="8"/>
        <v>-2.5090054787224518E-3</v>
      </c>
      <c r="Q61" s="2">
        <f t="shared" si="9"/>
        <v>40030.972699999998</v>
      </c>
    </row>
    <row r="62" spans="1:21" x14ac:dyDescent="0.2">
      <c r="A62" s="34" t="s">
        <v>49</v>
      </c>
      <c r="B62" s="32" t="s">
        <v>34</v>
      </c>
      <c r="C62" s="34">
        <v>55312.808299999997</v>
      </c>
      <c r="D62" s="34">
        <v>1E-4</v>
      </c>
      <c r="E62" s="36">
        <f t="shared" si="6"/>
        <v>9772.9931017133331</v>
      </c>
      <c r="F62">
        <f t="shared" si="7"/>
        <v>9773</v>
      </c>
      <c r="G62" s="10">
        <f t="shared" si="10"/>
        <v>-1.9852999976137653E-3</v>
      </c>
      <c r="K62">
        <f>+G62</f>
        <v>-1.9852999976137653E-3</v>
      </c>
      <c r="O62">
        <f t="shared" ca="1" si="8"/>
        <v>-2.5919371920958252E-3</v>
      </c>
      <c r="Q62" s="2">
        <f t="shared" si="9"/>
        <v>40294.308299999997</v>
      </c>
    </row>
    <row r="63" spans="1:21" x14ac:dyDescent="0.2">
      <c r="A63" s="34" t="s">
        <v>52</v>
      </c>
      <c r="B63" s="32" t="s">
        <v>34</v>
      </c>
      <c r="C63" s="34">
        <v>55314.390399999997</v>
      </c>
      <c r="D63" s="35">
        <v>4.0000000000000002E-4</v>
      </c>
      <c r="E63" s="36">
        <f t="shared" si="6"/>
        <v>9778.4903964994664</v>
      </c>
      <c r="F63">
        <f t="shared" si="7"/>
        <v>9778.5</v>
      </c>
      <c r="G63" s="10">
        <f t="shared" si="10"/>
        <v>-2.7638500032480806E-3</v>
      </c>
      <c r="J63">
        <f>+G63</f>
        <v>-2.7638500032480806E-3</v>
      </c>
      <c r="O63">
        <f t="shared" ca="1" si="8"/>
        <v>-2.5924356887335885E-3</v>
      </c>
      <c r="Q63" s="2">
        <f t="shared" si="9"/>
        <v>40295.890399999997</v>
      </c>
    </row>
    <row r="64" spans="1:21" x14ac:dyDescent="0.2">
      <c r="A64" s="34" t="s">
        <v>52</v>
      </c>
      <c r="B64" s="32" t="s">
        <v>34</v>
      </c>
      <c r="C64" s="34">
        <v>55314.535100000001</v>
      </c>
      <c r="D64" s="35">
        <v>1.2999999999999999E-3</v>
      </c>
      <c r="E64" s="36">
        <f t="shared" si="6"/>
        <v>9778.9931830209116</v>
      </c>
      <c r="F64">
        <f t="shared" si="7"/>
        <v>9779</v>
      </c>
      <c r="G64" s="10">
        <f t="shared" si="10"/>
        <v>-1.9618999940576032E-3</v>
      </c>
      <c r="J64">
        <f>+G64</f>
        <v>-1.9618999940576032E-3</v>
      </c>
      <c r="O64">
        <f t="shared" ca="1" si="8"/>
        <v>-2.592481006609749E-3</v>
      </c>
      <c r="Q64" s="2">
        <f t="shared" si="9"/>
        <v>40296.035100000001</v>
      </c>
    </row>
    <row r="65" spans="1:17" x14ac:dyDescent="0.2">
      <c r="A65" s="34" t="s">
        <v>53</v>
      </c>
      <c r="B65" s="32" t="s">
        <v>40</v>
      </c>
      <c r="C65" s="34">
        <v>55722.774599999997</v>
      </c>
      <c r="D65" s="34">
        <v>4.0000000000000002E-4</v>
      </c>
      <c r="E65" s="36">
        <f t="shared" si="6"/>
        <v>11197.495727009506</v>
      </c>
      <c r="F65">
        <f t="shared" si="7"/>
        <v>11197.5</v>
      </c>
      <c r="G65" s="10">
        <f t="shared" si="10"/>
        <v>-1.2297499997657724E-3</v>
      </c>
      <c r="K65">
        <f>+G65</f>
        <v>-1.2297499997657724E-3</v>
      </c>
      <c r="O65">
        <f t="shared" ca="1" si="8"/>
        <v>-2.7210478212765575E-3</v>
      </c>
      <c r="Q65" s="2">
        <f t="shared" si="9"/>
        <v>40704.274599999997</v>
      </c>
    </row>
    <row r="66" spans="1:17" x14ac:dyDescent="0.2">
      <c r="A66" s="50" t="s">
        <v>55</v>
      </c>
      <c r="B66" s="33" t="s">
        <v>34</v>
      </c>
      <c r="C66" s="50">
        <v>56764.450799999999</v>
      </c>
      <c r="D66" s="50">
        <v>1.6999999999999999E-3</v>
      </c>
      <c r="E66" s="36">
        <f t="shared" si="6"/>
        <v>14816.989528350114</v>
      </c>
      <c r="F66">
        <f t="shared" si="7"/>
        <v>14817</v>
      </c>
      <c r="G66" s="10">
        <f t="shared" si="10"/>
        <v>-3.0136999994283542E-3</v>
      </c>
      <c r="J66">
        <f>+G66</f>
        <v>-3.0136999994283542E-3</v>
      </c>
      <c r="O66">
        <f t="shared" ca="1" si="8"/>
        <v>-3.0491039268010652E-3</v>
      </c>
      <c r="Q66" s="2">
        <f t="shared" si="9"/>
        <v>41745.950799999999</v>
      </c>
    </row>
    <row r="67" spans="1:17" x14ac:dyDescent="0.2">
      <c r="A67" s="50" t="s">
        <v>55</v>
      </c>
      <c r="B67" s="33" t="s">
        <v>34</v>
      </c>
      <c r="C67" s="50">
        <v>56764.595200000003</v>
      </c>
      <c r="D67" s="50">
        <v>6.9999999999999999E-4</v>
      </c>
      <c r="E67" s="36">
        <f t="shared" si="6"/>
        <v>14817.491272466885</v>
      </c>
      <c r="F67">
        <f t="shared" si="7"/>
        <v>14817.5</v>
      </c>
      <c r="G67" s="10">
        <f t="shared" si="10"/>
        <v>-2.5117499899351969E-3</v>
      </c>
      <c r="J67">
        <f>+G67</f>
        <v>-2.5117499899351969E-3</v>
      </c>
      <c r="O67">
        <f t="shared" ca="1" si="8"/>
        <v>-3.0491492446772257E-3</v>
      </c>
      <c r="Q67" s="2">
        <f t="shared" si="9"/>
        <v>41746.095200000003</v>
      </c>
    </row>
    <row r="68" spans="1:17" x14ac:dyDescent="0.2">
      <c r="A68" s="31" t="s">
        <v>67</v>
      </c>
      <c r="B68" s="30"/>
      <c r="C68" s="31">
        <v>57131.390099999997</v>
      </c>
      <c r="D68" s="31">
        <v>1E-4</v>
      </c>
      <c r="E68" s="36">
        <f t="shared" si="6"/>
        <v>16091.987000518771</v>
      </c>
      <c r="F68">
        <f t="shared" si="7"/>
        <v>16092</v>
      </c>
      <c r="G68" s="10">
        <f t="shared" si="10"/>
        <v>-3.7412000019685365E-3</v>
      </c>
      <c r="J68">
        <f>+G68</f>
        <v>-3.7412000019685365E-3</v>
      </c>
      <c r="O68">
        <f t="shared" ca="1" si="8"/>
        <v>-3.164664511009864E-3</v>
      </c>
      <c r="Q68" s="2">
        <f t="shared" si="9"/>
        <v>42112.890099999997</v>
      </c>
    </row>
    <row r="69" spans="1:17" x14ac:dyDescent="0.2">
      <c r="A69" s="31" t="s">
        <v>67</v>
      </c>
      <c r="B69" s="30"/>
      <c r="C69" s="31">
        <v>57136.570099999997</v>
      </c>
      <c r="D69" s="31">
        <v>6.9999999999999999E-4</v>
      </c>
      <c r="E69" s="36">
        <f t="shared" si="6"/>
        <v>16109.985854568567</v>
      </c>
      <c r="F69">
        <f t="shared" si="7"/>
        <v>16110</v>
      </c>
      <c r="G69" s="10">
        <f t="shared" si="10"/>
        <v>-4.0710000030230731E-3</v>
      </c>
      <c r="J69">
        <f>+G69</f>
        <v>-4.0710000030230731E-3</v>
      </c>
      <c r="O69">
        <f t="shared" ca="1" si="8"/>
        <v>-3.1662959545516352E-3</v>
      </c>
      <c r="Q69" s="2">
        <f t="shared" si="9"/>
        <v>42118.070099999997</v>
      </c>
    </row>
    <row r="70" spans="1:17" x14ac:dyDescent="0.2">
      <c r="A70" s="31" t="s">
        <v>67</v>
      </c>
      <c r="B70" s="30"/>
      <c r="C70" s="31">
        <v>57158.442799999997</v>
      </c>
      <c r="D70" s="31">
        <v>1E-4</v>
      </c>
      <c r="E70" s="36">
        <f t="shared" si="6"/>
        <v>16185.986536996161</v>
      </c>
      <c r="F70">
        <f t="shared" si="7"/>
        <v>16186</v>
      </c>
      <c r="G70" s="10">
        <f t="shared" si="10"/>
        <v>-3.8745999991078861E-3</v>
      </c>
      <c r="J70">
        <f>+G70</f>
        <v>-3.8745999991078861E-3</v>
      </c>
      <c r="O70">
        <f t="shared" ca="1" si="8"/>
        <v>-3.1731842717280028E-3</v>
      </c>
      <c r="Q70" s="2">
        <f t="shared" si="9"/>
        <v>42139.942799999997</v>
      </c>
    </row>
    <row r="71" spans="1:17" x14ac:dyDescent="0.2">
      <c r="A71" s="60" t="s">
        <v>252</v>
      </c>
      <c r="B71" s="61" t="s">
        <v>40</v>
      </c>
      <c r="C71" s="62">
        <v>57112.539579999997</v>
      </c>
      <c r="D71" s="62">
        <v>1E-4</v>
      </c>
      <c r="E71" s="36">
        <f>+(C71-C$7)/C$8</f>
        <v>16026.487433290446</v>
      </c>
      <c r="F71">
        <f t="shared" si="7"/>
        <v>16026.5</v>
      </c>
      <c r="G71" s="10">
        <f>+C71-(C$7+F71*C$8)</f>
        <v>-3.6166499994578771E-3</v>
      </c>
      <c r="K71">
        <f>+G71</f>
        <v>-3.6166499994578771E-3</v>
      </c>
      <c r="O71">
        <f ca="1">+C$11+C$12*$F71</f>
        <v>-3.1587278692328628E-3</v>
      </c>
      <c r="Q71" s="2">
        <f>+C71-15018.5</f>
        <v>42094.039579999997</v>
      </c>
    </row>
    <row r="72" spans="1:17" x14ac:dyDescent="0.2">
      <c r="A72" s="59" t="s">
        <v>0</v>
      </c>
      <c r="B72" s="64" t="s">
        <v>34</v>
      </c>
      <c r="C72" s="63">
        <v>57852.607799999998</v>
      </c>
      <c r="D72" s="63">
        <v>1E-4</v>
      </c>
      <c r="E72" s="36">
        <f>+(C72-C$7)/C$8</f>
        <v>18597.989340369801</v>
      </c>
      <c r="F72">
        <f t="shared" si="7"/>
        <v>18598</v>
      </c>
      <c r="G72" s="10">
        <f>+C72-(C$7+F72*C$8)</f>
        <v>-3.0677999966428615E-3</v>
      </c>
      <c r="K72">
        <f>+G72</f>
        <v>-3.0677999966428615E-3</v>
      </c>
      <c r="O72">
        <f ca="1">+C$11+C$12*$F72</f>
        <v>-3.3917977063253543E-3</v>
      </c>
      <c r="Q72" s="2">
        <f>+C72-15018.5</f>
        <v>42834.107799999998</v>
      </c>
    </row>
    <row r="73" spans="1:17" x14ac:dyDescent="0.2">
      <c r="A73" s="59" t="s">
        <v>0</v>
      </c>
      <c r="B73" s="64" t="s">
        <v>34</v>
      </c>
      <c r="C73" s="63">
        <v>57856.6368</v>
      </c>
      <c r="D73" s="63">
        <v>1E-4</v>
      </c>
      <c r="E73" s="36">
        <f>+(C73-C$7)/C$8</f>
        <v>18611.988835151009</v>
      </c>
      <c r="F73">
        <f t="shared" si="7"/>
        <v>18612</v>
      </c>
      <c r="G73" s="10">
        <f>+C73-(C$7+F73*C$8)</f>
        <v>-3.2131999978446402E-3</v>
      </c>
      <c r="K73">
        <f>+G73</f>
        <v>-3.2131999978446402E-3</v>
      </c>
      <c r="O73">
        <f ca="1">+C$11+C$12*$F73</f>
        <v>-3.3930666068578428E-3</v>
      </c>
      <c r="Q73" s="2">
        <f>+C73-15018.5</f>
        <v>42838.1368</v>
      </c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hyperlinks>
    <hyperlink ref="H171" r:id="rId1" display="http://vsolj.cetus-net.org/bulletin.html"/>
    <hyperlink ref="H164" r:id="rId2" display="http://vsolj.cetus-net.org/bulletin.html"/>
    <hyperlink ref="H64401" r:id="rId3" display="http://vsolj.cetus-net.org/bulletin.html"/>
    <hyperlink ref="H64394" r:id="rId4" display="https://www.aavso.org/ejaavso"/>
    <hyperlink ref="AP545" r:id="rId5" display="http://cdsbib.u-strasbg.fr/cgi-bin/cdsbib?1990RMxAA..21..381G"/>
    <hyperlink ref="AP549" r:id="rId6" display="http://cdsbib.u-strasbg.fr/cgi-bin/cdsbib?1990RMxAA..21..381G"/>
    <hyperlink ref="AP548" r:id="rId7" display="http://cdsbib.u-strasbg.fr/cgi-bin/cdsbib?1990RMxAA..21..381G"/>
    <hyperlink ref="AP529" r:id="rId8" display="http://cdsbib.u-strasbg.fr/cgi-bin/cdsbib?1990RMxAA..21..381G"/>
    <hyperlink ref="I64401" r:id="rId9" display="http://vsolj.cetus-net.org/bulletin.html"/>
    <hyperlink ref="AQ685" r:id="rId10" display="http://cdsbib.u-strasbg.fr/cgi-bin/cdsbib?1990RMxAA..21..381G"/>
    <hyperlink ref="AQ55451" r:id="rId11" display="http://cdsbib.u-strasbg.fr/cgi-bin/cdsbib?1990RMxAA..21..381G"/>
    <hyperlink ref="AQ686" r:id="rId12" display="http://cdsbib.u-strasbg.fr/cgi-bin/cdsbib?1990RMxAA..21..381G"/>
    <hyperlink ref="H64398" r:id="rId13" display="https://www.aavso.org/ejaavso"/>
    <hyperlink ref="H1571" r:id="rId14" display="http://vsolj.cetus-net.org/bulletin.html"/>
    <hyperlink ref="AP2815" r:id="rId15" display="http://cdsbib.u-strasbg.fr/cgi-bin/cdsbib?1990RMxAA..21..381G"/>
    <hyperlink ref="AP2818" r:id="rId16" display="http://cdsbib.u-strasbg.fr/cgi-bin/cdsbib?1990RMxAA..21..381G"/>
    <hyperlink ref="AP2816" r:id="rId17" display="http://cdsbib.u-strasbg.fr/cgi-bin/cdsbib?1990RMxAA..21..381G"/>
    <hyperlink ref="AP2800" r:id="rId18" display="http://cdsbib.u-strasbg.fr/cgi-bin/cdsbib?1990RMxAA..21..381G"/>
    <hyperlink ref="I1571" r:id="rId19" display="http://vsolj.cetus-net.org/bulletin.html"/>
    <hyperlink ref="AQ3029" r:id="rId20" display="http://cdsbib.u-strasbg.fr/cgi-bin/cdsbib?1990RMxAA..21..381G"/>
    <hyperlink ref="AQ65266" r:id="rId21" display="http://cdsbib.u-strasbg.fr/cgi-bin/cdsbib?1990RMxAA..21..381G"/>
    <hyperlink ref="AQ3033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3"/>
  <sheetViews>
    <sheetView topLeftCell="A19" workbookViewId="0">
      <selection activeCell="A37" sqref="A37:D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56</v>
      </c>
      <c r="I1" s="38" t="s">
        <v>57</v>
      </c>
      <c r="J1" s="39" t="s">
        <v>58</v>
      </c>
    </row>
    <row r="2" spans="1:16" x14ac:dyDescent="0.2">
      <c r="I2" s="40" t="s">
        <v>59</v>
      </c>
      <c r="J2" s="41" t="s">
        <v>60</v>
      </c>
    </row>
    <row r="3" spans="1:16" x14ac:dyDescent="0.2">
      <c r="A3" s="42" t="s">
        <v>61</v>
      </c>
      <c r="I3" s="40" t="s">
        <v>62</v>
      </c>
      <c r="J3" s="41" t="s">
        <v>63</v>
      </c>
    </row>
    <row r="4" spans="1:16" x14ac:dyDescent="0.2">
      <c r="I4" s="40" t="s">
        <v>64</v>
      </c>
      <c r="J4" s="41" t="s">
        <v>63</v>
      </c>
    </row>
    <row r="5" spans="1:16" ht="13.5" thickBot="1" x14ac:dyDescent="0.25">
      <c r="I5" s="43" t="s">
        <v>65</v>
      </c>
      <c r="J5" s="44" t="s">
        <v>66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241 (=IBVS 6157) </v>
      </c>
      <c r="B11" s="3" t="str">
        <f t="shared" ref="B11:B42" si="1">IF(H11=INT(H11),"I","II")</f>
        <v>I</v>
      </c>
      <c r="C11" s="10">
        <f t="shared" ref="C11:C42" si="2">1*G11</f>
        <v>57131.390099999997</v>
      </c>
      <c r="D11" s="12" t="str">
        <f t="shared" ref="D11:D42" si="3">VLOOKUP(F11,I$1:J$5,2,FALSE)</f>
        <v>vis</v>
      </c>
      <c r="E11" s="45">
        <f>VLOOKUP(C11,Active!C$21:E$973,3,FALSE)</f>
        <v>16091.987000518771</v>
      </c>
      <c r="F11" s="3" t="s">
        <v>65</v>
      </c>
      <c r="G11" s="12" t="str">
        <f t="shared" ref="G11:G42" si="4">MID(I11,3,LEN(I11)-3)</f>
        <v>57131.3901</v>
      </c>
      <c r="H11" s="10">
        <f t="shared" ref="H11:H42" si="5">1*K11</f>
        <v>16092</v>
      </c>
      <c r="I11" s="46" t="s">
        <v>238</v>
      </c>
      <c r="J11" s="47" t="s">
        <v>239</v>
      </c>
      <c r="K11" s="46" t="s">
        <v>240</v>
      </c>
      <c r="L11" s="46" t="s">
        <v>241</v>
      </c>
      <c r="M11" s="47" t="s">
        <v>182</v>
      </c>
      <c r="N11" s="47" t="s">
        <v>195</v>
      </c>
      <c r="O11" s="48" t="s">
        <v>242</v>
      </c>
      <c r="P11" s="49" t="s">
        <v>243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57136.570099999997</v>
      </c>
      <c r="D12" s="12" t="str">
        <f t="shared" si="3"/>
        <v>vis</v>
      </c>
      <c r="E12" s="45">
        <f>VLOOKUP(C12,Active!C$21:E$973,3,FALSE)</f>
        <v>16109.985854568567</v>
      </c>
      <c r="F12" s="3" t="s">
        <v>65</v>
      </c>
      <c r="G12" s="12" t="str">
        <f t="shared" si="4"/>
        <v>57136.5701</v>
      </c>
      <c r="H12" s="10">
        <f t="shared" si="5"/>
        <v>16110</v>
      </c>
      <c r="I12" s="46" t="s">
        <v>244</v>
      </c>
      <c r="J12" s="47" t="s">
        <v>245</v>
      </c>
      <c r="K12" s="46" t="s">
        <v>246</v>
      </c>
      <c r="L12" s="46" t="s">
        <v>247</v>
      </c>
      <c r="M12" s="47" t="s">
        <v>182</v>
      </c>
      <c r="N12" s="47" t="s">
        <v>65</v>
      </c>
      <c r="O12" s="48" t="s">
        <v>242</v>
      </c>
      <c r="P12" s="49" t="s">
        <v>243</v>
      </c>
    </row>
    <row r="13" spans="1:16" ht="12.75" customHeight="1" thickBot="1" x14ac:dyDescent="0.25">
      <c r="A13" s="10" t="str">
        <f t="shared" si="0"/>
        <v>BAVM 241 (=IBVS 6157) </v>
      </c>
      <c r="B13" s="3" t="str">
        <f t="shared" si="1"/>
        <v>I</v>
      </c>
      <c r="C13" s="10">
        <f t="shared" si="2"/>
        <v>57158.442799999997</v>
      </c>
      <c r="D13" s="12" t="str">
        <f t="shared" si="3"/>
        <v>vis</v>
      </c>
      <c r="E13" s="45">
        <f>VLOOKUP(C13,Active!C$21:E$973,3,FALSE)</f>
        <v>16185.986536996161</v>
      </c>
      <c r="F13" s="3" t="s">
        <v>65</v>
      </c>
      <c r="G13" s="12" t="str">
        <f t="shared" si="4"/>
        <v>57158.4428</v>
      </c>
      <c r="H13" s="10">
        <f t="shared" si="5"/>
        <v>16186</v>
      </c>
      <c r="I13" s="46" t="s">
        <v>248</v>
      </c>
      <c r="J13" s="47" t="s">
        <v>249</v>
      </c>
      <c r="K13" s="46" t="s">
        <v>250</v>
      </c>
      <c r="L13" s="46" t="s">
        <v>251</v>
      </c>
      <c r="M13" s="47" t="s">
        <v>182</v>
      </c>
      <c r="N13" s="47" t="s">
        <v>195</v>
      </c>
      <c r="O13" s="48" t="s">
        <v>242</v>
      </c>
      <c r="P13" s="49" t="s">
        <v>243</v>
      </c>
    </row>
    <row r="14" spans="1:16" ht="12.75" customHeight="1" thickBot="1" x14ac:dyDescent="0.25">
      <c r="A14" s="10" t="str">
        <f t="shared" si="0"/>
        <v> BBS 129 </v>
      </c>
      <c r="B14" s="3" t="str">
        <f t="shared" si="1"/>
        <v>I</v>
      </c>
      <c r="C14" s="10">
        <f t="shared" si="2"/>
        <v>52708.569000000003</v>
      </c>
      <c r="D14" s="12" t="str">
        <f t="shared" si="3"/>
        <v>vis</v>
      </c>
      <c r="E14" s="45">
        <f>VLOOKUP(C14,Active!C$21:E$973,3,FALSE)</f>
        <v>724.08903386809857</v>
      </c>
      <c r="F14" s="3" t="s">
        <v>65</v>
      </c>
      <c r="G14" s="12" t="str">
        <f t="shared" si="4"/>
        <v>52708.569</v>
      </c>
      <c r="H14" s="10">
        <f t="shared" si="5"/>
        <v>724</v>
      </c>
      <c r="I14" s="46" t="s">
        <v>145</v>
      </c>
      <c r="J14" s="47" t="s">
        <v>146</v>
      </c>
      <c r="K14" s="46">
        <v>724</v>
      </c>
      <c r="L14" s="46" t="s">
        <v>147</v>
      </c>
      <c r="M14" s="47" t="s">
        <v>99</v>
      </c>
      <c r="N14" s="47"/>
      <c r="O14" s="48" t="s">
        <v>100</v>
      </c>
      <c r="P14" s="48" t="s">
        <v>148</v>
      </c>
    </row>
    <row r="15" spans="1:16" ht="12.75" customHeight="1" thickBot="1" x14ac:dyDescent="0.25">
      <c r="A15" s="10" t="str">
        <f t="shared" si="0"/>
        <v> BBS 129 </v>
      </c>
      <c r="B15" s="3" t="str">
        <f t="shared" si="1"/>
        <v>II</v>
      </c>
      <c r="C15" s="10">
        <f t="shared" si="2"/>
        <v>52745.523699999998</v>
      </c>
      <c r="D15" s="12" t="str">
        <f t="shared" si="3"/>
        <v>vis</v>
      </c>
      <c r="E15" s="45">
        <f>VLOOKUP(C15,Active!C$21:E$973,3,FALSE)</f>
        <v>852.4948739750173</v>
      </c>
      <c r="F15" s="3" t="s">
        <v>65</v>
      </c>
      <c r="G15" s="12" t="str">
        <f t="shared" si="4"/>
        <v>52745.5237</v>
      </c>
      <c r="H15" s="10">
        <f t="shared" si="5"/>
        <v>852.5</v>
      </c>
      <c r="I15" s="46" t="s">
        <v>149</v>
      </c>
      <c r="J15" s="47" t="s">
        <v>150</v>
      </c>
      <c r="K15" s="46">
        <v>852.5</v>
      </c>
      <c r="L15" s="46" t="s">
        <v>151</v>
      </c>
      <c r="M15" s="47" t="s">
        <v>71</v>
      </c>
      <c r="N15" s="47" t="s">
        <v>72</v>
      </c>
      <c r="O15" s="48" t="s">
        <v>73</v>
      </c>
      <c r="P15" s="48" t="s">
        <v>148</v>
      </c>
    </row>
    <row r="16" spans="1:16" ht="12.75" customHeight="1" thickBot="1" x14ac:dyDescent="0.25">
      <c r="A16" s="10" t="str">
        <f t="shared" si="0"/>
        <v> BBS 129 </v>
      </c>
      <c r="B16" s="3" t="str">
        <f t="shared" si="1"/>
        <v>I</v>
      </c>
      <c r="C16" s="10">
        <f t="shared" si="2"/>
        <v>52752.603999999999</v>
      </c>
      <c r="D16" s="12" t="str">
        <f t="shared" si="3"/>
        <v>vis</v>
      </c>
      <c r="E16" s="45">
        <f>VLOOKUP(C16,Active!C$21:E$973,3,FALSE)</f>
        <v>877.09666670258184</v>
      </c>
      <c r="F16" s="3" t="s">
        <v>65</v>
      </c>
      <c r="G16" s="12" t="str">
        <f t="shared" si="4"/>
        <v>52752.604</v>
      </c>
      <c r="H16" s="10">
        <f t="shared" si="5"/>
        <v>877</v>
      </c>
      <c r="I16" s="46" t="s">
        <v>152</v>
      </c>
      <c r="J16" s="47" t="s">
        <v>153</v>
      </c>
      <c r="K16" s="46">
        <v>877</v>
      </c>
      <c r="L16" s="46" t="s">
        <v>154</v>
      </c>
      <c r="M16" s="47" t="s">
        <v>99</v>
      </c>
      <c r="N16" s="47"/>
      <c r="O16" s="48" t="s">
        <v>100</v>
      </c>
      <c r="P16" s="48" t="s">
        <v>148</v>
      </c>
    </row>
    <row r="17" spans="1:16" ht="12.75" customHeight="1" thickBot="1" x14ac:dyDescent="0.25">
      <c r="A17" s="10" t="str">
        <f t="shared" si="0"/>
        <v> BBS 129 </v>
      </c>
      <c r="B17" s="3" t="str">
        <f t="shared" si="1"/>
        <v>I</v>
      </c>
      <c r="C17" s="10">
        <f t="shared" si="2"/>
        <v>52753.457000000002</v>
      </c>
      <c r="D17" s="12" t="str">
        <f t="shared" si="3"/>
        <v>vis</v>
      </c>
      <c r="E17" s="45">
        <f>VLOOKUP(C17,Active!C$21:E$973,3,FALSE)</f>
        <v>880.06057066098435</v>
      </c>
      <c r="F17" s="3" t="s">
        <v>65</v>
      </c>
      <c r="G17" s="12" t="str">
        <f t="shared" si="4"/>
        <v>52753.457</v>
      </c>
      <c r="H17" s="10">
        <f t="shared" si="5"/>
        <v>880</v>
      </c>
      <c r="I17" s="46" t="s">
        <v>155</v>
      </c>
      <c r="J17" s="47" t="s">
        <v>156</v>
      </c>
      <c r="K17" s="46">
        <v>880</v>
      </c>
      <c r="L17" s="46" t="s">
        <v>157</v>
      </c>
      <c r="M17" s="47" t="s">
        <v>99</v>
      </c>
      <c r="N17" s="47"/>
      <c r="O17" s="48" t="s">
        <v>100</v>
      </c>
      <c r="P17" s="48" t="s">
        <v>148</v>
      </c>
    </row>
    <row r="18" spans="1:16" ht="12.75" customHeight="1" thickBot="1" x14ac:dyDescent="0.25">
      <c r="A18" s="10" t="str">
        <f t="shared" si="0"/>
        <v> BBS 129 </v>
      </c>
      <c r="B18" s="3" t="str">
        <f t="shared" si="1"/>
        <v>II</v>
      </c>
      <c r="C18" s="10">
        <f t="shared" si="2"/>
        <v>52783.514000000003</v>
      </c>
      <c r="D18" s="12" t="str">
        <f t="shared" si="3"/>
        <v>vis</v>
      </c>
      <c r="E18" s="45">
        <f>VLOOKUP(C18,Active!C$21:E$973,3,FALSE)</f>
        <v>984.49909501903051</v>
      </c>
      <c r="F18" s="3" t="s">
        <v>65</v>
      </c>
      <c r="G18" s="12" t="str">
        <f t="shared" si="4"/>
        <v>52783.514</v>
      </c>
      <c r="H18" s="10">
        <f t="shared" si="5"/>
        <v>984.5</v>
      </c>
      <c r="I18" s="46" t="s">
        <v>158</v>
      </c>
      <c r="J18" s="47" t="s">
        <v>159</v>
      </c>
      <c r="K18" s="46">
        <v>984.5</v>
      </c>
      <c r="L18" s="46" t="s">
        <v>113</v>
      </c>
      <c r="M18" s="47" t="s">
        <v>99</v>
      </c>
      <c r="N18" s="47"/>
      <c r="O18" s="48" t="s">
        <v>100</v>
      </c>
      <c r="P18" s="48" t="s">
        <v>148</v>
      </c>
    </row>
    <row r="19" spans="1:16" ht="12.75" customHeight="1" thickBot="1" x14ac:dyDescent="0.25">
      <c r="A19" s="10" t="str">
        <f t="shared" si="0"/>
        <v> BBS 129 </v>
      </c>
      <c r="B19" s="3" t="str">
        <f t="shared" si="1"/>
        <v>II</v>
      </c>
      <c r="C19" s="10">
        <f t="shared" si="2"/>
        <v>52791.576999999997</v>
      </c>
      <c r="D19" s="12" t="str">
        <f t="shared" si="3"/>
        <v>vis</v>
      </c>
      <c r="E19" s="45">
        <f>VLOOKUP(C19,Active!C$21:E$973,3,FALSE)</f>
        <v>1012.5154579926589</v>
      </c>
      <c r="F19" s="3" t="s">
        <v>65</v>
      </c>
      <c r="G19" s="12" t="str">
        <f t="shared" si="4"/>
        <v>52791.577</v>
      </c>
      <c r="H19" s="10">
        <f t="shared" si="5"/>
        <v>1012.5</v>
      </c>
      <c r="I19" s="46" t="s">
        <v>160</v>
      </c>
      <c r="J19" s="47" t="s">
        <v>161</v>
      </c>
      <c r="K19" s="46">
        <v>1012.5</v>
      </c>
      <c r="L19" s="46" t="s">
        <v>162</v>
      </c>
      <c r="M19" s="47" t="s">
        <v>99</v>
      </c>
      <c r="N19" s="47"/>
      <c r="O19" s="48" t="s">
        <v>100</v>
      </c>
      <c r="P19" s="48" t="s">
        <v>148</v>
      </c>
    </row>
    <row r="20" spans="1:16" ht="12.75" customHeight="1" thickBot="1" x14ac:dyDescent="0.25">
      <c r="A20" s="10" t="str">
        <f t="shared" si="0"/>
        <v> BBS 129 </v>
      </c>
      <c r="B20" s="3" t="str">
        <f t="shared" si="1"/>
        <v>I</v>
      </c>
      <c r="C20" s="10">
        <f t="shared" si="2"/>
        <v>52812.453000000001</v>
      </c>
      <c r="D20" s="12" t="str">
        <f t="shared" si="3"/>
        <v>vis</v>
      </c>
      <c r="E20" s="45">
        <f>VLOOKUP(C20,Active!C$21:E$973,3,FALSE)</f>
        <v>1085.0529246226927</v>
      </c>
      <c r="F20" s="3" t="s">
        <v>65</v>
      </c>
      <c r="G20" s="12" t="str">
        <f t="shared" si="4"/>
        <v>52812.453</v>
      </c>
      <c r="H20" s="10">
        <f t="shared" si="5"/>
        <v>1085</v>
      </c>
      <c r="I20" s="46" t="s">
        <v>163</v>
      </c>
      <c r="J20" s="47" t="s">
        <v>164</v>
      </c>
      <c r="K20" s="46">
        <v>1085</v>
      </c>
      <c r="L20" s="46" t="s">
        <v>165</v>
      </c>
      <c r="M20" s="47" t="s">
        <v>99</v>
      </c>
      <c r="N20" s="47"/>
      <c r="O20" s="48" t="s">
        <v>100</v>
      </c>
      <c r="P20" s="48" t="s">
        <v>148</v>
      </c>
    </row>
    <row r="21" spans="1:16" ht="12.75" customHeight="1" thickBot="1" x14ac:dyDescent="0.25">
      <c r="A21" s="10" t="str">
        <f t="shared" si="0"/>
        <v> BBS 130 </v>
      </c>
      <c r="B21" s="3" t="str">
        <f t="shared" si="1"/>
        <v>I</v>
      </c>
      <c r="C21" s="10">
        <f t="shared" si="2"/>
        <v>52850.432000000001</v>
      </c>
      <c r="D21" s="12" t="str">
        <f t="shared" si="3"/>
        <v>vis</v>
      </c>
      <c r="E21" s="45">
        <f>VLOOKUP(C21,Active!C$21:E$973,3,FALSE)</f>
        <v>1217.0178817572728</v>
      </c>
      <c r="F21" s="3" t="s">
        <v>65</v>
      </c>
      <c r="G21" s="12" t="str">
        <f t="shared" si="4"/>
        <v>52850.432</v>
      </c>
      <c r="H21" s="10">
        <f t="shared" si="5"/>
        <v>1217</v>
      </c>
      <c r="I21" s="46" t="s">
        <v>166</v>
      </c>
      <c r="J21" s="47" t="s">
        <v>167</v>
      </c>
      <c r="K21" s="46">
        <v>1217</v>
      </c>
      <c r="L21" s="46" t="s">
        <v>168</v>
      </c>
      <c r="M21" s="47" t="s">
        <v>99</v>
      </c>
      <c r="N21" s="47"/>
      <c r="O21" s="48" t="s">
        <v>100</v>
      </c>
      <c r="P21" s="48" t="s">
        <v>169</v>
      </c>
    </row>
    <row r="22" spans="1:16" ht="12.75" customHeight="1" thickBot="1" x14ac:dyDescent="0.25">
      <c r="A22" s="10" t="str">
        <f t="shared" si="0"/>
        <v> BBS 130 </v>
      </c>
      <c r="B22" s="3" t="str">
        <f t="shared" si="1"/>
        <v>I</v>
      </c>
      <c r="C22" s="10">
        <f t="shared" si="2"/>
        <v>53096.489200000004</v>
      </c>
      <c r="D22" s="12" t="str">
        <f t="shared" si="3"/>
        <v>vis</v>
      </c>
      <c r="E22" s="45">
        <f>VLOOKUP(C22,Active!C$21:E$973,3,FALSE)</f>
        <v>2071.988466834704</v>
      </c>
      <c r="F22" s="3" t="s">
        <v>65</v>
      </c>
      <c r="G22" s="12" t="str">
        <f t="shared" si="4"/>
        <v>53096.4892</v>
      </c>
      <c r="H22" s="10">
        <f t="shared" si="5"/>
        <v>2072</v>
      </c>
      <c r="I22" s="46" t="s">
        <v>170</v>
      </c>
      <c r="J22" s="47" t="s">
        <v>171</v>
      </c>
      <c r="K22" s="46">
        <v>2072</v>
      </c>
      <c r="L22" s="46" t="s">
        <v>172</v>
      </c>
      <c r="M22" s="47" t="s">
        <v>71</v>
      </c>
      <c r="N22" s="47" t="s">
        <v>72</v>
      </c>
      <c r="O22" s="48" t="s">
        <v>73</v>
      </c>
      <c r="P22" s="48" t="s">
        <v>169</v>
      </c>
    </row>
    <row r="23" spans="1:16" ht="12.75" customHeight="1" thickBot="1" x14ac:dyDescent="0.25">
      <c r="A23" s="10" t="str">
        <f t="shared" si="0"/>
        <v>OEJV 0003 </v>
      </c>
      <c r="B23" s="3" t="str">
        <f t="shared" si="1"/>
        <v>I</v>
      </c>
      <c r="C23" s="10">
        <f t="shared" si="2"/>
        <v>53186.567000000003</v>
      </c>
      <c r="D23" s="12" t="str">
        <f t="shared" si="3"/>
        <v>vis</v>
      </c>
      <c r="E23" s="45">
        <f>VLOOKUP(C23,Active!C$21:E$973,3,FALSE)</f>
        <v>2384.980199523226</v>
      </c>
      <c r="F23" s="3" t="s">
        <v>65</v>
      </c>
      <c r="G23" s="12" t="str">
        <f t="shared" si="4"/>
        <v>53186.567</v>
      </c>
      <c r="H23" s="10">
        <f t="shared" si="5"/>
        <v>2385</v>
      </c>
      <c r="I23" s="46" t="s">
        <v>173</v>
      </c>
      <c r="J23" s="47" t="s">
        <v>174</v>
      </c>
      <c r="K23" s="46">
        <v>2385</v>
      </c>
      <c r="L23" s="46" t="s">
        <v>132</v>
      </c>
      <c r="M23" s="47" t="s">
        <v>99</v>
      </c>
      <c r="N23" s="47"/>
      <c r="O23" s="48" t="s">
        <v>100</v>
      </c>
      <c r="P23" s="49" t="s">
        <v>175</v>
      </c>
    </row>
    <row r="24" spans="1:16" ht="12.75" customHeight="1" thickBot="1" x14ac:dyDescent="0.25">
      <c r="A24" s="10" t="str">
        <f t="shared" si="0"/>
        <v>IBVS 5713 </v>
      </c>
      <c r="B24" s="3" t="str">
        <f t="shared" si="1"/>
        <v>II</v>
      </c>
      <c r="C24" s="10">
        <f t="shared" si="2"/>
        <v>53614.380899999996</v>
      </c>
      <c r="D24" s="12" t="str">
        <f t="shared" si="3"/>
        <v>vis</v>
      </c>
      <c r="E24" s="45">
        <f>VLOOKUP(C24,Active!C$21:E$973,3,FALSE)</f>
        <v>3871.4975637265411</v>
      </c>
      <c r="F24" s="3" t="s">
        <v>65</v>
      </c>
      <c r="G24" s="12" t="str">
        <f t="shared" si="4"/>
        <v>53614.3809</v>
      </c>
      <c r="H24" s="10">
        <f t="shared" si="5"/>
        <v>3871.5</v>
      </c>
      <c r="I24" s="46" t="s">
        <v>176</v>
      </c>
      <c r="J24" s="47" t="s">
        <v>177</v>
      </c>
      <c r="K24" s="46">
        <v>3871.5</v>
      </c>
      <c r="L24" s="46" t="s">
        <v>178</v>
      </c>
      <c r="M24" s="47" t="s">
        <v>71</v>
      </c>
      <c r="N24" s="47" t="s">
        <v>72</v>
      </c>
      <c r="O24" s="48" t="s">
        <v>73</v>
      </c>
      <c r="P24" s="49" t="s">
        <v>179</v>
      </c>
    </row>
    <row r="25" spans="1:16" ht="12.75" customHeight="1" thickBot="1" x14ac:dyDescent="0.25">
      <c r="A25" s="10" t="str">
        <f t="shared" si="0"/>
        <v>BAVM 178 </v>
      </c>
      <c r="B25" s="3" t="str">
        <f t="shared" si="1"/>
        <v>I</v>
      </c>
      <c r="C25" s="10">
        <f t="shared" si="2"/>
        <v>53863.468500000003</v>
      </c>
      <c r="D25" s="12" t="str">
        <f t="shared" si="3"/>
        <v>vis</v>
      </c>
      <c r="E25" s="45">
        <f>VLOOKUP(C25,Active!C$21:E$973,3,FALSE)</f>
        <v>4736.9978258913388</v>
      </c>
      <c r="F25" s="3" t="s">
        <v>65</v>
      </c>
      <c r="G25" s="12" t="str">
        <f t="shared" si="4"/>
        <v>53863.4685</v>
      </c>
      <c r="H25" s="10">
        <f t="shared" si="5"/>
        <v>4737</v>
      </c>
      <c r="I25" s="46" t="s">
        <v>180</v>
      </c>
      <c r="J25" s="47" t="s">
        <v>181</v>
      </c>
      <c r="K25" s="46">
        <v>4737</v>
      </c>
      <c r="L25" s="46" t="s">
        <v>178</v>
      </c>
      <c r="M25" s="47" t="s">
        <v>182</v>
      </c>
      <c r="N25" s="47" t="s">
        <v>183</v>
      </c>
      <c r="O25" s="48" t="s">
        <v>184</v>
      </c>
      <c r="P25" s="49" t="s">
        <v>185</v>
      </c>
    </row>
    <row r="26" spans="1:16" ht="12.75" customHeight="1" thickBot="1" x14ac:dyDescent="0.25">
      <c r="A26" s="10" t="str">
        <f t="shared" si="0"/>
        <v> BBS 133 (=IBVS 5781) </v>
      </c>
      <c r="B26" s="3" t="str">
        <f t="shared" si="1"/>
        <v>I</v>
      </c>
      <c r="C26" s="10">
        <f t="shared" si="2"/>
        <v>53992.406000000003</v>
      </c>
      <c r="D26" s="12" t="str">
        <f t="shared" si="3"/>
        <v>vis</v>
      </c>
      <c r="E26" s="45">
        <f>VLOOKUP(C26,Active!C$21:E$973,3,FALSE)</f>
        <v>5185.0146683711355</v>
      </c>
      <c r="F26" s="3" t="s">
        <v>65</v>
      </c>
      <c r="G26" s="12" t="str">
        <f t="shared" si="4"/>
        <v>53992.406</v>
      </c>
      <c r="H26" s="10">
        <f t="shared" si="5"/>
        <v>5185</v>
      </c>
      <c r="I26" s="46" t="s">
        <v>186</v>
      </c>
      <c r="J26" s="47" t="s">
        <v>187</v>
      </c>
      <c r="K26" s="46" t="s">
        <v>188</v>
      </c>
      <c r="L26" s="46" t="s">
        <v>162</v>
      </c>
      <c r="M26" s="47" t="s">
        <v>182</v>
      </c>
      <c r="N26" s="47" t="s">
        <v>189</v>
      </c>
      <c r="O26" s="48" t="s">
        <v>73</v>
      </c>
      <c r="P26" s="48" t="s">
        <v>190</v>
      </c>
    </row>
    <row r="27" spans="1:16" ht="12.75" customHeight="1" thickBot="1" x14ac:dyDescent="0.25">
      <c r="A27" s="10" t="str">
        <f t="shared" si="0"/>
        <v> BBS 133 (=IBVS 5781) </v>
      </c>
      <c r="B27" s="3" t="str">
        <f t="shared" si="1"/>
        <v>I</v>
      </c>
      <c r="C27" s="10">
        <f t="shared" si="2"/>
        <v>54202.4899</v>
      </c>
      <c r="D27" s="12" t="str">
        <f t="shared" si="3"/>
        <v>vis</v>
      </c>
      <c r="E27" s="45">
        <f>VLOOKUP(C27,Active!C$21:E$973,3,FALSE)</f>
        <v>5914.989466500776</v>
      </c>
      <c r="F27" s="3" t="s">
        <v>65</v>
      </c>
      <c r="G27" s="12" t="str">
        <f t="shared" si="4"/>
        <v>54202.4899</v>
      </c>
      <c r="H27" s="10">
        <f t="shared" si="5"/>
        <v>5915</v>
      </c>
      <c r="I27" s="46" t="s">
        <v>191</v>
      </c>
      <c r="J27" s="47" t="s">
        <v>192</v>
      </c>
      <c r="K27" s="46" t="s">
        <v>193</v>
      </c>
      <c r="L27" s="46" t="s">
        <v>194</v>
      </c>
      <c r="M27" s="47" t="s">
        <v>182</v>
      </c>
      <c r="N27" s="47" t="s">
        <v>195</v>
      </c>
      <c r="O27" s="48" t="s">
        <v>73</v>
      </c>
      <c r="P27" s="48" t="s">
        <v>190</v>
      </c>
    </row>
    <row r="28" spans="1:16" ht="12.75" customHeight="1" thickBot="1" x14ac:dyDescent="0.25">
      <c r="A28" s="10" t="str">
        <f t="shared" si="0"/>
        <v>BAVM 201 </v>
      </c>
      <c r="B28" s="3" t="str">
        <f t="shared" si="1"/>
        <v>II</v>
      </c>
      <c r="C28" s="10">
        <f t="shared" si="2"/>
        <v>54631.451399999998</v>
      </c>
      <c r="D28" s="12" t="str">
        <f t="shared" si="3"/>
        <v>vis</v>
      </c>
      <c r="E28" s="45">
        <f>VLOOKUP(C28,Active!C$21:E$973,3,FALSE)</f>
        <v>7405.4943760530514</v>
      </c>
      <c r="F28" s="3" t="s">
        <v>65</v>
      </c>
      <c r="G28" s="12" t="str">
        <f t="shared" si="4"/>
        <v>54631.4514</v>
      </c>
      <c r="H28" s="10">
        <f t="shared" si="5"/>
        <v>7405.5</v>
      </c>
      <c r="I28" s="46" t="s">
        <v>196</v>
      </c>
      <c r="J28" s="47" t="s">
        <v>197</v>
      </c>
      <c r="K28" s="46" t="s">
        <v>198</v>
      </c>
      <c r="L28" s="46" t="s">
        <v>199</v>
      </c>
      <c r="M28" s="47" t="s">
        <v>182</v>
      </c>
      <c r="N28" s="47" t="s">
        <v>183</v>
      </c>
      <c r="O28" s="48" t="s">
        <v>184</v>
      </c>
      <c r="P28" s="49" t="s">
        <v>200</v>
      </c>
    </row>
    <row r="29" spans="1:16" ht="12.75" customHeight="1" thickBot="1" x14ac:dyDescent="0.25">
      <c r="A29" s="10" t="str">
        <f t="shared" si="0"/>
        <v>IBVS 5871 </v>
      </c>
      <c r="B29" s="3" t="str">
        <f t="shared" si="1"/>
        <v>I</v>
      </c>
      <c r="C29" s="10">
        <f t="shared" si="2"/>
        <v>54697.500999999997</v>
      </c>
      <c r="D29" s="12" t="str">
        <f t="shared" si="3"/>
        <v>vis</v>
      </c>
      <c r="E29" s="45">
        <f>VLOOKUP(C29,Active!C$21:E$973,3,FALSE)</f>
        <v>7634.9957487262691</v>
      </c>
      <c r="F29" s="3" t="s">
        <v>65</v>
      </c>
      <c r="G29" s="12" t="str">
        <f t="shared" si="4"/>
        <v>54697.501</v>
      </c>
      <c r="H29" s="10">
        <f t="shared" si="5"/>
        <v>7635</v>
      </c>
      <c r="I29" s="46" t="s">
        <v>201</v>
      </c>
      <c r="J29" s="47" t="s">
        <v>202</v>
      </c>
      <c r="K29" s="46" t="s">
        <v>203</v>
      </c>
      <c r="L29" s="46" t="s">
        <v>104</v>
      </c>
      <c r="M29" s="47" t="s">
        <v>182</v>
      </c>
      <c r="N29" s="47" t="s">
        <v>57</v>
      </c>
      <c r="O29" s="48" t="s">
        <v>73</v>
      </c>
      <c r="P29" s="49" t="s">
        <v>204</v>
      </c>
    </row>
    <row r="30" spans="1:16" ht="12.75" customHeight="1" thickBot="1" x14ac:dyDescent="0.25">
      <c r="A30" s="10" t="str">
        <f t="shared" si="0"/>
        <v>IBVS 5920 </v>
      </c>
      <c r="B30" s="3" t="str">
        <f t="shared" si="1"/>
        <v>I</v>
      </c>
      <c r="C30" s="10">
        <f t="shared" si="2"/>
        <v>55049.472699999998</v>
      </c>
      <c r="D30" s="12" t="str">
        <f t="shared" si="3"/>
        <v>vis</v>
      </c>
      <c r="E30" s="45">
        <f>VLOOKUP(C30,Active!C$21:E$973,3,FALSE)</f>
        <v>8857.9855668648815</v>
      </c>
      <c r="F30" s="3" t="s">
        <v>65</v>
      </c>
      <c r="G30" s="12" t="str">
        <f t="shared" si="4"/>
        <v>55049.4727</v>
      </c>
      <c r="H30" s="10">
        <f t="shared" si="5"/>
        <v>8858</v>
      </c>
      <c r="I30" s="46" t="s">
        <v>205</v>
      </c>
      <c r="J30" s="47" t="s">
        <v>206</v>
      </c>
      <c r="K30" s="46" t="s">
        <v>207</v>
      </c>
      <c r="L30" s="46" t="s">
        <v>208</v>
      </c>
      <c r="M30" s="47" t="s">
        <v>182</v>
      </c>
      <c r="N30" s="47" t="s">
        <v>57</v>
      </c>
      <c r="O30" s="48" t="s">
        <v>73</v>
      </c>
      <c r="P30" s="49" t="s">
        <v>209</v>
      </c>
    </row>
    <row r="31" spans="1:16" ht="12.75" customHeight="1" thickBot="1" x14ac:dyDescent="0.25">
      <c r="A31" s="10" t="str">
        <f t="shared" si="0"/>
        <v>IBVS 5945 </v>
      </c>
      <c r="B31" s="3" t="str">
        <f t="shared" si="1"/>
        <v>I</v>
      </c>
      <c r="C31" s="10">
        <f t="shared" si="2"/>
        <v>55312.808299999997</v>
      </c>
      <c r="D31" s="12" t="str">
        <f t="shared" si="3"/>
        <v>vis</v>
      </c>
      <c r="E31" s="45">
        <f>VLOOKUP(C31,Active!C$21:E$973,3,FALSE)</f>
        <v>9772.9931017133331</v>
      </c>
      <c r="F31" s="3" t="s">
        <v>65</v>
      </c>
      <c r="G31" s="12" t="str">
        <f t="shared" si="4"/>
        <v>55312.8083</v>
      </c>
      <c r="H31" s="10">
        <f t="shared" si="5"/>
        <v>9773</v>
      </c>
      <c r="I31" s="46" t="s">
        <v>210</v>
      </c>
      <c r="J31" s="47" t="s">
        <v>211</v>
      </c>
      <c r="K31" s="46" t="s">
        <v>212</v>
      </c>
      <c r="L31" s="46" t="s">
        <v>213</v>
      </c>
      <c r="M31" s="47" t="s">
        <v>182</v>
      </c>
      <c r="N31" s="47" t="s">
        <v>65</v>
      </c>
      <c r="O31" s="48" t="s">
        <v>214</v>
      </c>
      <c r="P31" s="49" t="s">
        <v>215</v>
      </c>
    </row>
    <row r="32" spans="1:16" ht="12.75" customHeight="1" thickBot="1" x14ac:dyDescent="0.25">
      <c r="A32" s="10" t="str">
        <f t="shared" si="0"/>
        <v>BAVM 214 </v>
      </c>
      <c r="B32" s="3" t="str">
        <f t="shared" si="1"/>
        <v>II</v>
      </c>
      <c r="C32" s="10">
        <f t="shared" si="2"/>
        <v>55314.390399999997</v>
      </c>
      <c r="D32" s="12" t="str">
        <f t="shared" si="3"/>
        <v>vis</v>
      </c>
      <c r="E32" s="45">
        <f>VLOOKUP(C32,Active!C$21:E$973,3,FALSE)</f>
        <v>9778.4903964994664</v>
      </c>
      <c r="F32" s="3" t="s">
        <v>65</v>
      </c>
      <c r="G32" s="12" t="str">
        <f t="shared" si="4"/>
        <v>55314.3904</v>
      </c>
      <c r="H32" s="10">
        <f t="shared" si="5"/>
        <v>9778.5</v>
      </c>
      <c r="I32" s="46" t="s">
        <v>216</v>
      </c>
      <c r="J32" s="47" t="s">
        <v>217</v>
      </c>
      <c r="K32" s="46" t="s">
        <v>218</v>
      </c>
      <c r="L32" s="46" t="s">
        <v>219</v>
      </c>
      <c r="M32" s="47" t="s">
        <v>182</v>
      </c>
      <c r="N32" s="47" t="s">
        <v>183</v>
      </c>
      <c r="O32" s="48" t="s">
        <v>184</v>
      </c>
      <c r="P32" s="49" t="s">
        <v>220</v>
      </c>
    </row>
    <row r="33" spans="1:16" ht="12.75" customHeight="1" thickBot="1" x14ac:dyDescent="0.25">
      <c r="A33" s="10" t="str">
        <f t="shared" si="0"/>
        <v>BAVM 214 </v>
      </c>
      <c r="B33" s="3" t="str">
        <f t="shared" si="1"/>
        <v>I</v>
      </c>
      <c r="C33" s="10">
        <f t="shared" si="2"/>
        <v>55314.535100000001</v>
      </c>
      <c r="D33" s="12" t="str">
        <f t="shared" si="3"/>
        <v>vis</v>
      </c>
      <c r="E33" s="45">
        <f>VLOOKUP(C33,Active!C$21:E$973,3,FALSE)</f>
        <v>9778.9931830209116</v>
      </c>
      <c r="F33" s="3" t="s">
        <v>65</v>
      </c>
      <c r="G33" s="12" t="str">
        <f t="shared" si="4"/>
        <v>55314.5351</v>
      </c>
      <c r="H33" s="10">
        <f t="shared" si="5"/>
        <v>9779</v>
      </c>
      <c r="I33" s="46" t="s">
        <v>221</v>
      </c>
      <c r="J33" s="47" t="s">
        <v>222</v>
      </c>
      <c r="K33" s="46" t="s">
        <v>223</v>
      </c>
      <c r="L33" s="46" t="s">
        <v>70</v>
      </c>
      <c r="M33" s="47" t="s">
        <v>182</v>
      </c>
      <c r="N33" s="47" t="s">
        <v>183</v>
      </c>
      <c r="O33" s="48" t="s">
        <v>184</v>
      </c>
      <c r="P33" s="49" t="s">
        <v>220</v>
      </c>
    </row>
    <row r="34" spans="1:16" ht="12.75" customHeight="1" thickBot="1" x14ac:dyDescent="0.25">
      <c r="A34" s="10" t="str">
        <f t="shared" si="0"/>
        <v>IBVS 5992 </v>
      </c>
      <c r="B34" s="3" t="str">
        <f t="shared" si="1"/>
        <v>II</v>
      </c>
      <c r="C34" s="10">
        <f t="shared" si="2"/>
        <v>55722.774599999997</v>
      </c>
      <c r="D34" s="12" t="str">
        <f t="shared" si="3"/>
        <v>vis</v>
      </c>
      <c r="E34" s="45">
        <f>VLOOKUP(C34,Active!C$21:E$973,3,FALSE)</f>
        <v>11197.495727009506</v>
      </c>
      <c r="F34" s="3" t="s">
        <v>65</v>
      </c>
      <c r="G34" s="12" t="str">
        <f t="shared" si="4"/>
        <v>55722.7746</v>
      </c>
      <c r="H34" s="10">
        <f t="shared" si="5"/>
        <v>11197.5</v>
      </c>
      <c r="I34" s="46" t="s">
        <v>224</v>
      </c>
      <c r="J34" s="47" t="s">
        <v>225</v>
      </c>
      <c r="K34" s="46" t="s">
        <v>226</v>
      </c>
      <c r="L34" s="46" t="s">
        <v>227</v>
      </c>
      <c r="M34" s="47" t="s">
        <v>182</v>
      </c>
      <c r="N34" s="47" t="s">
        <v>65</v>
      </c>
      <c r="O34" s="48" t="s">
        <v>214</v>
      </c>
      <c r="P34" s="49" t="s">
        <v>228</v>
      </c>
    </row>
    <row r="35" spans="1:16" ht="12.75" customHeight="1" thickBot="1" x14ac:dyDescent="0.25">
      <c r="A35" s="10" t="str">
        <f t="shared" si="0"/>
        <v>BAVM 238 </v>
      </c>
      <c r="B35" s="3" t="str">
        <f t="shared" si="1"/>
        <v>I</v>
      </c>
      <c r="C35" s="10">
        <f t="shared" si="2"/>
        <v>56764.450799999999</v>
      </c>
      <c r="D35" s="12" t="str">
        <f t="shared" si="3"/>
        <v>vis</v>
      </c>
      <c r="E35" s="45">
        <f>VLOOKUP(C35,Active!C$21:E$973,3,FALSE)</f>
        <v>14816.989528350114</v>
      </c>
      <c r="F35" s="3" t="s">
        <v>65</v>
      </c>
      <c r="G35" s="12" t="str">
        <f t="shared" si="4"/>
        <v>56764.4508</v>
      </c>
      <c r="H35" s="10">
        <f t="shared" si="5"/>
        <v>14817</v>
      </c>
      <c r="I35" s="46" t="s">
        <v>229</v>
      </c>
      <c r="J35" s="47" t="s">
        <v>230</v>
      </c>
      <c r="K35" s="46" t="s">
        <v>231</v>
      </c>
      <c r="L35" s="46" t="s">
        <v>232</v>
      </c>
      <c r="M35" s="47" t="s">
        <v>182</v>
      </c>
      <c r="N35" s="47" t="s">
        <v>183</v>
      </c>
      <c r="O35" s="48" t="s">
        <v>184</v>
      </c>
      <c r="P35" s="49" t="s">
        <v>233</v>
      </c>
    </row>
    <row r="36" spans="1:16" ht="12.75" customHeight="1" thickBot="1" x14ac:dyDescent="0.25">
      <c r="A36" s="10" t="str">
        <f t="shared" si="0"/>
        <v>BAVM 238 </v>
      </c>
      <c r="B36" s="3" t="str">
        <f t="shared" si="1"/>
        <v>II</v>
      </c>
      <c r="C36" s="10">
        <f t="shared" si="2"/>
        <v>56764.595200000003</v>
      </c>
      <c r="D36" s="12" t="str">
        <f t="shared" si="3"/>
        <v>vis</v>
      </c>
      <c r="E36" s="45">
        <f>VLOOKUP(C36,Active!C$21:E$973,3,FALSE)</f>
        <v>14817.491272466885</v>
      </c>
      <c r="F36" s="3" t="s">
        <v>65</v>
      </c>
      <c r="G36" s="12" t="str">
        <f t="shared" si="4"/>
        <v>56764.5952</v>
      </c>
      <c r="H36" s="10">
        <f t="shared" si="5"/>
        <v>14817.5</v>
      </c>
      <c r="I36" s="46" t="s">
        <v>234</v>
      </c>
      <c r="J36" s="47" t="s">
        <v>235</v>
      </c>
      <c r="K36" s="46" t="s">
        <v>236</v>
      </c>
      <c r="L36" s="46" t="s">
        <v>237</v>
      </c>
      <c r="M36" s="47" t="s">
        <v>182</v>
      </c>
      <c r="N36" s="47" t="s">
        <v>183</v>
      </c>
      <c r="O36" s="48" t="s">
        <v>184</v>
      </c>
      <c r="P36" s="49" t="s">
        <v>233</v>
      </c>
    </row>
    <row r="37" spans="1:16" ht="12.75" customHeight="1" thickBot="1" x14ac:dyDescent="0.25">
      <c r="A37" s="10" t="str">
        <f t="shared" si="0"/>
        <v> BBS 126 </v>
      </c>
      <c r="B37" s="3" t="str">
        <f t="shared" si="1"/>
        <v>I</v>
      </c>
      <c r="C37" s="10">
        <f t="shared" si="2"/>
        <v>52056.394399999997</v>
      </c>
      <c r="D37" s="12" t="str">
        <f t="shared" si="3"/>
        <v>vis</v>
      </c>
      <c r="E37" s="45">
        <f>VLOOKUP(C37,Active!C$21:E$973,3,FALSE)</f>
        <v>-1542.0104719973588</v>
      </c>
      <c r="F37" s="3" t="s">
        <v>65</v>
      </c>
      <c r="G37" s="12" t="str">
        <f t="shared" si="4"/>
        <v>52056.3944</v>
      </c>
      <c r="H37" s="10">
        <f t="shared" si="5"/>
        <v>-1542</v>
      </c>
      <c r="I37" s="46" t="s">
        <v>68</v>
      </c>
      <c r="J37" s="47" t="s">
        <v>69</v>
      </c>
      <c r="K37" s="46">
        <v>-1542</v>
      </c>
      <c r="L37" s="46" t="s">
        <v>70</v>
      </c>
      <c r="M37" s="47" t="s">
        <v>71</v>
      </c>
      <c r="N37" s="47" t="s">
        <v>72</v>
      </c>
      <c r="O37" s="48" t="s">
        <v>73</v>
      </c>
      <c r="P37" s="48" t="s">
        <v>74</v>
      </c>
    </row>
    <row r="38" spans="1:16" ht="12.75" customHeight="1" thickBot="1" x14ac:dyDescent="0.25">
      <c r="A38" s="10" t="str">
        <f t="shared" si="0"/>
        <v> BBS 126 </v>
      </c>
      <c r="B38" s="3" t="str">
        <f t="shared" si="1"/>
        <v>II</v>
      </c>
      <c r="C38" s="10">
        <f t="shared" si="2"/>
        <v>52056.539799999999</v>
      </c>
      <c r="D38" s="12" t="str">
        <f t="shared" si="3"/>
        <v>vis</v>
      </c>
      <c r="E38" s="45">
        <f>VLOOKUP(C38,Active!C$21:E$973,3,FALSE)</f>
        <v>-1541.5052531983506</v>
      </c>
      <c r="F38" s="3" t="s">
        <v>65</v>
      </c>
      <c r="G38" s="12" t="str">
        <f t="shared" si="4"/>
        <v>52056.5398</v>
      </c>
      <c r="H38" s="10">
        <f t="shared" si="5"/>
        <v>-1541.5</v>
      </c>
      <c r="I38" s="46" t="s">
        <v>75</v>
      </c>
      <c r="J38" s="47" t="s">
        <v>76</v>
      </c>
      <c r="K38" s="46">
        <v>-1541.5</v>
      </c>
      <c r="L38" s="46" t="s">
        <v>77</v>
      </c>
      <c r="M38" s="47" t="s">
        <v>71</v>
      </c>
      <c r="N38" s="47" t="s">
        <v>72</v>
      </c>
      <c r="O38" s="48" t="s">
        <v>73</v>
      </c>
      <c r="P38" s="48" t="s">
        <v>74</v>
      </c>
    </row>
    <row r="39" spans="1:16" ht="12.75" customHeight="1" thickBot="1" x14ac:dyDescent="0.25">
      <c r="A39" s="10" t="str">
        <f t="shared" si="0"/>
        <v> BBS 126 </v>
      </c>
      <c r="B39" s="3" t="str">
        <f t="shared" si="1"/>
        <v>II</v>
      </c>
      <c r="C39" s="10">
        <f t="shared" si="2"/>
        <v>52058.554799999998</v>
      </c>
      <c r="D39" s="12" t="str">
        <f t="shared" si="3"/>
        <v>vis</v>
      </c>
      <c r="E39" s="45">
        <f>VLOOKUP(C39,Active!C$21:E$973,3,FALSE)</f>
        <v>-1534.5037684666274</v>
      </c>
      <c r="F39" s="3" t="s">
        <v>65</v>
      </c>
      <c r="G39" s="12" t="str">
        <f t="shared" si="4"/>
        <v>52058.5548</v>
      </c>
      <c r="H39" s="10">
        <f t="shared" si="5"/>
        <v>-1534.5</v>
      </c>
      <c r="I39" s="46" t="s">
        <v>78</v>
      </c>
      <c r="J39" s="47" t="s">
        <v>79</v>
      </c>
      <c r="K39" s="46">
        <v>-1534.5</v>
      </c>
      <c r="L39" s="46" t="s">
        <v>80</v>
      </c>
      <c r="M39" s="47" t="s">
        <v>71</v>
      </c>
      <c r="N39" s="47" t="s">
        <v>72</v>
      </c>
      <c r="O39" s="48" t="s">
        <v>73</v>
      </c>
      <c r="P39" s="48" t="s">
        <v>74</v>
      </c>
    </row>
    <row r="40" spans="1:16" ht="12.75" customHeight="1" thickBot="1" x14ac:dyDescent="0.25">
      <c r="A40" s="10" t="str">
        <f t="shared" si="0"/>
        <v> BBS 126 </v>
      </c>
      <c r="B40" s="3" t="str">
        <f t="shared" si="1"/>
        <v>II</v>
      </c>
      <c r="C40" s="10">
        <f t="shared" si="2"/>
        <v>52065.462599999999</v>
      </c>
      <c r="D40" s="12" t="str">
        <f t="shared" si="3"/>
        <v>vis</v>
      </c>
      <c r="E40" s="45">
        <f>VLOOKUP(C40,Active!C$21:E$973,3,FALSE)</f>
        <v>-1510.5013584270166</v>
      </c>
      <c r="F40" s="3" t="s">
        <v>65</v>
      </c>
      <c r="G40" s="12" t="str">
        <f t="shared" si="4"/>
        <v>52065.4626</v>
      </c>
      <c r="H40" s="10">
        <f t="shared" si="5"/>
        <v>-1510.5</v>
      </c>
      <c r="I40" s="46" t="s">
        <v>81</v>
      </c>
      <c r="J40" s="47" t="s">
        <v>82</v>
      </c>
      <c r="K40" s="46">
        <v>-1510.5</v>
      </c>
      <c r="L40" s="46" t="s">
        <v>83</v>
      </c>
      <c r="M40" s="47" t="s">
        <v>71</v>
      </c>
      <c r="N40" s="47" t="s">
        <v>72</v>
      </c>
      <c r="O40" s="48" t="s">
        <v>73</v>
      </c>
      <c r="P40" s="48" t="s">
        <v>74</v>
      </c>
    </row>
    <row r="41" spans="1:16" ht="12.75" customHeight="1" thickBot="1" x14ac:dyDescent="0.25">
      <c r="A41" s="10" t="str">
        <f t="shared" si="0"/>
        <v> BBS 126 </v>
      </c>
      <c r="B41" s="3" t="str">
        <f t="shared" si="1"/>
        <v>I</v>
      </c>
      <c r="C41" s="10">
        <f t="shared" si="2"/>
        <v>52073.376700000001</v>
      </c>
      <c r="D41" s="12" t="str">
        <f t="shared" si="3"/>
        <v>vis</v>
      </c>
      <c r="E41" s="45">
        <f>VLOOKUP(C41,Active!C$21:E$973,3,FALSE)</f>
        <v>-1483.0023756402388</v>
      </c>
      <c r="F41" s="3" t="s">
        <v>65</v>
      </c>
      <c r="G41" s="12" t="str">
        <f t="shared" si="4"/>
        <v>52073.3767</v>
      </c>
      <c r="H41" s="10">
        <f t="shared" si="5"/>
        <v>-1483</v>
      </c>
      <c r="I41" s="46" t="s">
        <v>84</v>
      </c>
      <c r="J41" s="47" t="s">
        <v>85</v>
      </c>
      <c r="K41" s="46">
        <v>-1483</v>
      </c>
      <c r="L41" s="46" t="s">
        <v>86</v>
      </c>
      <c r="M41" s="47" t="s">
        <v>71</v>
      </c>
      <c r="N41" s="47" t="s">
        <v>72</v>
      </c>
      <c r="O41" s="48" t="s">
        <v>73</v>
      </c>
      <c r="P41" s="48" t="s">
        <v>74</v>
      </c>
    </row>
    <row r="42" spans="1:16" ht="12.75" customHeight="1" thickBot="1" x14ac:dyDescent="0.25">
      <c r="A42" s="10" t="str">
        <f t="shared" si="0"/>
        <v> BBS 126 </v>
      </c>
      <c r="B42" s="3" t="str">
        <f t="shared" si="1"/>
        <v>II</v>
      </c>
      <c r="C42" s="10">
        <f t="shared" si="2"/>
        <v>52073.520100000002</v>
      </c>
      <c r="D42" s="12" t="str">
        <f t="shared" si="3"/>
        <v>vis</v>
      </c>
      <c r="E42" s="45">
        <f>VLOOKUP(C42,Active!C$21:E$973,3,FALSE)</f>
        <v>-1482.5041062057301</v>
      </c>
      <c r="F42" s="3" t="s">
        <v>65</v>
      </c>
      <c r="G42" s="12" t="str">
        <f t="shared" si="4"/>
        <v>52073.5201</v>
      </c>
      <c r="H42" s="10">
        <f t="shared" si="5"/>
        <v>-1482.5</v>
      </c>
      <c r="I42" s="46" t="s">
        <v>87</v>
      </c>
      <c r="J42" s="47" t="s">
        <v>88</v>
      </c>
      <c r="K42" s="46">
        <v>-1482.5</v>
      </c>
      <c r="L42" s="46" t="s">
        <v>89</v>
      </c>
      <c r="M42" s="47" t="s">
        <v>71</v>
      </c>
      <c r="N42" s="47" t="s">
        <v>72</v>
      </c>
      <c r="O42" s="48" t="s">
        <v>73</v>
      </c>
      <c r="P42" s="48" t="s">
        <v>74</v>
      </c>
    </row>
    <row r="43" spans="1:16" ht="12.75" customHeight="1" thickBot="1" x14ac:dyDescent="0.25">
      <c r="A43" s="10" t="str">
        <f t="shared" ref="A43:A59" si="6">P43</f>
        <v> BBS 126 </v>
      </c>
      <c r="B43" s="3" t="str">
        <f t="shared" ref="B43:B59" si="7">IF(H43=INT(H43),"I","II")</f>
        <v>I</v>
      </c>
      <c r="C43" s="10">
        <f t="shared" ref="C43:C59" si="8">1*G43</f>
        <v>52075.393600000003</v>
      </c>
      <c r="D43" s="12" t="str">
        <f t="shared" ref="D43:D59" si="9">VLOOKUP(F43,I$1:J$5,2,FALSE)</f>
        <v>vis</v>
      </c>
      <c r="E43" s="45">
        <f>VLOOKUP(C43,Active!C$21:E$973,3,FALSE)</f>
        <v>-1475.9942890122327</v>
      </c>
      <c r="F43" s="3" t="s">
        <v>65</v>
      </c>
      <c r="G43" s="12" t="str">
        <f t="shared" ref="G43:G59" si="10">MID(I43,3,LEN(I43)-3)</f>
        <v>52075.3936</v>
      </c>
      <c r="H43" s="10">
        <f t="shared" ref="H43:H59" si="11">1*K43</f>
        <v>-1476</v>
      </c>
      <c r="I43" s="46" t="s">
        <v>90</v>
      </c>
      <c r="J43" s="47" t="s">
        <v>91</v>
      </c>
      <c r="K43" s="46">
        <v>-1476</v>
      </c>
      <c r="L43" s="46" t="s">
        <v>92</v>
      </c>
      <c r="M43" s="47" t="s">
        <v>71</v>
      </c>
      <c r="N43" s="47" t="s">
        <v>72</v>
      </c>
      <c r="O43" s="48" t="s">
        <v>73</v>
      </c>
      <c r="P43" s="48" t="s">
        <v>74</v>
      </c>
    </row>
    <row r="44" spans="1:16" ht="12.75" customHeight="1" thickBot="1" x14ac:dyDescent="0.25">
      <c r="A44" s="10" t="str">
        <f t="shared" si="6"/>
        <v> BBS 126 </v>
      </c>
      <c r="B44" s="3" t="str">
        <f t="shared" si="7"/>
        <v>II</v>
      </c>
      <c r="C44" s="10">
        <f t="shared" si="8"/>
        <v>52075.5357</v>
      </c>
      <c r="D44" s="12" t="str">
        <f t="shared" si="9"/>
        <v>vis</v>
      </c>
      <c r="E44" s="45">
        <f>VLOOKUP(C44,Active!C$21:E$973,3,FALSE)</f>
        <v>-1475.5005366646599</v>
      </c>
      <c r="F44" s="3" t="s">
        <v>65</v>
      </c>
      <c r="G44" s="12" t="str">
        <f t="shared" si="10"/>
        <v>52075.5357</v>
      </c>
      <c r="H44" s="10">
        <f t="shared" si="11"/>
        <v>-1475.5</v>
      </c>
      <c r="I44" s="46" t="s">
        <v>93</v>
      </c>
      <c r="J44" s="47" t="s">
        <v>94</v>
      </c>
      <c r="K44" s="46">
        <v>-1475.5</v>
      </c>
      <c r="L44" s="46" t="s">
        <v>95</v>
      </c>
      <c r="M44" s="47" t="s">
        <v>71</v>
      </c>
      <c r="N44" s="47" t="s">
        <v>72</v>
      </c>
      <c r="O44" s="48" t="s">
        <v>73</v>
      </c>
      <c r="P44" s="48" t="s">
        <v>74</v>
      </c>
    </row>
    <row r="45" spans="1:16" ht="12.75" customHeight="1" thickBot="1" x14ac:dyDescent="0.25">
      <c r="A45" s="10" t="str">
        <f t="shared" si="6"/>
        <v> BBS 127 </v>
      </c>
      <c r="B45" s="3" t="str">
        <f t="shared" si="7"/>
        <v>I</v>
      </c>
      <c r="C45" s="10">
        <f t="shared" si="8"/>
        <v>52296.697999999997</v>
      </c>
      <c r="D45" s="12" t="str">
        <f t="shared" si="9"/>
        <v>vis</v>
      </c>
      <c r="E45" s="45">
        <f>VLOOKUP(C45,Active!C$21:E$973,3,FALSE)</f>
        <v>-707.03181870775791</v>
      </c>
      <c r="F45" s="3" t="s">
        <v>65</v>
      </c>
      <c r="G45" s="12" t="str">
        <f t="shared" si="10"/>
        <v>52296.698</v>
      </c>
      <c r="H45" s="10">
        <f t="shared" si="11"/>
        <v>-707</v>
      </c>
      <c r="I45" s="46" t="s">
        <v>96</v>
      </c>
      <c r="J45" s="47" t="s">
        <v>97</v>
      </c>
      <c r="K45" s="46">
        <v>-707</v>
      </c>
      <c r="L45" s="46" t="s">
        <v>98</v>
      </c>
      <c r="M45" s="47" t="s">
        <v>99</v>
      </c>
      <c r="N45" s="47"/>
      <c r="O45" s="48" t="s">
        <v>100</v>
      </c>
      <c r="P45" s="48" t="s">
        <v>101</v>
      </c>
    </row>
    <row r="46" spans="1:16" ht="12.75" customHeight="1" thickBot="1" x14ac:dyDescent="0.25">
      <c r="A46" s="10" t="str">
        <f t="shared" si="6"/>
        <v> BBS 127 </v>
      </c>
      <c r="B46" s="3" t="str">
        <f t="shared" si="7"/>
        <v>II</v>
      </c>
      <c r="C46" s="10">
        <f t="shared" si="8"/>
        <v>52323.614000000001</v>
      </c>
      <c r="D46" s="12" t="str">
        <f t="shared" si="9"/>
        <v>vis</v>
      </c>
      <c r="E46" s="45">
        <f>VLOOKUP(C46,Active!C$21:E$973,3,FALSE)</f>
        <v>-613.50727129379118</v>
      </c>
      <c r="F46" s="3" t="s">
        <v>65</v>
      </c>
      <c r="G46" s="12" t="str">
        <f t="shared" si="10"/>
        <v>52323.614</v>
      </c>
      <c r="H46" s="10">
        <f t="shared" si="11"/>
        <v>-613.5</v>
      </c>
      <c r="I46" s="46" t="s">
        <v>102</v>
      </c>
      <c r="J46" s="47" t="s">
        <v>103</v>
      </c>
      <c r="K46" s="46">
        <v>-613.5</v>
      </c>
      <c r="L46" s="46" t="s">
        <v>104</v>
      </c>
      <c r="M46" s="47" t="s">
        <v>99</v>
      </c>
      <c r="N46" s="47"/>
      <c r="O46" s="48" t="s">
        <v>100</v>
      </c>
      <c r="P46" s="48" t="s">
        <v>101</v>
      </c>
    </row>
    <row r="47" spans="1:16" ht="12.75" customHeight="1" thickBot="1" x14ac:dyDescent="0.25">
      <c r="A47" s="10" t="str">
        <f t="shared" si="6"/>
        <v> BBS 127 </v>
      </c>
      <c r="B47" s="3" t="str">
        <f t="shared" si="7"/>
        <v>II</v>
      </c>
      <c r="C47" s="10">
        <f t="shared" si="8"/>
        <v>52344.624000000003</v>
      </c>
      <c r="D47" s="12" t="str">
        <f t="shared" si="9"/>
        <v>vis</v>
      </c>
      <c r="E47" s="45">
        <f>VLOOKUP(C47,Active!C$21:E$973,3,FALSE)</f>
        <v>-540.50419724239839</v>
      </c>
      <c r="F47" s="3" t="s">
        <v>65</v>
      </c>
      <c r="G47" s="12" t="str">
        <f t="shared" si="10"/>
        <v>52344.624</v>
      </c>
      <c r="H47" s="10">
        <f t="shared" si="11"/>
        <v>-540.5</v>
      </c>
      <c r="I47" s="46" t="s">
        <v>105</v>
      </c>
      <c r="J47" s="47" t="s">
        <v>106</v>
      </c>
      <c r="K47" s="46">
        <v>-540.5</v>
      </c>
      <c r="L47" s="46" t="s">
        <v>107</v>
      </c>
      <c r="M47" s="47" t="s">
        <v>99</v>
      </c>
      <c r="N47" s="47"/>
      <c r="O47" s="48" t="s">
        <v>100</v>
      </c>
      <c r="P47" s="48" t="s">
        <v>101</v>
      </c>
    </row>
    <row r="48" spans="1:16" ht="12.75" customHeight="1" thickBot="1" x14ac:dyDescent="0.25">
      <c r="A48" s="10" t="str">
        <f t="shared" si="6"/>
        <v> BBS 127 </v>
      </c>
      <c r="B48" s="3" t="str">
        <f t="shared" si="7"/>
        <v>I</v>
      </c>
      <c r="C48" s="10">
        <f t="shared" si="8"/>
        <v>52345.63</v>
      </c>
      <c r="D48" s="12" t="str">
        <f t="shared" si="9"/>
        <v>vis</v>
      </c>
      <c r="E48" s="45">
        <f>VLOOKUP(C48,Active!C$21:E$973,3,FALSE)</f>
        <v>-537.0086668999304</v>
      </c>
      <c r="F48" s="3" t="s">
        <v>65</v>
      </c>
      <c r="G48" s="12" t="str">
        <f t="shared" si="10"/>
        <v>52345.630</v>
      </c>
      <c r="H48" s="10">
        <f t="shared" si="11"/>
        <v>-537</v>
      </c>
      <c r="I48" s="46" t="s">
        <v>108</v>
      </c>
      <c r="J48" s="47" t="s">
        <v>109</v>
      </c>
      <c r="K48" s="46">
        <v>-537</v>
      </c>
      <c r="L48" s="46" t="s">
        <v>110</v>
      </c>
      <c r="M48" s="47" t="s">
        <v>99</v>
      </c>
      <c r="N48" s="47"/>
      <c r="O48" s="48" t="s">
        <v>100</v>
      </c>
      <c r="P48" s="48" t="s">
        <v>101</v>
      </c>
    </row>
    <row r="49" spans="1:16" ht="12.75" customHeight="1" thickBot="1" x14ac:dyDescent="0.25">
      <c r="A49" s="10" t="str">
        <f t="shared" si="6"/>
        <v> BBS 127 </v>
      </c>
      <c r="B49" s="3" t="str">
        <f t="shared" si="7"/>
        <v>I</v>
      </c>
      <c r="C49" s="10">
        <f t="shared" si="8"/>
        <v>52347.646999999997</v>
      </c>
      <c r="D49" s="12" t="str">
        <f t="shared" si="9"/>
        <v>vis</v>
      </c>
      <c r="E49" s="45">
        <f>VLOOKUP(C49,Active!C$21:E$973,3,FALSE)</f>
        <v>-530.00023280370806</v>
      </c>
      <c r="F49" s="3" t="s">
        <v>65</v>
      </c>
      <c r="G49" s="12" t="str">
        <f t="shared" si="10"/>
        <v>52347.647</v>
      </c>
      <c r="H49" s="10">
        <f t="shared" si="11"/>
        <v>-530</v>
      </c>
      <c r="I49" s="46" t="s">
        <v>111</v>
      </c>
      <c r="J49" s="47" t="s">
        <v>112</v>
      </c>
      <c r="K49" s="46">
        <v>-530</v>
      </c>
      <c r="L49" s="46" t="s">
        <v>113</v>
      </c>
      <c r="M49" s="47" t="s">
        <v>99</v>
      </c>
      <c r="N49" s="47"/>
      <c r="O49" s="48" t="s">
        <v>100</v>
      </c>
      <c r="P49" s="48" t="s">
        <v>101</v>
      </c>
    </row>
    <row r="50" spans="1:16" ht="12.75" customHeight="1" thickBot="1" x14ac:dyDescent="0.25">
      <c r="A50" s="10" t="str">
        <f t="shared" si="6"/>
        <v> BBS 128 </v>
      </c>
      <c r="B50" s="3" t="str">
        <f t="shared" si="7"/>
        <v>II</v>
      </c>
      <c r="C50" s="10">
        <f t="shared" si="8"/>
        <v>52370.54</v>
      </c>
      <c r="D50" s="12" t="str">
        <f t="shared" si="9"/>
        <v>vis</v>
      </c>
      <c r="E50" s="45">
        <f>VLOOKUP(C50,Active!C$21:E$973,3,FALSE)</f>
        <v>-450.45433207745197</v>
      </c>
      <c r="F50" s="3" t="s">
        <v>65</v>
      </c>
      <c r="G50" s="12" t="str">
        <f t="shared" si="10"/>
        <v>52370.540</v>
      </c>
      <c r="H50" s="10">
        <f t="shared" si="11"/>
        <v>-450.5</v>
      </c>
      <c r="I50" s="46" t="s">
        <v>114</v>
      </c>
      <c r="J50" s="47" t="s">
        <v>115</v>
      </c>
      <c r="K50" s="46">
        <v>-450.5</v>
      </c>
      <c r="L50" s="46" t="s">
        <v>116</v>
      </c>
      <c r="M50" s="47" t="s">
        <v>99</v>
      </c>
      <c r="N50" s="47"/>
      <c r="O50" s="48" t="s">
        <v>100</v>
      </c>
      <c r="P50" s="48" t="s">
        <v>117</v>
      </c>
    </row>
    <row r="51" spans="1:16" ht="12.75" customHeight="1" thickBot="1" x14ac:dyDescent="0.25">
      <c r="A51" s="10" t="str">
        <f t="shared" si="6"/>
        <v> BBS 128 </v>
      </c>
      <c r="B51" s="3" t="str">
        <f t="shared" si="7"/>
        <v>II</v>
      </c>
      <c r="C51" s="10">
        <f t="shared" si="8"/>
        <v>52382.606</v>
      </c>
      <c r="D51" s="12" t="str">
        <f t="shared" si="9"/>
        <v>vis</v>
      </c>
      <c r="E51" s="45">
        <f>VLOOKUP(C51,Active!C$21:E$973,3,FALSE)</f>
        <v>-408.52881606108173</v>
      </c>
      <c r="F51" s="3" t="s">
        <v>65</v>
      </c>
      <c r="G51" s="12" t="str">
        <f t="shared" si="10"/>
        <v>52382.606</v>
      </c>
      <c r="H51" s="10">
        <f t="shared" si="11"/>
        <v>-408.5</v>
      </c>
      <c r="I51" s="46" t="s">
        <v>118</v>
      </c>
      <c r="J51" s="47" t="s">
        <v>119</v>
      </c>
      <c r="K51" s="46">
        <v>-408.5</v>
      </c>
      <c r="L51" s="46" t="s">
        <v>120</v>
      </c>
      <c r="M51" s="47" t="s">
        <v>99</v>
      </c>
      <c r="N51" s="47"/>
      <c r="O51" s="48" t="s">
        <v>100</v>
      </c>
      <c r="P51" s="48" t="s">
        <v>117</v>
      </c>
    </row>
    <row r="52" spans="1:16" ht="12.75" customHeight="1" thickBot="1" x14ac:dyDescent="0.25">
      <c r="A52" s="10" t="str">
        <f t="shared" si="6"/>
        <v> BBS 128 </v>
      </c>
      <c r="B52" s="3" t="str">
        <f t="shared" si="7"/>
        <v>I</v>
      </c>
      <c r="C52" s="10">
        <f t="shared" si="8"/>
        <v>52395.423000000003</v>
      </c>
      <c r="D52" s="12" t="str">
        <f t="shared" si="9"/>
        <v>vis</v>
      </c>
      <c r="E52" s="45">
        <f>VLOOKUP(C52,Active!C$21:E$973,3,FALSE)</f>
        <v>-363.99381367570288</v>
      </c>
      <c r="F52" s="3" t="s">
        <v>65</v>
      </c>
      <c r="G52" s="12" t="str">
        <f t="shared" si="10"/>
        <v>52395.423</v>
      </c>
      <c r="H52" s="10">
        <f t="shared" si="11"/>
        <v>-364</v>
      </c>
      <c r="I52" s="46" t="s">
        <v>121</v>
      </c>
      <c r="J52" s="47" t="s">
        <v>122</v>
      </c>
      <c r="K52" s="46">
        <v>-364</v>
      </c>
      <c r="L52" s="46" t="s">
        <v>123</v>
      </c>
      <c r="M52" s="47" t="s">
        <v>99</v>
      </c>
      <c r="N52" s="47"/>
      <c r="O52" s="48" t="s">
        <v>100</v>
      </c>
      <c r="P52" s="48" t="s">
        <v>117</v>
      </c>
    </row>
    <row r="53" spans="1:16" ht="12.75" customHeight="1" thickBot="1" x14ac:dyDescent="0.25">
      <c r="A53" s="10" t="str">
        <f t="shared" si="6"/>
        <v> BBS 128 </v>
      </c>
      <c r="B53" s="3" t="str">
        <f t="shared" si="7"/>
        <v>I</v>
      </c>
      <c r="C53" s="10">
        <f t="shared" si="8"/>
        <v>52409.525999999998</v>
      </c>
      <c r="D53" s="12" t="str">
        <f t="shared" si="9"/>
        <v>vis</v>
      </c>
      <c r="E53" s="45">
        <f>VLOOKUP(C53,Active!C$21:E$973,3,FALSE)</f>
        <v>-314.99036991814143</v>
      </c>
      <c r="F53" s="3" t="s">
        <v>65</v>
      </c>
      <c r="G53" s="12" t="str">
        <f t="shared" si="10"/>
        <v>52409.526</v>
      </c>
      <c r="H53" s="10">
        <f t="shared" si="11"/>
        <v>-315</v>
      </c>
      <c r="I53" s="46" t="s">
        <v>124</v>
      </c>
      <c r="J53" s="47" t="s">
        <v>125</v>
      </c>
      <c r="K53" s="46">
        <v>-315</v>
      </c>
      <c r="L53" s="46" t="s">
        <v>126</v>
      </c>
      <c r="M53" s="47" t="s">
        <v>99</v>
      </c>
      <c r="N53" s="47"/>
      <c r="O53" s="48" t="s">
        <v>100</v>
      </c>
      <c r="P53" s="48" t="s">
        <v>117</v>
      </c>
    </row>
    <row r="54" spans="1:16" ht="12.75" customHeight="1" thickBot="1" x14ac:dyDescent="0.25">
      <c r="A54" s="10" t="str">
        <f t="shared" si="6"/>
        <v> BBS 128 </v>
      </c>
      <c r="B54" s="3" t="str">
        <f t="shared" si="7"/>
        <v>I</v>
      </c>
      <c r="C54" s="10">
        <f t="shared" si="8"/>
        <v>52411.546999999999</v>
      </c>
      <c r="D54" s="12" t="str">
        <f t="shared" si="9"/>
        <v>vis</v>
      </c>
      <c r="E54" s="45">
        <f>VLOOKUP(C54,Active!C$21:E$973,3,FALSE)</f>
        <v>-307.96803709292027</v>
      </c>
      <c r="F54" s="3" t="s">
        <v>65</v>
      </c>
      <c r="G54" s="12" t="str">
        <f t="shared" si="10"/>
        <v>52411.547</v>
      </c>
      <c r="H54" s="10">
        <f t="shared" si="11"/>
        <v>-308</v>
      </c>
      <c r="I54" s="46" t="s">
        <v>127</v>
      </c>
      <c r="J54" s="47" t="s">
        <v>128</v>
      </c>
      <c r="K54" s="46">
        <v>-308</v>
      </c>
      <c r="L54" s="46" t="s">
        <v>129</v>
      </c>
      <c r="M54" s="47" t="s">
        <v>99</v>
      </c>
      <c r="N54" s="47"/>
      <c r="O54" s="48" t="s">
        <v>100</v>
      </c>
      <c r="P54" s="48" t="s">
        <v>117</v>
      </c>
    </row>
    <row r="55" spans="1:16" ht="12.75" customHeight="1" thickBot="1" x14ac:dyDescent="0.25">
      <c r="A55" s="10" t="str">
        <f t="shared" si="6"/>
        <v> BBS 128 </v>
      </c>
      <c r="B55" s="3" t="str">
        <f t="shared" si="7"/>
        <v>I</v>
      </c>
      <c r="C55" s="10">
        <f t="shared" si="8"/>
        <v>52415.561000000002</v>
      </c>
      <c r="D55" s="12" t="str">
        <f t="shared" si="9"/>
        <v>vis</v>
      </c>
      <c r="E55" s="45">
        <f>VLOOKUP(C55,Active!C$21:E$973,3,FALSE)</f>
        <v>-294.02066254544428</v>
      </c>
      <c r="F55" s="3" t="s">
        <v>65</v>
      </c>
      <c r="G55" s="12" t="str">
        <f t="shared" si="10"/>
        <v>52415.561</v>
      </c>
      <c r="H55" s="10">
        <f t="shared" si="11"/>
        <v>-294</v>
      </c>
      <c r="I55" s="46" t="s">
        <v>130</v>
      </c>
      <c r="J55" s="47" t="s">
        <v>131</v>
      </c>
      <c r="K55" s="46">
        <v>-294</v>
      </c>
      <c r="L55" s="46" t="s">
        <v>132</v>
      </c>
      <c r="M55" s="47" t="s">
        <v>99</v>
      </c>
      <c r="N55" s="47"/>
      <c r="O55" s="48" t="s">
        <v>100</v>
      </c>
      <c r="P55" s="48" t="s">
        <v>117</v>
      </c>
    </row>
    <row r="56" spans="1:16" ht="12.75" customHeight="1" thickBot="1" x14ac:dyDescent="0.25">
      <c r="A56" s="10" t="str">
        <f t="shared" si="6"/>
        <v> BBS 128 </v>
      </c>
      <c r="B56" s="3" t="str">
        <f t="shared" si="7"/>
        <v>II</v>
      </c>
      <c r="C56" s="10">
        <f t="shared" si="8"/>
        <v>52438.466</v>
      </c>
      <c r="D56" s="12" t="str">
        <f t="shared" si="9"/>
        <v>vis</v>
      </c>
      <c r="E56" s="45">
        <f>VLOOKUP(C56,Active!C$21:E$973,3,FALSE)</f>
        <v>-214.43306563221705</v>
      </c>
      <c r="F56" s="3" t="s">
        <v>65</v>
      </c>
      <c r="G56" s="12" t="str">
        <f t="shared" si="10"/>
        <v>52438.466</v>
      </c>
      <c r="H56" s="10">
        <f t="shared" si="11"/>
        <v>-214.5</v>
      </c>
      <c r="I56" s="46" t="s">
        <v>133</v>
      </c>
      <c r="J56" s="47" t="s">
        <v>134</v>
      </c>
      <c r="K56" s="46">
        <v>-214.5</v>
      </c>
      <c r="L56" s="46" t="s">
        <v>135</v>
      </c>
      <c r="M56" s="47" t="s">
        <v>99</v>
      </c>
      <c r="N56" s="47"/>
      <c r="O56" s="48" t="s">
        <v>100</v>
      </c>
      <c r="P56" s="48" t="s">
        <v>117</v>
      </c>
    </row>
    <row r="57" spans="1:16" ht="12.75" customHeight="1" thickBot="1" x14ac:dyDescent="0.25">
      <c r="A57" s="10" t="str">
        <f t="shared" si="6"/>
        <v> BBS 128 </v>
      </c>
      <c r="B57" s="3" t="str">
        <f t="shared" si="7"/>
        <v>II</v>
      </c>
      <c r="C57" s="10">
        <f t="shared" si="8"/>
        <v>52442.474000000002</v>
      </c>
      <c r="D57" s="12" t="str">
        <f t="shared" si="9"/>
        <v>vis</v>
      </c>
      <c r="E57" s="45">
        <f>VLOOKUP(C57,Active!C$21:E$973,3,FALSE)</f>
        <v>-200.50653917823928</v>
      </c>
      <c r="F57" s="3" t="s">
        <v>65</v>
      </c>
      <c r="G57" s="12" t="str">
        <f t="shared" si="10"/>
        <v>52442.4740</v>
      </c>
      <c r="H57" s="10">
        <f t="shared" si="11"/>
        <v>-200.5</v>
      </c>
      <c r="I57" s="46" t="s">
        <v>136</v>
      </c>
      <c r="J57" s="47" t="s">
        <v>137</v>
      </c>
      <c r="K57" s="46">
        <v>-200.5</v>
      </c>
      <c r="L57" s="46" t="s">
        <v>138</v>
      </c>
      <c r="M57" s="47" t="s">
        <v>71</v>
      </c>
      <c r="N57" s="47" t="s">
        <v>72</v>
      </c>
      <c r="O57" s="48" t="s">
        <v>73</v>
      </c>
      <c r="P57" s="48" t="s">
        <v>117</v>
      </c>
    </row>
    <row r="58" spans="1:16" ht="12.75" customHeight="1" thickBot="1" x14ac:dyDescent="0.25">
      <c r="A58" s="10" t="str">
        <f t="shared" si="6"/>
        <v> BBS 128 </v>
      </c>
      <c r="B58" s="3" t="str">
        <f t="shared" si="7"/>
        <v>I</v>
      </c>
      <c r="C58" s="10">
        <f t="shared" si="8"/>
        <v>52460.474999999999</v>
      </c>
      <c r="D58" s="12" t="str">
        <f t="shared" si="9"/>
        <v>vis</v>
      </c>
      <c r="E58" s="45">
        <f>VLOOKUP(C58,Active!C$21:E$973,3,FALSE)</f>
        <v>-137.95878401409158</v>
      </c>
      <c r="F58" s="3" t="s">
        <v>65</v>
      </c>
      <c r="G58" s="12" t="str">
        <f t="shared" si="10"/>
        <v>52460.475</v>
      </c>
      <c r="H58" s="10">
        <f t="shared" si="11"/>
        <v>-138</v>
      </c>
      <c r="I58" s="46" t="s">
        <v>139</v>
      </c>
      <c r="J58" s="47" t="s">
        <v>140</v>
      </c>
      <c r="K58" s="46">
        <v>-138</v>
      </c>
      <c r="L58" s="46" t="s">
        <v>141</v>
      </c>
      <c r="M58" s="47" t="s">
        <v>99</v>
      </c>
      <c r="N58" s="47"/>
      <c r="O58" s="48" t="s">
        <v>100</v>
      </c>
      <c r="P58" s="48" t="s">
        <v>117</v>
      </c>
    </row>
    <row r="59" spans="1:16" ht="12.75" customHeight="1" thickBot="1" x14ac:dyDescent="0.25">
      <c r="A59" s="10" t="str">
        <f t="shared" si="6"/>
        <v> BBS 128 </v>
      </c>
      <c r="B59" s="3" t="str">
        <f t="shared" si="7"/>
        <v>II</v>
      </c>
      <c r="C59" s="10">
        <f t="shared" si="8"/>
        <v>52465.506000000001</v>
      </c>
      <c r="D59" s="12" t="str">
        <f t="shared" si="9"/>
        <v>vis</v>
      </c>
      <c r="E59" s="45">
        <f>VLOOKUP(C59,Active!C$21:E$973,3,FALSE)</f>
        <v>-120.47765761938827</v>
      </c>
      <c r="F59" s="3" t="s">
        <v>65</v>
      </c>
      <c r="G59" s="12" t="str">
        <f t="shared" si="10"/>
        <v>52465.506</v>
      </c>
      <c r="H59" s="10">
        <f t="shared" si="11"/>
        <v>-120.5</v>
      </c>
      <c r="I59" s="46" t="s">
        <v>142</v>
      </c>
      <c r="J59" s="47" t="s">
        <v>143</v>
      </c>
      <c r="K59" s="46">
        <v>-120.5</v>
      </c>
      <c r="L59" s="46" t="s">
        <v>144</v>
      </c>
      <c r="M59" s="47" t="s">
        <v>99</v>
      </c>
      <c r="N59" s="47"/>
      <c r="O59" s="48" t="s">
        <v>100</v>
      </c>
      <c r="P59" s="48" t="s">
        <v>117</v>
      </c>
    </row>
    <row r="60" spans="1:16" x14ac:dyDescent="0.2">
      <c r="B60" s="3"/>
      <c r="E60" s="45"/>
      <c r="F60" s="3"/>
    </row>
    <row r="61" spans="1:16" x14ac:dyDescent="0.2">
      <c r="B61" s="3"/>
      <c r="E61" s="45"/>
      <c r="F61" s="3"/>
    </row>
    <row r="62" spans="1:16" x14ac:dyDescent="0.2">
      <c r="B62" s="3"/>
      <c r="E62" s="45"/>
      <c r="F62" s="3"/>
    </row>
    <row r="63" spans="1:16" x14ac:dyDescent="0.2">
      <c r="B63" s="3"/>
      <c r="E63" s="45"/>
      <c r="F63" s="3"/>
    </row>
    <row r="64" spans="1:1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</sheetData>
  <phoneticPr fontId="7" type="noConversion"/>
  <hyperlinks>
    <hyperlink ref="P23" r:id="rId1" display="http://var.astro.cz/oejv/issues/oejv0003.pdf"/>
    <hyperlink ref="P24" r:id="rId2" display="http://www.konkoly.hu/cgi-bin/IBVS?5713"/>
    <hyperlink ref="P25" r:id="rId3" display="http://www.bav-astro.de/sfs/BAVM_link.php?BAVMnr=178"/>
    <hyperlink ref="P28" r:id="rId4" display="http://www.bav-astro.de/sfs/BAVM_link.php?BAVMnr=201"/>
    <hyperlink ref="P29" r:id="rId5" display="http://www.konkoly.hu/cgi-bin/IBVS?5871"/>
    <hyperlink ref="P30" r:id="rId6" display="http://www.konkoly.hu/cgi-bin/IBVS?5920"/>
    <hyperlink ref="P31" r:id="rId7" display="http://www.konkoly.hu/cgi-bin/IBVS?5945"/>
    <hyperlink ref="P32" r:id="rId8" display="http://www.bav-astro.de/sfs/BAVM_link.php?BAVMnr=214"/>
    <hyperlink ref="P33" r:id="rId9" display="http://www.bav-astro.de/sfs/BAVM_link.php?BAVMnr=214"/>
    <hyperlink ref="P34" r:id="rId10" display="http://www.konkoly.hu/cgi-bin/IBVS?5992"/>
    <hyperlink ref="P35" r:id="rId11" display="http://www.bav-astro.de/sfs/BAVM_link.php?BAVMnr=238"/>
    <hyperlink ref="P36" r:id="rId12" display="http://www.bav-astro.de/sfs/BAVM_link.php?BAVMnr=238"/>
    <hyperlink ref="P11" r:id="rId13" display="http://www.bav-astro.de/sfs/BAVM_link.php?BAVMnr=241"/>
    <hyperlink ref="P12" r:id="rId14" display="http://www.bav-astro.de/sfs/BAVM_link.php?BAVMnr=241"/>
    <hyperlink ref="P13" r:id="rId1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2024-02-14T05:12:07Z</dcterms:modified>
</cp:coreProperties>
</file>