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1FA046-7160-4D43-BCD7-5CC79554AD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/>
  <c r="G45" i="1"/>
  <c r="K45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6" i="1"/>
  <c r="F46" i="1"/>
  <c r="G46" i="1"/>
  <c r="K46" i="1"/>
  <c r="E47" i="1"/>
  <c r="F47" i="1"/>
  <c r="G47" i="1"/>
  <c r="K47" i="1"/>
  <c r="Q45" i="1"/>
  <c r="Q48" i="1"/>
  <c r="Q49" i="1"/>
  <c r="Q50" i="1"/>
  <c r="Q51" i="1"/>
  <c r="D9" i="1"/>
  <c r="C9" i="1"/>
  <c r="Q44" i="1"/>
  <c r="Q46" i="1"/>
  <c r="Q47" i="1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5" i="1"/>
  <c r="Q36" i="1"/>
  <c r="Q37" i="1"/>
  <c r="Q38" i="1"/>
  <c r="Q39" i="1"/>
  <c r="Q40" i="1"/>
  <c r="Q42" i="1"/>
  <c r="Q43" i="1"/>
  <c r="E21" i="1"/>
  <c r="F21" i="1"/>
  <c r="G21" i="1"/>
  <c r="I21" i="1"/>
  <c r="Q32" i="1"/>
  <c r="Q33" i="1"/>
  <c r="Q34" i="1"/>
  <c r="Q41" i="1"/>
  <c r="Q23" i="1"/>
  <c r="Q24" i="1"/>
  <c r="Q25" i="1"/>
  <c r="Q26" i="1"/>
  <c r="Q27" i="1"/>
  <c r="Q28" i="1"/>
  <c r="Q29" i="1"/>
  <c r="Q30" i="1"/>
  <c r="Q31" i="1"/>
  <c r="F16" i="1"/>
  <c r="C17" i="1"/>
  <c r="Q22" i="1"/>
  <c r="Q21" i="1"/>
  <c r="C11" i="1"/>
  <c r="C12" i="1"/>
  <c r="C16" i="1" l="1"/>
  <c r="D18" i="1" s="1"/>
  <c r="O40" i="1"/>
  <c r="O50" i="1"/>
  <c r="O27" i="1"/>
  <c r="O47" i="1"/>
  <c r="O22" i="1"/>
  <c r="O36" i="1"/>
  <c r="O30" i="1"/>
  <c r="O42" i="1"/>
  <c r="O41" i="1"/>
  <c r="O32" i="1"/>
  <c r="O46" i="1"/>
  <c r="O49" i="1"/>
  <c r="O38" i="1"/>
  <c r="O31" i="1"/>
  <c r="O26" i="1"/>
  <c r="O34" i="1"/>
  <c r="O24" i="1"/>
  <c r="O21" i="1"/>
  <c r="O43" i="1"/>
  <c r="O33" i="1"/>
  <c r="O48" i="1"/>
  <c r="C15" i="1"/>
  <c r="F18" i="1" s="1"/>
  <c r="O25" i="1"/>
  <c r="O28" i="1"/>
  <c r="O35" i="1"/>
  <c r="O45" i="1"/>
  <c r="O23" i="1"/>
  <c r="O51" i="1"/>
  <c r="O39" i="1"/>
  <c r="O29" i="1"/>
  <c r="O37" i="1"/>
  <c r="O44" i="1"/>
  <c r="F17" i="1"/>
  <c r="F19" i="1" l="1"/>
  <c r="C18" i="1"/>
</calcChain>
</file>

<file path=xl/sharedStrings.xml><?xml version="1.0" encoding="utf-8"?>
<sst xmlns="http://schemas.openxmlformats.org/spreadsheetml/2006/main" count="315" uniqueCount="154">
  <si>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</si>
  <si>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</si>
  <si>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</si>
  <si>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</si>
  <si>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</si>
  <si>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</si>
  <si>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</si>
  <si>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</si>
  <si>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</si>
  <si>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</si>
  <si>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</si>
  <si>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</si>
  <si>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</si>
  <si>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</si>
  <si>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</si>
  <si>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</si>
  <si>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</si>
  <si>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</si>
  <si>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</si>
  <si>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</si>
  <si>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</si>
  <si>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</si>
  <si>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</si>
  <si>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</si>
  <si>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</si>
  <si>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</si>
  <si>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</si>
  <si>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</si>
  <si>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</si>
  <si>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</si>
  <si>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</si>
  <si>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</si>
  <si>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</si>
  <si>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</si>
  <si>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</si>
  <si>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V1088 Her / GSC 2593-1348 </t>
  </si>
  <si>
    <t>EW</t>
  </si>
  <si>
    <t>Her_V1088.xls</t>
  </si>
  <si>
    <t>IBVS 5837</t>
  </si>
  <si>
    <t>II</t>
  </si>
  <si>
    <t>GCVS Eph.?</t>
  </si>
  <si>
    <t>Add cycle</t>
  </si>
  <si>
    <t>Old Cycle</t>
  </si>
  <si>
    <t>IBVS 5918</t>
  </si>
  <si>
    <t>I</t>
  </si>
  <si>
    <t>IBVS 5959</t>
  </si>
  <si>
    <t>IBVS 6010</t>
  </si>
  <si>
    <t>IBVS 6033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</si>
  <si>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</si>
  <si>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</si>
  <si>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</si>
  <si>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</si>
  <si>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</si>
  <si>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</si>
  <si>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</si>
  <si>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</si>
  <si>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</si>
  <si>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</si>
  <si>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</si>
  <si>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</si>
  <si>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2454296.3768 </t>
  </si>
  <si>
    <t> 14.07.2007 21:02 </t>
  </si>
  <si>
    <t> 0.0095 </t>
  </si>
  <si>
    <t>C </t>
  </si>
  <si>
    <t> R.Diethelm </t>
  </si>
  <si>
    <t>IBVS 5837 </t>
  </si>
  <si>
    <t>2454931.5029 </t>
  </si>
  <si>
    <t> 10.04.2009 00:04 </t>
  </si>
  <si>
    <t> 0.0170 </t>
  </si>
  <si>
    <t>-I</t>
  </si>
  <si>
    <t> F.Agerer </t>
  </si>
  <si>
    <t>BAVM 209 </t>
  </si>
  <si>
    <t>2454934.3763 </t>
  </si>
  <si>
    <t> 12.04.2009 21:01 </t>
  </si>
  <si>
    <t>10012</t>
  </si>
  <si>
    <t> 0.0165 </t>
  </si>
  <si>
    <t>2454934.5546 </t>
  </si>
  <si>
    <t> 13.04.2009 01:18 </t>
  </si>
  <si>
    <t>10012.5</t>
  </si>
  <si>
    <t> 0.0152 </t>
  </si>
  <si>
    <t>2454947.4864 </t>
  </si>
  <si>
    <t> 25.04.2009 23:40 </t>
  </si>
  <si>
    <t>10048.5</t>
  </si>
  <si>
    <t> 0.0147 </t>
  </si>
  <si>
    <t>2455314.4428 </t>
  </si>
  <si>
    <t> 27.04.2010 22:37 </t>
  </si>
  <si>
    <t>11070</t>
  </si>
  <si>
    <t> 0.0177 </t>
  </si>
  <si>
    <t>BAVM 214 </t>
  </si>
  <si>
    <t>2455372.4579 </t>
  </si>
  <si>
    <t> 24.06.2010 22:59 </t>
  </si>
  <si>
    <t>11231.5</t>
  </si>
  <si>
    <t> 0.0172 </t>
  </si>
  <si>
    <t>2455659.4805 </t>
  </si>
  <si>
    <t> 07.04.2011 23:31 </t>
  </si>
  <si>
    <t>12030.5</t>
  </si>
  <si>
    <t> 0.0150 </t>
  </si>
  <si>
    <t>BAVM 220 </t>
  </si>
  <si>
    <t>2455661.4600 </t>
  </si>
  <si>
    <t> 09.04.2011 23:02 </t>
  </si>
  <si>
    <t>12036</t>
  </si>
  <si>
    <t> 0.0187 </t>
  </si>
  <si>
    <t>2455671.5166 </t>
  </si>
  <si>
    <t> 20.04.2011 00:23 </t>
  </si>
  <si>
    <t>12064</t>
  </si>
  <si>
    <t> 0.0169 </t>
  </si>
  <si>
    <t>2456060.3817 </t>
  </si>
  <si>
    <t> 12.05.2012 21:09 </t>
  </si>
  <si>
    <t>13146.5</t>
  </si>
  <si>
    <t> 0.0155 </t>
  </si>
  <si>
    <t>o</t>
  </si>
  <si>
    <t> N.Ruocco </t>
  </si>
  <si>
    <t>IBVS 6033 </t>
  </si>
  <si>
    <t>2456060.5613 </t>
  </si>
  <si>
    <t> 13.05.2012 01:28 </t>
  </si>
  <si>
    <t>13147</t>
  </si>
  <si>
    <t>2456063.4342 </t>
  </si>
  <si>
    <t> 15.05.2012 22:25 </t>
  </si>
  <si>
    <t>13155</t>
  </si>
  <si>
    <t> 0.0146 </t>
  </si>
  <si>
    <t>2456065.40811 </t>
  </si>
  <si>
    <t> 17.05.2012 21:47 </t>
  </si>
  <si>
    <t>13160.5</t>
  </si>
  <si>
    <t> 0.01270 </t>
  </si>
  <si>
    <t>OEJV 0160 </t>
  </si>
  <si>
    <t>2456065.4123 </t>
  </si>
  <si>
    <t> 17.05.2012 21:53 </t>
  </si>
  <si>
    <t>R</t>
  </si>
  <si>
    <t>2456065.58892 </t>
  </si>
  <si>
    <t> 18.05.2012 02:08 </t>
  </si>
  <si>
    <t>13161</t>
  </si>
  <si>
    <t> 0.01389 </t>
  </si>
  <si>
    <t>2456065.59079 </t>
  </si>
  <si>
    <t> 18.05.2012 02:10 </t>
  </si>
  <si>
    <t> 0.01576 </t>
  </si>
  <si>
    <t>2456067.38683 </t>
  </si>
  <si>
    <t> 19.05.2012 21:17 </t>
  </si>
  <si>
    <t>13166</t>
  </si>
  <si>
    <t> 0.01565 </t>
  </si>
  <si>
    <t>2456067.38833 </t>
  </si>
  <si>
    <t> 19.05.2012 21:19 </t>
  </si>
  <si>
    <t> 0.01715 </t>
  </si>
  <si>
    <t>2456075.4689 </t>
  </si>
  <si>
    <t> 27.05.2012 23:15 </t>
  </si>
  <si>
    <t>13188.5</t>
  </si>
  <si>
    <t>2456076.36486 </t>
  </si>
  <si>
    <t> 28.05.2012 20:45 </t>
  </si>
  <si>
    <t>13191</t>
  </si>
  <si>
    <t> 0.01293 </t>
  </si>
  <si>
    <t>2456076.54875 </t>
  </si>
  <si>
    <t> 29.05.2012 01:10 </t>
  </si>
  <si>
    <t>13191.5</t>
  </si>
  <si>
    <t> 0.01721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</si>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</sst>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0" fontId="32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4586466165413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Active!$D$21:$D$64</c:f>
                <c:numCache>
                  <c:formatCode>General</c:formatCode>
                  <c:ptCount val="4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Active!$D$21:$D$64</c:f>
                <c:numCache>
                  <c:formatCode>General</c:formatCode>
                  <c:ptCount val="4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Active!$H$21:$H$824</c:f>
              <c:numCache>
                <c:formatCode>General</c:formatCode>
                <c:ptCount val="8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8-4332-88FB-233A45C0FA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Active!$I$21:$I$824</c:f>
              <c:numCache>
                <c:formatCode>General</c:formatCode>
                <c:ptCount val="80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8-4332-88FB-233A45C0FA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Active!$J$21:$J$824</c:f>
              <c:numCache>
                <c:formatCode>General</c:formatCode>
                <c:ptCount val="804"/>
                <c:pt idx="1">
                  <c:v>9.5199999923352152E-3</c:v>
                </c:pt>
                <c:pt idx="2">
                  <c:v>1.6979999993054662E-2</c:v>
                </c:pt>
                <c:pt idx="3">
                  <c:v>1.6539999996894039E-2</c:v>
                </c:pt>
                <c:pt idx="4">
                  <c:v>1.5225000002828892E-2</c:v>
                </c:pt>
                <c:pt idx="5">
                  <c:v>1.4745000000402797E-2</c:v>
                </c:pt>
                <c:pt idx="6">
                  <c:v>1.7699999996693805E-2</c:v>
                </c:pt>
                <c:pt idx="7">
                  <c:v>1.7155000001366716E-2</c:v>
                </c:pt>
                <c:pt idx="8">
                  <c:v>1.4984999994339887E-2</c:v>
                </c:pt>
                <c:pt idx="9">
                  <c:v>1.871999999275431E-2</c:v>
                </c:pt>
                <c:pt idx="10">
                  <c:v>1.6879999995580874E-2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8-4332-88FB-233A45C0FA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Active!$K$21:$K$824</c:f>
              <c:numCache>
                <c:formatCode>General</c:formatCode>
                <c:ptCount val="804"/>
                <c:pt idx="11">
                  <c:v>1.5504999995755497E-2</c:v>
                </c:pt>
                <c:pt idx="12">
                  <c:v>1.5489999997953419E-2</c:v>
                </c:pt>
                <c:pt idx="13">
                  <c:v>1.4549999999871943E-2</c:v>
                </c:pt>
                <c:pt idx="14">
                  <c:v>1.2694999990344513E-2</c:v>
                </c:pt>
                <c:pt idx="15">
                  <c:v>1.6884999997273553E-2</c:v>
                </c:pt>
                <c:pt idx="16">
                  <c:v>1.3889999994717073E-2</c:v>
                </c:pt>
                <c:pt idx="17">
                  <c:v>1.5759999994770624E-2</c:v>
                </c:pt>
                <c:pt idx="18">
                  <c:v>1.5650000001187436E-2</c:v>
                </c:pt>
                <c:pt idx="19">
                  <c:v>1.7149999999674037E-2</c:v>
                </c:pt>
                <c:pt idx="20">
                  <c:v>1.5045000000100117E-2</c:v>
                </c:pt>
                <c:pt idx="21">
                  <c:v>1.292999999714084E-2</c:v>
                </c:pt>
                <c:pt idx="22">
                  <c:v>1.7204999996465631E-2</c:v>
                </c:pt>
                <c:pt idx="23">
                  <c:v>1.6414999998232815E-2</c:v>
                </c:pt>
                <c:pt idx="24">
                  <c:v>1.3809999996738043E-2</c:v>
                </c:pt>
                <c:pt idx="25">
                  <c:v>1.3919999997597188E-2</c:v>
                </c:pt>
                <c:pt idx="26">
                  <c:v>1.4125000001513399E-2</c:v>
                </c:pt>
                <c:pt idx="27">
                  <c:v>1.5039999998407438E-2</c:v>
                </c:pt>
                <c:pt idx="28">
                  <c:v>1.4124999994237442E-2</c:v>
                </c:pt>
                <c:pt idx="29">
                  <c:v>1.314999999885913E-2</c:v>
                </c:pt>
                <c:pt idx="30">
                  <c:v>1.3179999994463287E-2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8-4332-88FB-233A45C0FA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Active!$L$21:$L$824</c:f>
              <c:numCache>
                <c:formatCode>General</c:formatCode>
                <c:ptCount val="8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8-4332-88FB-233A45C0FA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Active!$M$21:$M$824</c:f>
              <c:numCache>
                <c:formatCode>General</c:formatCode>
                <c:ptCount val="8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8-4332-88FB-233A45C0FA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Active!$D$21:$D$824</c:f>
                <c:numCache>
                  <c:formatCode>General</c:formatCode>
                  <c:ptCount val="804"/>
                  <c:pt idx="0">
                    <c:v>0</c:v>
                  </c:pt>
                  <c:pt idx="2">
                    <c:v>1.1000000000000001E-3</c:v>
                  </c:pt>
                  <c:pt idx="3">
                    <c:v>2.2000000000000001E-3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7.1999999999999998E-3</c:v>
                  </c:pt>
                  <c:pt idx="7">
                    <c:v>6.1000000000000004E-3</c:v>
                  </c:pt>
                  <c:pt idx="8">
                    <c:v>1.5E-3</c:v>
                  </c:pt>
                  <c:pt idx="9">
                    <c:v>2.5000000000000001E-3</c:v>
                  </c:pt>
                  <c:pt idx="10">
                    <c:v>3.0000000000000001E-3</c:v>
                  </c:pt>
                  <c:pt idx="11">
                    <c:v>8.9999999999999998E-4</c:v>
                  </c:pt>
                  <c:pt idx="12">
                    <c:v>8.0000000000000004E-4</c:v>
                  </c:pt>
                  <c:pt idx="13">
                    <c:v>8.0000000000000004E-4</c:v>
                  </c:pt>
                  <c:pt idx="14">
                    <c:v>4.0000000000000001E-3</c:v>
                  </c:pt>
                  <c:pt idx="15">
                    <c:v>3.5999999999999999E-3</c:v>
                  </c:pt>
                  <c:pt idx="16">
                    <c:v>3.0000000000000001E-3</c:v>
                  </c:pt>
                  <c:pt idx="17">
                    <c:v>3.3999999999999998E-3</c:v>
                  </c:pt>
                  <c:pt idx="18">
                    <c:v>7.0000000000000001E-3</c:v>
                  </c:pt>
                  <c:pt idx="19">
                    <c:v>4.0000000000000001E-3</c:v>
                  </c:pt>
                  <c:pt idx="20">
                    <c:v>8.9999999999999998E-4</c:v>
                  </c:pt>
                  <c:pt idx="21">
                    <c:v>2E-3</c:v>
                  </c:pt>
                  <c:pt idx="22">
                    <c:v>4.0000000000000001E-3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Active!$N$21:$N$824</c:f>
              <c:numCache>
                <c:formatCode>General</c:formatCode>
                <c:ptCount val="8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F8-4332-88FB-233A45C0FA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Active!$F$21:$F$824</c:f>
              <c:numCache>
                <c:formatCode>General</c:formatCode>
                <c:ptCount val="804"/>
                <c:pt idx="0">
                  <c:v>0</c:v>
                </c:pt>
                <c:pt idx="1">
                  <c:v>8236</c:v>
                </c:pt>
                <c:pt idx="2">
                  <c:v>10004</c:v>
                </c:pt>
                <c:pt idx="3">
                  <c:v>10012</c:v>
                </c:pt>
                <c:pt idx="4">
                  <c:v>10012.5</c:v>
                </c:pt>
                <c:pt idx="5">
                  <c:v>10048.5</c:v>
                </c:pt>
                <c:pt idx="6">
                  <c:v>11070</c:v>
                </c:pt>
                <c:pt idx="7">
                  <c:v>11231.5</c:v>
                </c:pt>
                <c:pt idx="8">
                  <c:v>12030.5</c:v>
                </c:pt>
                <c:pt idx="9">
                  <c:v>12036</c:v>
                </c:pt>
                <c:pt idx="10">
                  <c:v>12064</c:v>
                </c:pt>
                <c:pt idx="11">
                  <c:v>13146.5</c:v>
                </c:pt>
                <c:pt idx="12">
                  <c:v>13147</c:v>
                </c:pt>
                <c:pt idx="13">
                  <c:v>13155</c:v>
                </c:pt>
                <c:pt idx="14">
                  <c:v>13160.5</c:v>
                </c:pt>
                <c:pt idx="15">
                  <c:v>13160.5</c:v>
                </c:pt>
                <c:pt idx="16">
                  <c:v>13161</c:v>
                </c:pt>
                <c:pt idx="17">
                  <c:v>13161</c:v>
                </c:pt>
                <c:pt idx="18">
                  <c:v>13166</c:v>
                </c:pt>
                <c:pt idx="19">
                  <c:v>13166</c:v>
                </c:pt>
                <c:pt idx="20">
                  <c:v>13188.5</c:v>
                </c:pt>
                <c:pt idx="21">
                  <c:v>13191</c:v>
                </c:pt>
                <c:pt idx="22">
                  <c:v>13191.5</c:v>
                </c:pt>
                <c:pt idx="23">
                  <c:v>16136.5</c:v>
                </c:pt>
                <c:pt idx="24">
                  <c:v>16423</c:v>
                </c:pt>
                <c:pt idx="25">
                  <c:v>17194</c:v>
                </c:pt>
                <c:pt idx="26">
                  <c:v>17194.5</c:v>
                </c:pt>
                <c:pt idx="27">
                  <c:v>17222</c:v>
                </c:pt>
                <c:pt idx="28">
                  <c:v>17222.5</c:v>
                </c:pt>
                <c:pt idx="29">
                  <c:v>18055</c:v>
                </c:pt>
                <c:pt idx="30">
                  <c:v>18144</c:v>
                </c:pt>
              </c:numCache>
            </c:numRef>
          </c:xVal>
          <c:yVal>
            <c:numRef>
              <c:f>Active!$O$21:$O$824</c:f>
              <c:numCache>
                <c:formatCode>General</c:formatCode>
                <c:ptCount val="804"/>
                <c:pt idx="0">
                  <c:v>1.7128107400194215E-2</c:v>
                </c:pt>
                <c:pt idx="1">
                  <c:v>1.5922930923192882E-2</c:v>
                </c:pt>
                <c:pt idx="2">
                  <c:v>1.5664218925701582E-2</c:v>
                </c:pt>
                <c:pt idx="3">
                  <c:v>1.5663048283178996E-2</c:v>
                </c:pt>
                <c:pt idx="4">
                  <c:v>1.5662975118021335E-2</c:v>
                </c:pt>
                <c:pt idx="5">
                  <c:v>1.56577072266697E-2</c:v>
                </c:pt>
                <c:pt idx="6">
                  <c:v>1.550823080956712E-2</c:v>
                </c:pt>
                <c:pt idx="7">
                  <c:v>1.5484598463642434E-2</c:v>
                </c:pt>
                <c:pt idx="8">
                  <c:v>1.536768054169925E-2</c:v>
                </c:pt>
                <c:pt idx="9">
                  <c:v>1.5366875724964972E-2</c:v>
                </c:pt>
                <c:pt idx="10">
                  <c:v>1.5362778476135925E-2</c:v>
                </c:pt>
                <c:pt idx="11">
                  <c:v>1.5204375909798631E-2</c:v>
                </c:pt>
                <c:pt idx="12">
                  <c:v>1.520430274464097E-2</c:v>
                </c:pt>
                <c:pt idx="13">
                  <c:v>1.5203132102118386E-2</c:v>
                </c:pt>
                <c:pt idx="14">
                  <c:v>1.5202327285384109E-2</c:v>
                </c:pt>
                <c:pt idx="15">
                  <c:v>1.5202327285384109E-2</c:v>
                </c:pt>
                <c:pt idx="16">
                  <c:v>1.5202254120226447E-2</c:v>
                </c:pt>
                <c:pt idx="17">
                  <c:v>1.5202254120226447E-2</c:v>
                </c:pt>
                <c:pt idx="18">
                  <c:v>1.5201522468649831E-2</c:v>
                </c:pt>
                <c:pt idx="19">
                  <c:v>1.5201522468649831E-2</c:v>
                </c:pt>
                <c:pt idx="20">
                  <c:v>1.5198230036555061E-2</c:v>
                </c:pt>
                <c:pt idx="21">
                  <c:v>1.5197864210766753E-2</c:v>
                </c:pt>
                <c:pt idx="22">
                  <c:v>1.5197791045609092E-2</c:v>
                </c:pt>
                <c:pt idx="23">
                  <c:v>1.4766848266982461E-2</c:v>
                </c:pt>
                <c:pt idx="24">
                  <c:v>1.4724924631642385E-2</c:v>
                </c:pt>
                <c:pt idx="25">
                  <c:v>1.4612103958528248E-2</c:v>
                </c:pt>
                <c:pt idx="26">
                  <c:v>1.4612030793370586E-2</c:v>
                </c:pt>
                <c:pt idx="27">
                  <c:v>1.4608006709699198E-2</c:v>
                </c:pt>
                <c:pt idx="28">
                  <c:v>1.4607933544541537E-2</c:v>
                </c:pt>
                <c:pt idx="29">
                  <c:v>1.4486113557035028E-2</c:v>
                </c:pt>
                <c:pt idx="30">
                  <c:v>1.4473090158971269E-2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F8-4332-88FB-233A45C0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49152"/>
        <c:axId val="1"/>
      </c:scatterChart>
      <c:valAx>
        <c:axId val="69134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49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6846EB-425C-F92D-18D5-DE6422814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konkoly.hu/cgi-bin/IBVS?6033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www.konkoly.hu/cgi-bin/IBVS?6033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6033" TargetMode="External"/><Relationship Id="rId1" Type="http://schemas.openxmlformats.org/officeDocument/2006/relationships/hyperlink" Target="http://www.konkoly.hu/cgi-bin/IBVS?5837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konkoly.hu/cgi-bin/IBVS?6033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0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65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51337.749000000003</v>
      </c>
      <c r="G1">
        <v>0.35922999999999999</v>
      </c>
      <c r="H1" t="s">
        <v>36</v>
      </c>
      <c r="I1" t="s">
        <v>37</v>
      </c>
    </row>
    <row r="2" spans="1:9" x14ac:dyDescent="0.2">
      <c r="A2" t="s">
        <v>24</v>
      </c>
      <c r="B2" t="s">
        <v>36</v>
      </c>
      <c r="C2" s="3"/>
      <c r="D2" s="3"/>
      <c r="E2" t="s">
        <v>37</v>
      </c>
    </row>
    <row r="3" spans="1:9" ht="13.5" thickBot="1" x14ac:dyDescent="0.25"/>
    <row r="4" spans="1:9" ht="14.25" thickTop="1" thickBot="1" x14ac:dyDescent="0.25">
      <c r="A4" s="5" t="s">
        <v>40</v>
      </c>
      <c r="C4" s="8">
        <v>51337.749000000003</v>
      </c>
      <c r="D4" s="9">
        <v>0.35922999999999999</v>
      </c>
    </row>
    <row r="5" spans="1:9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9" x14ac:dyDescent="0.2">
      <c r="A6" s="5" t="s">
        <v>1</v>
      </c>
    </row>
    <row r="7" spans="1:9" x14ac:dyDescent="0.2">
      <c r="A7" t="s">
        <v>2</v>
      </c>
      <c r="C7">
        <v>51337.749000000003</v>
      </c>
    </row>
    <row r="8" spans="1:9" x14ac:dyDescent="0.2">
      <c r="A8" t="s">
        <v>3</v>
      </c>
      <c r="C8">
        <v>0.35922999999999999</v>
      </c>
    </row>
    <row r="9" spans="1:9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3">
        <f ca="1">INTERCEPT(INDIRECT($D$9):G817,INDIRECT($C$9):F817)</f>
        <v>1.7128107400194215E-2</v>
      </c>
      <c r="D11" s="3"/>
      <c r="E11" s="12"/>
    </row>
    <row r="12" spans="1:9" x14ac:dyDescent="0.2">
      <c r="A12" s="12" t="s">
        <v>17</v>
      </c>
      <c r="B12" s="12"/>
      <c r="C12" s="23">
        <f ca="1">SLOPE(INDIRECT($D$9):G817,INDIRECT($C$9):F817)</f>
        <v>-1.4633031532313409E-7</v>
      </c>
      <c r="D12" s="3"/>
      <c r="E12" s="12"/>
    </row>
    <row r="13" spans="1:9" x14ac:dyDescent="0.2">
      <c r="A13" s="12" t="s">
        <v>19</v>
      </c>
      <c r="B13" s="12"/>
      <c r="C13" s="3" t="s">
        <v>14</v>
      </c>
    </row>
    <row r="14" spans="1:9" x14ac:dyDescent="0.2">
      <c r="A14" s="12"/>
      <c r="B14" s="12"/>
      <c r="C14" s="12"/>
    </row>
    <row r="15" spans="1:9" x14ac:dyDescent="0.2">
      <c r="A15" s="14" t="s">
        <v>18</v>
      </c>
      <c r="B15" s="12"/>
      <c r="C15" s="15">
        <f ca="1">(C7+C11)+(C8+C12)*INT(MAX(F21:F3358))</f>
        <v>57855.632593090166</v>
      </c>
      <c r="E15" s="16" t="s">
        <v>41</v>
      </c>
      <c r="F15" s="13">
        <v>1</v>
      </c>
    </row>
    <row r="16" spans="1:9" x14ac:dyDescent="0.2">
      <c r="A16" s="18" t="s">
        <v>4</v>
      </c>
      <c r="B16" s="12"/>
      <c r="C16" s="19">
        <f ca="1">+C8+C12</f>
        <v>0.35922985366968468</v>
      </c>
      <c r="E16" s="16" t="s">
        <v>31</v>
      </c>
      <c r="F16" s="17">
        <f ca="1">NOW()+15018.5+$C$5/24</f>
        <v>60354.769659837963</v>
      </c>
    </row>
    <row r="17" spans="1:17" ht="13.5" thickBot="1" x14ac:dyDescent="0.25">
      <c r="A17" s="16" t="s">
        <v>28</v>
      </c>
      <c r="B17" s="12"/>
      <c r="C17" s="12">
        <f>COUNT(C21:C2016)</f>
        <v>31</v>
      </c>
      <c r="E17" s="16" t="s">
        <v>42</v>
      </c>
      <c r="F17" s="17">
        <f ca="1">ROUND(2*(F16-$C$7)/$C$8,0)/2+F15</f>
        <v>25102</v>
      </c>
    </row>
    <row r="18" spans="1:17" ht="14.25" thickTop="1" thickBot="1" x14ac:dyDescent="0.25">
      <c r="A18" s="18" t="s">
        <v>5</v>
      </c>
      <c r="B18" s="12"/>
      <c r="C18" s="21">
        <f ca="1">+C15</f>
        <v>57855.632593090166</v>
      </c>
      <c r="D18" s="22">
        <f ca="1">+C16</f>
        <v>0.35922985366968468</v>
      </c>
      <c r="E18" s="16" t="s">
        <v>32</v>
      </c>
      <c r="F18" s="25">
        <f ca="1">ROUND(2*(F16-$C$15)/$C$16,0)/2+F15</f>
        <v>6958</v>
      </c>
    </row>
    <row r="19" spans="1:17" ht="13.5" thickTop="1" x14ac:dyDescent="0.2">
      <c r="E19" s="16" t="s">
        <v>33</v>
      </c>
      <c r="F19" s="20">
        <f ca="1">+$C$15+$C$16*F18-15018.5-$C$5/24</f>
        <v>45337.049748257166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8" t="s">
        <v>12</v>
      </c>
      <c r="B21" s="28"/>
      <c r="C21" s="29">
        <v>51337.749000000003</v>
      </c>
      <c r="D21" s="10" t="s">
        <v>14</v>
      </c>
      <c r="E21">
        <f t="shared" ref="E21:E51" si="0">+(C21-C$7)/C$8</f>
        <v>0</v>
      </c>
      <c r="F21">
        <f t="shared" ref="F21:F51" si="1">ROUND(2*E21,0)/2</f>
        <v>0</v>
      </c>
      <c r="G21">
        <f t="shared" ref="G21:G51" si="2">+C21-(C$7+F21*C$8)</f>
        <v>0</v>
      </c>
      <c r="I21">
        <f>+G21</f>
        <v>0</v>
      </c>
      <c r="O21">
        <f t="shared" ref="O21:O51" ca="1" si="3">+C$11+C$12*$F21</f>
        <v>1.7128107400194215E-2</v>
      </c>
      <c r="Q21" s="2">
        <f t="shared" ref="Q21:Q51" si="4">+C21-15018.5</f>
        <v>36319.249000000003</v>
      </c>
    </row>
    <row r="22" spans="1:17" x14ac:dyDescent="0.2">
      <c r="A22" s="30" t="s">
        <v>38</v>
      </c>
      <c r="B22" s="31" t="s">
        <v>39</v>
      </c>
      <c r="C22" s="29">
        <v>54296.376799999998</v>
      </c>
      <c r="D22" s="29"/>
      <c r="E22">
        <f t="shared" si="0"/>
        <v>8236.0265011273968</v>
      </c>
      <c r="F22">
        <f t="shared" si="1"/>
        <v>8236</v>
      </c>
      <c r="G22">
        <f t="shared" si="2"/>
        <v>9.5199999923352152E-3</v>
      </c>
      <c r="J22">
        <f t="shared" ref="J22:J31" si="5">+G22</f>
        <v>9.5199999923352152E-3</v>
      </c>
      <c r="O22">
        <f t="shared" ca="1" si="3"/>
        <v>1.5922930923192882E-2</v>
      </c>
      <c r="Q22" s="2">
        <f t="shared" si="4"/>
        <v>39277.876799999998</v>
      </c>
    </row>
    <row r="23" spans="1:17" x14ac:dyDescent="0.2">
      <c r="A23" s="32" t="s">
        <v>43</v>
      </c>
      <c r="B23" s="33" t="s">
        <v>44</v>
      </c>
      <c r="C23" s="32">
        <v>54931.502899999999</v>
      </c>
      <c r="D23" s="32">
        <v>1.1000000000000001E-3</v>
      </c>
      <c r="E23">
        <f t="shared" si="0"/>
        <v>10004.047267767159</v>
      </c>
      <c r="F23">
        <f t="shared" si="1"/>
        <v>10004</v>
      </c>
      <c r="G23">
        <f t="shared" si="2"/>
        <v>1.6979999993054662E-2</v>
      </c>
      <c r="J23">
        <f t="shared" si="5"/>
        <v>1.6979999993054662E-2</v>
      </c>
      <c r="O23">
        <f t="shared" ca="1" si="3"/>
        <v>1.5664218925701582E-2</v>
      </c>
      <c r="Q23" s="2">
        <f t="shared" si="4"/>
        <v>39913.002899999999</v>
      </c>
    </row>
    <row r="24" spans="1:17" x14ac:dyDescent="0.2">
      <c r="A24" s="32" t="s">
        <v>43</v>
      </c>
      <c r="B24" s="33" t="s">
        <v>44</v>
      </c>
      <c r="C24" s="32">
        <v>54934.376300000004</v>
      </c>
      <c r="D24" s="32">
        <v>2.2000000000000001E-3</v>
      </c>
      <c r="E24">
        <f t="shared" si="0"/>
        <v>10012.046042925145</v>
      </c>
      <c r="F24">
        <f t="shared" si="1"/>
        <v>10012</v>
      </c>
      <c r="G24">
        <f t="shared" si="2"/>
        <v>1.6539999996894039E-2</v>
      </c>
      <c r="J24">
        <f t="shared" si="5"/>
        <v>1.6539999996894039E-2</v>
      </c>
      <c r="O24">
        <f t="shared" ca="1" si="3"/>
        <v>1.5663048283178996E-2</v>
      </c>
      <c r="Q24" s="2">
        <f t="shared" si="4"/>
        <v>39915.876300000004</v>
      </c>
    </row>
    <row r="25" spans="1:17" x14ac:dyDescent="0.2">
      <c r="A25" s="32" t="s">
        <v>43</v>
      </c>
      <c r="B25" s="33" t="s">
        <v>39</v>
      </c>
      <c r="C25" s="32">
        <v>54934.554600000003</v>
      </c>
      <c r="D25" s="32">
        <v>1.1000000000000001E-3</v>
      </c>
      <c r="E25">
        <f t="shared" si="0"/>
        <v>10012.542382317735</v>
      </c>
      <c r="F25">
        <f t="shared" si="1"/>
        <v>10012.5</v>
      </c>
      <c r="G25">
        <f t="shared" si="2"/>
        <v>1.5225000002828892E-2</v>
      </c>
      <c r="J25">
        <f t="shared" si="5"/>
        <v>1.5225000002828892E-2</v>
      </c>
      <c r="O25">
        <f t="shared" ca="1" si="3"/>
        <v>1.5662975118021335E-2</v>
      </c>
      <c r="Q25" s="2">
        <f t="shared" si="4"/>
        <v>39916.054600000003</v>
      </c>
    </row>
    <row r="26" spans="1:17" x14ac:dyDescent="0.2">
      <c r="A26" s="32" t="s">
        <v>43</v>
      </c>
      <c r="B26" s="33" t="s">
        <v>39</v>
      </c>
      <c r="C26" s="32">
        <v>54947.486400000002</v>
      </c>
      <c r="D26" s="32">
        <v>8.9999999999999998E-4</v>
      </c>
      <c r="E26">
        <f t="shared" si="0"/>
        <v>10048.541046126433</v>
      </c>
      <c r="F26">
        <f t="shared" si="1"/>
        <v>10048.5</v>
      </c>
      <c r="G26">
        <f t="shared" si="2"/>
        <v>1.4745000000402797E-2</v>
      </c>
      <c r="J26">
        <f t="shared" si="5"/>
        <v>1.4745000000402797E-2</v>
      </c>
      <c r="O26">
        <f t="shared" ca="1" si="3"/>
        <v>1.56577072266697E-2</v>
      </c>
      <c r="Q26" s="2">
        <f t="shared" si="4"/>
        <v>39928.986400000002</v>
      </c>
    </row>
    <row r="27" spans="1:17" x14ac:dyDescent="0.2">
      <c r="A27" s="32" t="s">
        <v>45</v>
      </c>
      <c r="B27" s="33" t="s">
        <v>44</v>
      </c>
      <c r="C27" s="32">
        <v>55314.442799999997</v>
      </c>
      <c r="D27" s="32">
        <v>7.1999999999999998E-3</v>
      </c>
      <c r="E27">
        <f t="shared" si="0"/>
        <v>11070.049272054099</v>
      </c>
      <c r="F27">
        <f t="shared" si="1"/>
        <v>11070</v>
      </c>
      <c r="G27">
        <f t="shared" si="2"/>
        <v>1.7699999996693805E-2</v>
      </c>
      <c r="J27">
        <f t="shared" si="5"/>
        <v>1.7699999996693805E-2</v>
      </c>
      <c r="O27">
        <f t="shared" ca="1" si="3"/>
        <v>1.550823080956712E-2</v>
      </c>
      <c r="Q27" s="2">
        <f t="shared" si="4"/>
        <v>40295.942799999997</v>
      </c>
    </row>
    <row r="28" spans="1:17" x14ac:dyDescent="0.2">
      <c r="A28" s="32" t="s">
        <v>45</v>
      </c>
      <c r="B28" s="33" t="s">
        <v>39</v>
      </c>
      <c r="C28" s="32">
        <v>55372.457900000001</v>
      </c>
      <c r="D28" s="32">
        <v>6.1000000000000004E-3</v>
      </c>
      <c r="E28">
        <f t="shared" si="0"/>
        <v>11231.547754920241</v>
      </c>
      <c r="F28">
        <f t="shared" si="1"/>
        <v>11231.5</v>
      </c>
      <c r="G28">
        <f t="shared" si="2"/>
        <v>1.7155000001366716E-2</v>
      </c>
      <c r="J28">
        <f t="shared" si="5"/>
        <v>1.7155000001366716E-2</v>
      </c>
      <c r="O28">
        <f t="shared" ca="1" si="3"/>
        <v>1.5484598463642434E-2</v>
      </c>
      <c r="Q28" s="2">
        <f t="shared" si="4"/>
        <v>40353.957900000001</v>
      </c>
    </row>
    <row r="29" spans="1:17" x14ac:dyDescent="0.2">
      <c r="A29" s="32" t="s">
        <v>46</v>
      </c>
      <c r="B29" s="33" t="s">
        <v>39</v>
      </c>
      <c r="C29" s="32">
        <v>55659.480499999998</v>
      </c>
      <c r="D29" s="32">
        <v>1.5E-3</v>
      </c>
      <c r="E29">
        <f t="shared" si="0"/>
        <v>12030.54171422207</v>
      </c>
      <c r="F29">
        <f t="shared" si="1"/>
        <v>12030.5</v>
      </c>
      <c r="G29">
        <f t="shared" si="2"/>
        <v>1.4984999994339887E-2</v>
      </c>
      <c r="J29">
        <f t="shared" si="5"/>
        <v>1.4984999994339887E-2</v>
      </c>
      <c r="O29">
        <f t="shared" ca="1" si="3"/>
        <v>1.536768054169925E-2</v>
      </c>
      <c r="Q29" s="2">
        <f t="shared" si="4"/>
        <v>40640.980499999998</v>
      </c>
    </row>
    <row r="30" spans="1:17" x14ac:dyDescent="0.2">
      <c r="A30" s="32" t="s">
        <v>46</v>
      </c>
      <c r="B30" s="33" t="s">
        <v>44</v>
      </c>
      <c r="C30" s="32">
        <v>55661.46</v>
      </c>
      <c r="D30" s="32">
        <v>2.5000000000000001E-3</v>
      </c>
      <c r="E30">
        <f t="shared" si="0"/>
        <v>12036.052111460613</v>
      </c>
      <c r="F30">
        <f t="shared" si="1"/>
        <v>12036</v>
      </c>
      <c r="G30">
        <f t="shared" si="2"/>
        <v>1.871999999275431E-2</v>
      </c>
      <c r="J30">
        <f t="shared" si="5"/>
        <v>1.871999999275431E-2</v>
      </c>
      <c r="O30">
        <f t="shared" ca="1" si="3"/>
        <v>1.5366875724964972E-2</v>
      </c>
      <c r="Q30" s="2">
        <f t="shared" si="4"/>
        <v>40642.959999999999</v>
      </c>
    </row>
    <row r="31" spans="1:17" x14ac:dyDescent="0.2">
      <c r="A31" s="32" t="s">
        <v>46</v>
      </c>
      <c r="B31" s="33" t="s">
        <v>44</v>
      </c>
      <c r="C31" s="32">
        <v>55671.516600000003</v>
      </c>
      <c r="D31" s="32">
        <v>3.0000000000000001E-3</v>
      </c>
      <c r="E31">
        <f t="shared" si="0"/>
        <v>12064.046989393979</v>
      </c>
      <c r="F31">
        <f t="shared" si="1"/>
        <v>12064</v>
      </c>
      <c r="G31">
        <f t="shared" si="2"/>
        <v>1.6879999995580874E-2</v>
      </c>
      <c r="J31">
        <f t="shared" si="5"/>
        <v>1.6879999995580874E-2</v>
      </c>
      <c r="O31">
        <f t="shared" ca="1" si="3"/>
        <v>1.5362778476135925E-2</v>
      </c>
      <c r="Q31" s="2">
        <f t="shared" si="4"/>
        <v>40653.016600000003</v>
      </c>
    </row>
    <row r="32" spans="1:17" x14ac:dyDescent="0.2">
      <c r="A32" s="34" t="s">
        <v>47</v>
      </c>
      <c r="B32" s="35" t="s">
        <v>39</v>
      </c>
      <c r="C32" s="36">
        <v>56060.381699999998</v>
      </c>
      <c r="D32" s="36">
        <v>8.9999999999999998E-4</v>
      </c>
      <c r="E32">
        <f t="shared" si="0"/>
        <v>13146.543161762644</v>
      </c>
      <c r="F32">
        <f t="shared" si="1"/>
        <v>13146.5</v>
      </c>
      <c r="G32">
        <f t="shared" si="2"/>
        <v>1.5504999995755497E-2</v>
      </c>
      <c r="K32">
        <f t="shared" ref="K32:K51" si="6">+G32</f>
        <v>1.5504999995755497E-2</v>
      </c>
      <c r="O32">
        <f t="shared" ca="1" si="3"/>
        <v>1.5204375909798631E-2</v>
      </c>
      <c r="Q32" s="2">
        <f t="shared" si="4"/>
        <v>41041.881699999998</v>
      </c>
    </row>
    <row r="33" spans="1:17" x14ac:dyDescent="0.2">
      <c r="A33" s="34" t="s">
        <v>47</v>
      </c>
      <c r="B33" s="35" t="s">
        <v>44</v>
      </c>
      <c r="C33" s="36">
        <v>56060.561300000001</v>
      </c>
      <c r="D33" s="36">
        <v>8.0000000000000004E-4</v>
      </c>
      <c r="E33">
        <f t="shared" si="0"/>
        <v>13147.043120006674</v>
      </c>
      <c r="F33">
        <f t="shared" si="1"/>
        <v>13147</v>
      </c>
      <c r="G33">
        <f t="shared" si="2"/>
        <v>1.5489999997953419E-2</v>
      </c>
      <c r="K33">
        <f t="shared" si="6"/>
        <v>1.5489999997953419E-2</v>
      </c>
      <c r="O33">
        <f t="shared" ca="1" si="3"/>
        <v>1.520430274464097E-2</v>
      </c>
      <c r="Q33" s="2">
        <f t="shared" si="4"/>
        <v>41042.061300000001</v>
      </c>
    </row>
    <row r="34" spans="1:17" x14ac:dyDescent="0.2">
      <c r="A34" s="34" t="s">
        <v>47</v>
      </c>
      <c r="B34" s="35" t="s">
        <v>44</v>
      </c>
      <c r="C34" s="36">
        <v>56063.434200000003</v>
      </c>
      <c r="D34" s="36">
        <v>8.0000000000000004E-4</v>
      </c>
      <c r="E34">
        <f t="shared" si="0"/>
        <v>13155.040503298722</v>
      </c>
      <c r="F34">
        <f t="shared" si="1"/>
        <v>13155</v>
      </c>
      <c r="G34">
        <f t="shared" si="2"/>
        <v>1.4549999999871943E-2</v>
      </c>
      <c r="K34">
        <f t="shared" si="6"/>
        <v>1.4549999999871943E-2</v>
      </c>
      <c r="O34">
        <f t="shared" ca="1" si="3"/>
        <v>1.5203132102118386E-2</v>
      </c>
      <c r="Q34" s="2">
        <f t="shared" si="4"/>
        <v>41044.934200000003</v>
      </c>
    </row>
    <row r="35" spans="1:17" x14ac:dyDescent="0.2">
      <c r="A35" s="50" t="s">
        <v>48</v>
      </c>
      <c r="B35" s="51" t="s">
        <v>44</v>
      </c>
      <c r="C35" s="52">
        <v>56065.408109999997</v>
      </c>
      <c r="D35" s="52">
        <v>4.0000000000000001E-3</v>
      </c>
      <c r="E35">
        <f t="shared" si="0"/>
        <v>13160.535339476082</v>
      </c>
      <c r="F35">
        <f t="shared" si="1"/>
        <v>13160.5</v>
      </c>
      <c r="G35">
        <f t="shared" si="2"/>
        <v>1.2694999990344513E-2</v>
      </c>
      <c r="K35">
        <f t="shared" si="6"/>
        <v>1.2694999990344513E-2</v>
      </c>
      <c r="O35">
        <f t="shared" ca="1" si="3"/>
        <v>1.5202327285384109E-2</v>
      </c>
      <c r="Q35" s="2">
        <f t="shared" si="4"/>
        <v>41046.908109999997</v>
      </c>
    </row>
    <row r="36" spans="1:17" x14ac:dyDescent="0.2">
      <c r="A36" s="50" t="s">
        <v>48</v>
      </c>
      <c r="B36" s="51" t="s">
        <v>44</v>
      </c>
      <c r="C36" s="52">
        <v>56065.412300000004</v>
      </c>
      <c r="D36" s="52">
        <v>3.5999999999999999E-3</v>
      </c>
      <c r="E36">
        <f t="shared" si="0"/>
        <v>13160.547003312642</v>
      </c>
      <c r="F36">
        <f t="shared" si="1"/>
        <v>13160.5</v>
      </c>
      <c r="G36">
        <f t="shared" si="2"/>
        <v>1.6884999997273553E-2</v>
      </c>
      <c r="K36">
        <f t="shared" si="6"/>
        <v>1.6884999997273553E-2</v>
      </c>
      <c r="O36">
        <f t="shared" ca="1" si="3"/>
        <v>1.5202327285384109E-2</v>
      </c>
      <c r="Q36" s="2">
        <f t="shared" si="4"/>
        <v>41046.912300000004</v>
      </c>
    </row>
    <row r="37" spans="1:17" x14ac:dyDescent="0.2">
      <c r="A37" s="50" t="s">
        <v>48</v>
      </c>
      <c r="B37" s="51" t="s">
        <v>39</v>
      </c>
      <c r="C37" s="52">
        <v>56065.588920000002</v>
      </c>
      <c r="D37" s="52">
        <v>3.0000000000000001E-3</v>
      </c>
      <c r="E37">
        <f t="shared" si="0"/>
        <v>13161.038666035683</v>
      </c>
      <c r="F37">
        <f t="shared" si="1"/>
        <v>13161</v>
      </c>
      <c r="G37">
        <f t="shared" si="2"/>
        <v>1.3889999994717073E-2</v>
      </c>
      <c r="K37">
        <f t="shared" si="6"/>
        <v>1.3889999994717073E-2</v>
      </c>
      <c r="O37">
        <f t="shared" ca="1" si="3"/>
        <v>1.5202254120226447E-2</v>
      </c>
      <c r="Q37" s="2">
        <f t="shared" si="4"/>
        <v>41047.088920000002</v>
      </c>
    </row>
    <row r="38" spans="1:17" x14ac:dyDescent="0.2">
      <c r="A38" s="50" t="s">
        <v>48</v>
      </c>
      <c r="B38" s="51" t="s">
        <v>39</v>
      </c>
      <c r="C38" s="52">
        <v>56065.590790000002</v>
      </c>
      <c r="D38" s="52">
        <v>3.3999999999999998E-3</v>
      </c>
      <c r="E38">
        <f t="shared" si="0"/>
        <v>13161.043871614282</v>
      </c>
      <c r="F38">
        <f t="shared" si="1"/>
        <v>13161</v>
      </c>
      <c r="G38">
        <f t="shared" si="2"/>
        <v>1.5759999994770624E-2</v>
      </c>
      <c r="K38">
        <f t="shared" si="6"/>
        <v>1.5759999994770624E-2</v>
      </c>
      <c r="O38">
        <f t="shared" ca="1" si="3"/>
        <v>1.5202254120226447E-2</v>
      </c>
      <c r="Q38" s="2">
        <f t="shared" si="4"/>
        <v>41047.090790000002</v>
      </c>
    </row>
    <row r="39" spans="1:17" x14ac:dyDescent="0.2">
      <c r="A39" s="50" t="s">
        <v>48</v>
      </c>
      <c r="B39" s="51" t="s">
        <v>39</v>
      </c>
      <c r="C39" s="52">
        <v>56067.386830000003</v>
      </c>
      <c r="D39" s="52">
        <v>7.0000000000000001E-3</v>
      </c>
      <c r="E39">
        <f t="shared" si="0"/>
        <v>13166.043565403779</v>
      </c>
      <c r="F39">
        <f t="shared" si="1"/>
        <v>13166</v>
      </c>
      <c r="G39">
        <f t="shared" si="2"/>
        <v>1.5650000001187436E-2</v>
      </c>
      <c r="K39">
        <f t="shared" si="6"/>
        <v>1.5650000001187436E-2</v>
      </c>
      <c r="O39">
        <f t="shared" ca="1" si="3"/>
        <v>1.5201522468649831E-2</v>
      </c>
      <c r="Q39" s="2">
        <f t="shared" si="4"/>
        <v>41048.886830000003</v>
      </c>
    </row>
    <row r="40" spans="1:17" x14ac:dyDescent="0.2">
      <c r="A40" s="50" t="s">
        <v>48</v>
      </c>
      <c r="B40" s="51" t="s">
        <v>39</v>
      </c>
      <c r="C40" s="52">
        <v>56067.388330000002</v>
      </c>
      <c r="D40" s="52">
        <v>4.0000000000000001E-3</v>
      </c>
      <c r="E40">
        <f t="shared" si="0"/>
        <v>13166.047741001581</v>
      </c>
      <c r="F40">
        <f t="shared" si="1"/>
        <v>13166</v>
      </c>
      <c r="G40">
        <f t="shared" si="2"/>
        <v>1.7149999999674037E-2</v>
      </c>
      <c r="K40">
        <f t="shared" si="6"/>
        <v>1.7149999999674037E-2</v>
      </c>
      <c r="O40">
        <f t="shared" ca="1" si="3"/>
        <v>1.5201522468649831E-2</v>
      </c>
      <c r="Q40" s="2">
        <f t="shared" si="4"/>
        <v>41048.888330000002</v>
      </c>
    </row>
    <row r="41" spans="1:17" x14ac:dyDescent="0.2">
      <c r="A41" s="34" t="s">
        <v>47</v>
      </c>
      <c r="B41" s="35" t="s">
        <v>39</v>
      </c>
      <c r="C41" s="36">
        <v>56075.4689</v>
      </c>
      <c r="D41" s="36">
        <v>8.9999999999999998E-4</v>
      </c>
      <c r="E41">
        <f t="shared" si="0"/>
        <v>13188.541881245988</v>
      </c>
      <c r="F41">
        <f t="shared" si="1"/>
        <v>13188.5</v>
      </c>
      <c r="G41">
        <f t="shared" si="2"/>
        <v>1.5045000000100117E-2</v>
      </c>
      <c r="K41">
        <f t="shared" si="6"/>
        <v>1.5045000000100117E-2</v>
      </c>
      <c r="O41">
        <f t="shared" ca="1" si="3"/>
        <v>1.5198230036555061E-2</v>
      </c>
      <c r="Q41" s="2">
        <f t="shared" si="4"/>
        <v>41056.9689</v>
      </c>
    </row>
    <row r="42" spans="1:17" x14ac:dyDescent="0.2">
      <c r="A42" s="50" t="s">
        <v>48</v>
      </c>
      <c r="B42" s="51" t="s">
        <v>39</v>
      </c>
      <c r="C42" s="52">
        <v>56076.364860000001</v>
      </c>
      <c r="D42" s="52">
        <v>2E-3</v>
      </c>
      <c r="E42">
        <f t="shared" si="0"/>
        <v>13191.035993653086</v>
      </c>
      <c r="F42">
        <f t="shared" si="1"/>
        <v>13191</v>
      </c>
      <c r="G42">
        <f t="shared" si="2"/>
        <v>1.292999999714084E-2</v>
      </c>
      <c r="K42">
        <f t="shared" si="6"/>
        <v>1.292999999714084E-2</v>
      </c>
      <c r="O42">
        <f t="shared" ca="1" si="3"/>
        <v>1.5197864210766753E-2</v>
      </c>
      <c r="Q42" s="2">
        <f t="shared" si="4"/>
        <v>41057.864860000001</v>
      </c>
    </row>
    <row r="43" spans="1:17" x14ac:dyDescent="0.2">
      <c r="A43" s="50" t="s">
        <v>48</v>
      </c>
      <c r="B43" s="51" t="s">
        <v>44</v>
      </c>
      <c r="C43" s="52">
        <v>56076.548750000002</v>
      </c>
      <c r="D43" s="52">
        <v>4.0000000000000001E-3</v>
      </c>
      <c r="E43">
        <f t="shared" si="0"/>
        <v>13191.547894106836</v>
      </c>
      <c r="F43">
        <f t="shared" si="1"/>
        <v>13191.5</v>
      </c>
      <c r="G43">
        <f t="shared" si="2"/>
        <v>1.7204999996465631E-2</v>
      </c>
      <c r="K43">
        <f t="shared" si="6"/>
        <v>1.7204999996465631E-2</v>
      </c>
      <c r="O43">
        <f t="shared" ca="1" si="3"/>
        <v>1.5197791045609092E-2</v>
      </c>
      <c r="Q43" s="2">
        <f t="shared" si="4"/>
        <v>41058.048750000002</v>
      </c>
    </row>
    <row r="44" spans="1:17" x14ac:dyDescent="0.2">
      <c r="A44" s="54" t="s">
        <v>153</v>
      </c>
      <c r="B44" s="55" t="s">
        <v>44</v>
      </c>
      <c r="C44" s="56">
        <v>57134.480309999999</v>
      </c>
      <c r="D44" s="56">
        <v>2.9999999999999997E-4</v>
      </c>
      <c r="E44">
        <f t="shared" si="0"/>
        <v>16136.54569495865</v>
      </c>
      <c r="F44">
        <f t="shared" si="1"/>
        <v>16136.5</v>
      </c>
      <c r="G44">
        <f t="shared" si="2"/>
        <v>1.6414999998232815E-2</v>
      </c>
      <c r="K44">
        <f t="shared" si="6"/>
        <v>1.6414999998232815E-2</v>
      </c>
      <c r="O44">
        <f t="shared" ca="1" si="3"/>
        <v>1.4766848266982461E-2</v>
      </c>
      <c r="Q44" s="2">
        <f t="shared" si="4"/>
        <v>42115.980309999999</v>
      </c>
    </row>
    <row r="45" spans="1:17" x14ac:dyDescent="0.2">
      <c r="A45" s="53" t="s">
        <v>0</v>
      </c>
      <c r="B45" s="58" t="s">
        <v>44</v>
      </c>
      <c r="C45" s="57">
        <v>57237.397100000002</v>
      </c>
      <c r="D45" s="57">
        <v>2.9999999999999997E-4</v>
      </c>
      <c r="E45">
        <f t="shared" si="0"/>
        <v>16423.038443337133</v>
      </c>
      <c r="F45">
        <f t="shared" si="1"/>
        <v>16423</v>
      </c>
      <c r="G45">
        <f t="shared" si="2"/>
        <v>1.3809999996738043E-2</v>
      </c>
      <c r="K45">
        <f t="shared" si="6"/>
        <v>1.3809999996738043E-2</v>
      </c>
      <c r="O45">
        <f t="shared" ca="1" si="3"/>
        <v>1.4724924631642385E-2</v>
      </c>
      <c r="Q45" s="2">
        <f t="shared" si="4"/>
        <v>42218.897100000002</v>
      </c>
    </row>
    <row r="46" spans="1:17" x14ac:dyDescent="0.2">
      <c r="A46" s="54" t="s">
        <v>153</v>
      </c>
      <c r="B46" s="55" t="s">
        <v>39</v>
      </c>
      <c r="C46" s="56">
        <v>57514.363539999998</v>
      </c>
      <c r="D46" s="56">
        <v>4.0000000000000002E-4</v>
      </c>
      <c r="E46">
        <f t="shared" si="0"/>
        <v>17194.038749547632</v>
      </c>
      <c r="F46">
        <f t="shared" si="1"/>
        <v>17194</v>
      </c>
      <c r="G46">
        <f t="shared" si="2"/>
        <v>1.3919999997597188E-2</v>
      </c>
      <c r="K46">
        <f t="shared" si="6"/>
        <v>1.3919999997597188E-2</v>
      </c>
      <c r="O46">
        <f t="shared" ca="1" si="3"/>
        <v>1.4612103958528248E-2</v>
      </c>
      <c r="Q46" s="2">
        <f t="shared" si="4"/>
        <v>42495.863539999998</v>
      </c>
    </row>
    <row r="47" spans="1:17" x14ac:dyDescent="0.2">
      <c r="A47" s="54" t="s">
        <v>153</v>
      </c>
      <c r="B47" s="55" t="s">
        <v>44</v>
      </c>
      <c r="C47" s="56">
        <v>57514.543360000003</v>
      </c>
      <c r="D47" s="56">
        <v>4.0000000000000002E-4</v>
      </c>
      <c r="E47">
        <f t="shared" si="0"/>
        <v>17194.539320212676</v>
      </c>
      <c r="F47">
        <f t="shared" si="1"/>
        <v>17194.5</v>
      </c>
      <c r="G47">
        <f t="shared" si="2"/>
        <v>1.4125000001513399E-2</v>
      </c>
      <c r="K47">
        <f t="shared" si="6"/>
        <v>1.4125000001513399E-2</v>
      </c>
      <c r="O47">
        <f t="shared" ca="1" si="3"/>
        <v>1.4612030793370586E-2</v>
      </c>
      <c r="Q47" s="2">
        <f t="shared" si="4"/>
        <v>42496.043360000003</v>
      </c>
    </row>
    <row r="48" spans="1:17" x14ac:dyDescent="0.2">
      <c r="A48" s="53" t="s">
        <v>0</v>
      </c>
      <c r="B48" s="58" t="s">
        <v>44</v>
      </c>
      <c r="C48" s="57">
        <v>57524.4231</v>
      </c>
      <c r="D48" s="57">
        <v>2.9999999999999997E-4</v>
      </c>
      <c r="E48">
        <f t="shared" si="0"/>
        <v>17222.041867327331</v>
      </c>
      <c r="F48">
        <f t="shared" si="1"/>
        <v>17222</v>
      </c>
      <c r="G48">
        <f t="shared" si="2"/>
        <v>1.5039999998407438E-2</v>
      </c>
      <c r="K48">
        <f t="shared" si="6"/>
        <v>1.5039999998407438E-2</v>
      </c>
      <c r="O48">
        <f t="shared" ca="1" si="3"/>
        <v>1.4608006709699198E-2</v>
      </c>
      <c r="Q48" s="2">
        <f t="shared" si="4"/>
        <v>42505.9231</v>
      </c>
    </row>
    <row r="49" spans="1:17" x14ac:dyDescent="0.2">
      <c r="A49" s="53" t="s">
        <v>0</v>
      </c>
      <c r="B49" s="58" t="s">
        <v>44</v>
      </c>
      <c r="C49" s="57">
        <v>57524.601799999997</v>
      </c>
      <c r="D49" s="57">
        <v>2.0000000000000001E-4</v>
      </c>
      <c r="E49">
        <f t="shared" si="0"/>
        <v>17222.539320212658</v>
      </c>
      <c r="F49">
        <f t="shared" si="1"/>
        <v>17222.5</v>
      </c>
      <c r="G49">
        <f t="shared" si="2"/>
        <v>1.4124999994237442E-2</v>
      </c>
      <c r="K49">
        <f t="shared" si="6"/>
        <v>1.4124999994237442E-2</v>
      </c>
      <c r="O49">
        <f t="shared" ca="1" si="3"/>
        <v>1.4607933544541537E-2</v>
      </c>
      <c r="Q49" s="2">
        <f t="shared" si="4"/>
        <v>42506.101799999997</v>
      </c>
    </row>
    <row r="50" spans="1:17" x14ac:dyDescent="0.2">
      <c r="A50" s="53" t="s">
        <v>0</v>
      </c>
      <c r="B50" s="58" t="s">
        <v>44</v>
      </c>
      <c r="C50" s="57">
        <v>57823.659800000001</v>
      </c>
      <c r="D50" s="57">
        <v>5.9999999999999995E-4</v>
      </c>
      <c r="E50">
        <f t="shared" si="0"/>
        <v>18055.036606074096</v>
      </c>
      <c r="F50">
        <f t="shared" si="1"/>
        <v>18055</v>
      </c>
      <c r="G50">
        <f t="shared" si="2"/>
        <v>1.314999999885913E-2</v>
      </c>
      <c r="K50">
        <f t="shared" si="6"/>
        <v>1.314999999885913E-2</v>
      </c>
      <c r="O50">
        <f t="shared" ca="1" si="3"/>
        <v>1.4486113557035028E-2</v>
      </c>
      <c r="Q50" s="2">
        <f t="shared" si="4"/>
        <v>42805.159800000001</v>
      </c>
    </row>
    <row r="51" spans="1:17" x14ac:dyDescent="0.2">
      <c r="A51" s="53" t="s">
        <v>0</v>
      </c>
      <c r="B51" s="58" t="s">
        <v>44</v>
      </c>
      <c r="C51" s="57">
        <v>57855.631300000001</v>
      </c>
      <c r="D51" s="57">
        <v>6.9999999999999999E-4</v>
      </c>
      <c r="E51">
        <f t="shared" si="0"/>
        <v>18144.036689586053</v>
      </c>
      <c r="F51">
        <f t="shared" si="1"/>
        <v>18144</v>
      </c>
      <c r="G51">
        <f t="shared" si="2"/>
        <v>1.3179999994463287E-2</v>
      </c>
      <c r="K51">
        <f t="shared" si="6"/>
        <v>1.3179999994463287E-2</v>
      </c>
      <c r="O51">
        <f t="shared" ca="1" si="3"/>
        <v>1.4473090158971269E-2</v>
      </c>
      <c r="Q51" s="2">
        <f t="shared" si="4"/>
        <v>42837.131300000001</v>
      </c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</sheetData>
  <phoneticPr fontId="7" type="noConversion"/>
  <hyperlinks>
    <hyperlink ref="H98" r:id="rId1" display="http://vsolj.cetus-net.org/bulletin.html"/>
    <hyperlink ref="H91" r:id="rId2" display="http://vsolj.cetus-net.org/bulletin.html"/>
    <hyperlink ref="H64370" r:id="rId3" display="http://vsolj.cetus-net.org/bulletin.html"/>
    <hyperlink ref="H64363" r:id="rId4" display="https://www.aavso.org/ejaavso"/>
    <hyperlink ref="AP514" r:id="rId5" display="http://cdsbib.u-strasbg.fr/cgi-bin/cdsbib?1990RMxAA..21..381G"/>
    <hyperlink ref="AP518" r:id="rId6" display="http://cdsbib.u-strasbg.fr/cgi-bin/cdsbib?1990RMxAA..21..381G"/>
    <hyperlink ref="AP517" r:id="rId7" display="http://cdsbib.u-strasbg.fr/cgi-bin/cdsbib?1990RMxAA..21..381G"/>
    <hyperlink ref="AP498" r:id="rId8" display="http://cdsbib.u-strasbg.fr/cgi-bin/cdsbib?1990RMxAA..21..381G"/>
    <hyperlink ref="I64370" r:id="rId9" display="http://vsolj.cetus-net.org/bulletin.html"/>
    <hyperlink ref="AQ654" r:id="rId10" display="http://cdsbib.u-strasbg.fr/cgi-bin/cdsbib?1990RMxAA..21..381G"/>
    <hyperlink ref="AQ55420" r:id="rId11" display="http://cdsbib.u-strasbg.fr/cgi-bin/cdsbib?1990RMxAA..21..381G"/>
    <hyperlink ref="AQ655" r:id="rId12" display="http://cdsbib.u-strasbg.fr/cgi-bin/cdsbib?1990RMxAA..21..381G"/>
    <hyperlink ref="H64367" r:id="rId13" display="https://www.aavso.org/ejaavso"/>
    <hyperlink ref="H1540" r:id="rId14" display="http://vsolj.cetus-net.org/bulletin.html"/>
    <hyperlink ref="AP2784" r:id="rId15" display="http://cdsbib.u-strasbg.fr/cgi-bin/cdsbib?1990RMxAA..21..381G"/>
    <hyperlink ref="AP2787" r:id="rId16" display="http://cdsbib.u-strasbg.fr/cgi-bin/cdsbib?1990RMxAA..21..381G"/>
    <hyperlink ref="AP2785" r:id="rId17" display="http://cdsbib.u-strasbg.fr/cgi-bin/cdsbib?1990RMxAA..21..381G"/>
    <hyperlink ref="AP2769" r:id="rId18" display="http://cdsbib.u-strasbg.fr/cgi-bin/cdsbib?1990RMxAA..21..381G"/>
    <hyperlink ref="I1540" r:id="rId19" display="http://vsolj.cetus-net.org/bulletin.html"/>
    <hyperlink ref="AQ2998" r:id="rId20" display="http://cdsbib.u-strasbg.fr/cgi-bin/cdsbib?1990RMxAA..21..381G"/>
    <hyperlink ref="AQ65235" r:id="rId21" display="http://cdsbib.u-strasbg.fr/cgi-bin/cdsbib?1990RMxAA..21..381G"/>
    <hyperlink ref="AQ3002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6"/>
  <sheetViews>
    <sheetView workbookViewId="0">
      <selection activeCell="A11" sqref="A11:D3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56</v>
      </c>
    </row>
    <row r="4" spans="1:16" x14ac:dyDescent="0.2">
      <c r="I4" s="40" t="s">
        <v>57</v>
      </c>
      <c r="J4" s="41" t="s">
        <v>56</v>
      </c>
    </row>
    <row r="5" spans="1:16" ht="13.5" thickBot="1" x14ac:dyDescent="0.25">
      <c r="I5" s="43" t="s">
        <v>58</v>
      </c>
      <c r="J5" s="44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32" si="0">P11</f>
        <v>IBVS 5837 </v>
      </c>
      <c r="B11" s="3" t="str">
        <f t="shared" ref="B11:B32" si="1">IF(H11=INT(H11),"I","II")</f>
        <v>I</v>
      </c>
      <c r="C11" s="10">
        <f t="shared" ref="C11:C32" si="2">1*G11</f>
        <v>54296.376799999998</v>
      </c>
      <c r="D11" s="12" t="str">
        <f t="shared" ref="D11:D32" si="3">VLOOKUP(F11,I$1:J$5,2,FALSE)</f>
        <v>vis</v>
      </c>
      <c r="E11" s="45">
        <f>VLOOKUP(C11,Active!C$21:E$798,3,FALSE)</f>
        <v>8236.0265011273968</v>
      </c>
      <c r="F11" s="3" t="s">
        <v>58</v>
      </c>
      <c r="G11" s="12" t="str">
        <f t="shared" ref="G11:G32" si="4">MID(I11,3,LEN(I11)-3)</f>
        <v>54296.3768</v>
      </c>
      <c r="H11" s="10">
        <f t="shared" ref="H11:H32" si="5">1*K11</f>
        <v>8236</v>
      </c>
      <c r="I11" s="46" t="s">
        <v>60</v>
      </c>
      <c r="J11" s="47" t="s">
        <v>61</v>
      </c>
      <c r="K11" s="46">
        <v>8236</v>
      </c>
      <c r="L11" s="46" t="s">
        <v>62</v>
      </c>
      <c r="M11" s="47" t="s">
        <v>63</v>
      </c>
      <c r="N11" s="47" t="s">
        <v>58</v>
      </c>
      <c r="O11" s="48" t="s">
        <v>64</v>
      </c>
      <c r="P11" s="49" t="s">
        <v>65</v>
      </c>
    </row>
    <row r="12" spans="1:16" ht="12.75" customHeight="1" thickBot="1" x14ac:dyDescent="0.25">
      <c r="A12" s="10" t="str">
        <f t="shared" si="0"/>
        <v>BAVM 209 </v>
      </c>
      <c r="B12" s="3" t="str">
        <f t="shared" si="1"/>
        <v>I</v>
      </c>
      <c r="C12" s="10">
        <f t="shared" si="2"/>
        <v>54931.502899999999</v>
      </c>
      <c r="D12" s="12" t="str">
        <f t="shared" si="3"/>
        <v>vis</v>
      </c>
      <c r="E12" s="45">
        <f>VLOOKUP(C12,Active!C$21:E$798,3,FALSE)</f>
        <v>10004.047267767159</v>
      </c>
      <c r="F12" s="3" t="s">
        <v>58</v>
      </c>
      <c r="G12" s="12" t="str">
        <f t="shared" si="4"/>
        <v>54931.5029</v>
      </c>
      <c r="H12" s="10">
        <f t="shared" si="5"/>
        <v>10004</v>
      </c>
      <c r="I12" s="46" t="s">
        <v>66</v>
      </c>
      <c r="J12" s="47" t="s">
        <v>67</v>
      </c>
      <c r="K12" s="46">
        <v>10004</v>
      </c>
      <c r="L12" s="46" t="s">
        <v>68</v>
      </c>
      <c r="M12" s="47" t="s">
        <v>63</v>
      </c>
      <c r="N12" s="47" t="s">
        <v>69</v>
      </c>
      <c r="O12" s="48" t="s">
        <v>70</v>
      </c>
      <c r="P12" s="49" t="s">
        <v>71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</v>
      </c>
      <c r="C13" s="10">
        <f t="shared" si="2"/>
        <v>54934.376300000004</v>
      </c>
      <c r="D13" s="12" t="str">
        <f t="shared" si="3"/>
        <v>vis</v>
      </c>
      <c r="E13" s="45">
        <f>VLOOKUP(C13,Active!C$21:E$798,3,FALSE)</f>
        <v>10012.046042925145</v>
      </c>
      <c r="F13" s="3" t="s">
        <v>58</v>
      </c>
      <c r="G13" s="12" t="str">
        <f t="shared" si="4"/>
        <v>54934.3763</v>
      </c>
      <c r="H13" s="10">
        <f t="shared" si="5"/>
        <v>10012</v>
      </c>
      <c r="I13" s="46" t="s">
        <v>72</v>
      </c>
      <c r="J13" s="47" t="s">
        <v>73</v>
      </c>
      <c r="K13" s="46" t="s">
        <v>74</v>
      </c>
      <c r="L13" s="46" t="s">
        <v>75</v>
      </c>
      <c r="M13" s="47" t="s">
        <v>63</v>
      </c>
      <c r="N13" s="47" t="s">
        <v>69</v>
      </c>
      <c r="O13" s="48" t="s">
        <v>70</v>
      </c>
      <c r="P13" s="49" t="s">
        <v>71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II</v>
      </c>
      <c r="C14" s="10">
        <f t="shared" si="2"/>
        <v>54934.554600000003</v>
      </c>
      <c r="D14" s="12" t="str">
        <f t="shared" si="3"/>
        <v>vis</v>
      </c>
      <c r="E14" s="45">
        <f>VLOOKUP(C14,Active!C$21:E$798,3,FALSE)</f>
        <v>10012.542382317735</v>
      </c>
      <c r="F14" s="3" t="s">
        <v>58</v>
      </c>
      <c r="G14" s="12" t="str">
        <f t="shared" si="4"/>
        <v>54934.5546</v>
      </c>
      <c r="H14" s="10">
        <f t="shared" si="5"/>
        <v>10012.5</v>
      </c>
      <c r="I14" s="46" t="s">
        <v>76</v>
      </c>
      <c r="J14" s="47" t="s">
        <v>77</v>
      </c>
      <c r="K14" s="46" t="s">
        <v>78</v>
      </c>
      <c r="L14" s="46" t="s">
        <v>79</v>
      </c>
      <c r="M14" s="47" t="s">
        <v>63</v>
      </c>
      <c r="N14" s="47" t="s">
        <v>69</v>
      </c>
      <c r="O14" s="48" t="s">
        <v>70</v>
      </c>
      <c r="P14" s="49" t="s">
        <v>71</v>
      </c>
    </row>
    <row r="15" spans="1:16" ht="12.75" customHeight="1" thickBot="1" x14ac:dyDescent="0.25">
      <c r="A15" s="10" t="str">
        <f t="shared" si="0"/>
        <v>BAVM 209 </v>
      </c>
      <c r="B15" s="3" t="str">
        <f t="shared" si="1"/>
        <v>II</v>
      </c>
      <c r="C15" s="10">
        <f t="shared" si="2"/>
        <v>54947.486400000002</v>
      </c>
      <c r="D15" s="12" t="str">
        <f t="shared" si="3"/>
        <v>vis</v>
      </c>
      <c r="E15" s="45">
        <f>VLOOKUP(C15,Active!C$21:E$798,3,FALSE)</f>
        <v>10048.541046126433</v>
      </c>
      <c r="F15" s="3" t="s">
        <v>58</v>
      </c>
      <c r="G15" s="12" t="str">
        <f t="shared" si="4"/>
        <v>54947.4864</v>
      </c>
      <c r="H15" s="10">
        <f t="shared" si="5"/>
        <v>10048.5</v>
      </c>
      <c r="I15" s="46" t="s">
        <v>80</v>
      </c>
      <c r="J15" s="47" t="s">
        <v>81</v>
      </c>
      <c r="K15" s="46" t="s">
        <v>82</v>
      </c>
      <c r="L15" s="46" t="s">
        <v>83</v>
      </c>
      <c r="M15" s="47" t="s">
        <v>63</v>
      </c>
      <c r="N15" s="47" t="s">
        <v>69</v>
      </c>
      <c r="O15" s="48" t="s">
        <v>70</v>
      </c>
      <c r="P15" s="49" t="s">
        <v>71</v>
      </c>
    </row>
    <row r="16" spans="1:16" ht="12.75" customHeight="1" thickBot="1" x14ac:dyDescent="0.25">
      <c r="A16" s="10" t="str">
        <f t="shared" si="0"/>
        <v>BAVM 214 </v>
      </c>
      <c r="B16" s="3" t="str">
        <f t="shared" si="1"/>
        <v>I</v>
      </c>
      <c r="C16" s="10">
        <f t="shared" si="2"/>
        <v>55314.442799999997</v>
      </c>
      <c r="D16" s="12" t="str">
        <f t="shared" si="3"/>
        <v>vis</v>
      </c>
      <c r="E16" s="45">
        <f>VLOOKUP(C16,Active!C$21:E$798,3,FALSE)</f>
        <v>11070.049272054099</v>
      </c>
      <c r="F16" s="3" t="s">
        <v>58</v>
      </c>
      <c r="G16" s="12" t="str">
        <f t="shared" si="4"/>
        <v>55314.4428</v>
      </c>
      <c r="H16" s="10">
        <f t="shared" si="5"/>
        <v>11070</v>
      </c>
      <c r="I16" s="46" t="s">
        <v>84</v>
      </c>
      <c r="J16" s="47" t="s">
        <v>85</v>
      </c>
      <c r="K16" s="46" t="s">
        <v>86</v>
      </c>
      <c r="L16" s="46" t="s">
        <v>87</v>
      </c>
      <c r="M16" s="47" t="s">
        <v>63</v>
      </c>
      <c r="N16" s="47" t="s">
        <v>69</v>
      </c>
      <c r="O16" s="48" t="s">
        <v>70</v>
      </c>
      <c r="P16" s="49" t="s">
        <v>88</v>
      </c>
    </row>
    <row r="17" spans="1:16" ht="12.75" customHeight="1" thickBot="1" x14ac:dyDescent="0.25">
      <c r="A17" s="10" t="str">
        <f t="shared" si="0"/>
        <v>BAVM 214 </v>
      </c>
      <c r="B17" s="3" t="str">
        <f t="shared" si="1"/>
        <v>II</v>
      </c>
      <c r="C17" s="10">
        <f t="shared" si="2"/>
        <v>55372.457900000001</v>
      </c>
      <c r="D17" s="12" t="str">
        <f t="shared" si="3"/>
        <v>vis</v>
      </c>
      <c r="E17" s="45">
        <f>VLOOKUP(C17,Active!C$21:E$798,3,FALSE)</f>
        <v>11231.547754920241</v>
      </c>
      <c r="F17" s="3" t="s">
        <v>58</v>
      </c>
      <c r="G17" s="12" t="str">
        <f t="shared" si="4"/>
        <v>55372.4579</v>
      </c>
      <c r="H17" s="10">
        <f t="shared" si="5"/>
        <v>11231.5</v>
      </c>
      <c r="I17" s="46" t="s">
        <v>89</v>
      </c>
      <c r="J17" s="47" t="s">
        <v>90</v>
      </c>
      <c r="K17" s="46" t="s">
        <v>91</v>
      </c>
      <c r="L17" s="46" t="s">
        <v>92</v>
      </c>
      <c r="M17" s="47" t="s">
        <v>63</v>
      </c>
      <c r="N17" s="47" t="s">
        <v>69</v>
      </c>
      <c r="O17" s="48" t="s">
        <v>70</v>
      </c>
      <c r="P17" s="49" t="s">
        <v>88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II</v>
      </c>
      <c r="C18" s="10">
        <f t="shared" si="2"/>
        <v>55659.480499999998</v>
      </c>
      <c r="D18" s="12" t="str">
        <f t="shared" si="3"/>
        <v>vis</v>
      </c>
      <c r="E18" s="45">
        <f>VLOOKUP(C18,Active!C$21:E$798,3,FALSE)</f>
        <v>12030.54171422207</v>
      </c>
      <c r="F18" s="3" t="s">
        <v>58</v>
      </c>
      <c r="G18" s="12" t="str">
        <f t="shared" si="4"/>
        <v>55659.4805</v>
      </c>
      <c r="H18" s="10">
        <f t="shared" si="5"/>
        <v>12030.5</v>
      </c>
      <c r="I18" s="46" t="s">
        <v>93</v>
      </c>
      <c r="J18" s="47" t="s">
        <v>94</v>
      </c>
      <c r="K18" s="46" t="s">
        <v>95</v>
      </c>
      <c r="L18" s="46" t="s">
        <v>96</v>
      </c>
      <c r="M18" s="47" t="s">
        <v>63</v>
      </c>
      <c r="N18" s="47" t="s">
        <v>69</v>
      </c>
      <c r="O18" s="48" t="s">
        <v>70</v>
      </c>
      <c r="P18" s="49" t="s">
        <v>97</v>
      </c>
    </row>
    <row r="19" spans="1:16" ht="12.75" customHeight="1" thickBot="1" x14ac:dyDescent="0.25">
      <c r="A19" s="10" t="str">
        <f t="shared" si="0"/>
        <v>BAVM 220 </v>
      </c>
      <c r="B19" s="3" t="str">
        <f t="shared" si="1"/>
        <v>I</v>
      </c>
      <c r="C19" s="10">
        <f t="shared" si="2"/>
        <v>55661.46</v>
      </c>
      <c r="D19" s="12" t="str">
        <f t="shared" si="3"/>
        <v>vis</v>
      </c>
      <c r="E19" s="45">
        <f>VLOOKUP(C19,Active!C$21:E$798,3,FALSE)</f>
        <v>12036.052111460613</v>
      </c>
      <c r="F19" s="3" t="s">
        <v>58</v>
      </c>
      <c r="G19" s="12" t="str">
        <f t="shared" si="4"/>
        <v>55661.4600</v>
      </c>
      <c r="H19" s="10">
        <f t="shared" si="5"/>
        <v>12036</v>
      </c>
      <c r="I19" s="46" t="s">
        <v>98</v>
      </c>
      <c r="J19" s="47" t="s">
        <v>99</v>
      </c>
      <c r="K19" s="46" t="s">
        <v>100</v>
      </c>
      <c r="L19" s="46" t="s">
        <v>101</v>
      </c>
      <c r="M19" s="47" t="s">
        <v>63</v>
      </c>
      <c r="N19" s="47" t="s">
        <v>69</v>
      </c>
      <c r="O19" s="48" t="s">
        <v>70</v>
      </c>
      <c r="P19" s="49" t="s">
        <v>97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</v>
      </c>
      <c r="C20" s="10">
        <f t="shared" si="2"/>
        <v>55671.516600000003</v>
      </c>
      <c r="D20" s="12" t="str">
        <f t="shared" si="3"/>
        <v>vis</v>
      </c>
      <c r="E20" s="45">
        <f>VLOOKUP(C20,Active!C$21:E$798,3,FALSE)</f>
        <v>12064.046989393979</v>
      </c>
      <c r="F20" s="3" t="s">
        <v>58</v>
      </c>
      <c r="G20" s="12" t="str">
        <f t="shared" si="4"/>
        <v>55671.5166</v>
      </c>
      <c r="H20" s="10">
        <f t="shared" si="5"/>
        <v>12064</v>
      </c>
      <c r="I20" s="46" t="s">
        <v>102</v>
      </c>
      <c r="J20" s="47" t="s">
        <v>103</v>
      </c>
      <c r="K20" s="46" t="s">
        <v>104</v>
      </c>
      <c r="L20" s="46" t="s">
        <v>105</v>
      </c>
      <c r="M20" s="47" t="s">
        <v>63</v>
      </c>
      <c r="N20" s="47" t="s">
        <v>69</v>
      </c>
      <c r="O20" s="48" t="s">
        <v>70</v>
      </c>
      <c r="P20" s="49" t="s">
        <v>97</v>
      </c>
    </row>
    <row r="21" spans="1:16" ht="12.75" customHeight="1" thickBot="1" x14ac:dyDescent="0.25">
      <c r="A21" s="10" t="str">
        <f t="shared" si="0"/>
        <v>IBVS 6033 </v>
      </c>
      <c r="B21" s="3" t="str">
        <f t="shared" si="1"/>
        <v>II</v>
      </c>
      <c r="C21" s="10">
        <f t="shared" si="2"/>
        <v>56060.381699999998</v>
      </c>
      <c r="D21" s="12" t="str">
        <f t="shared" si="3"/>
        <v>vis</v>
      </c>
      <c r="E21" s="45">
        <f>VLOOKUP(C21,Active!C$21:E$798,3,FALSE)</f>
        <v>13146.543161762644</v>
      </c>
      <c r="F21" s="3" t="s">
        <v>58</v>
      </c>
      <c r="G21" s="12" t="str">
        <f t="shared" si="4"/>
        <v>56060.3817</v>
      </c>
      <c r="H21" s="10">
        <f t="shared" si="5"/>
        <v>13146.5</v>
      </c>
      <c r="I21" s="46" t="s">
        <v>106</v>
      </c>
      <c r="J21" s="47" t="s">
        <v>107</v>
      </c>
      <c r="K21" s="46" t="s">
        <v>108</v>
      </c>
      <c r="L21" s="46" t="s">
        <v>109</v>
      </c>
      <c r="M21" s="47" t="s">
        <v>63</v>
      </c>
      <c r="N21" s="47" t="s">
        <v>110</v>
      </c>
      <c r="O21" s="48" t="s">
        <v>111</v>
      </c>
      <c r="P21" s="49" t="s">
        <v>112</v>
      </c>
    </row>
    <row r="22" spans="1:16" ht="12.75" customHeight="1" thickBot="1" x14ac:dyDescent="0.25">
      <c r="A22" s="10" t="str">
        <f t="shared" si="0"/>
        <v>IBVS 6033 </v>
      </c>
      <c r="B22" s="3" t="str">
        <f t="shared" si="1"/>
        <v>I</v>
      </c>
      <c r="C22" s="10">
        <f t="shared" si="2"/>
        <v>56060.561300000001</v>
      </c>
      <c r="D22" s="12" t="str">
        <f t="shared" si="3"/>
        <v>vis</v>
      </c>
      <c r="E22" s="45">
        <f>VLOOKUP(C22,Active!C$21:E$798,3,FALSE)</f>
        <v>13147.043120006674</v>
      </c>
      <c r="F22" s="3" t="s">
        <v>58</v>
      </c>
      <c r="G22" s="12" t="str">
        <f t="shared" si="4"/>
        <v>56060.5613</v>
      </c>
      <c r="H22" s="10">
        <f t="shared" si="5"/>
        <v>13147</v>
      </c>
      <c r="I22" s="46" t="s">
        <v>113</v>
      </c>
      <c r="J22" s="47" t="s">
        <v>114</v>
      </c>
      <c r="K22" s="46" t="s">
        <v>115</v>
      </c>
      <c r="L22" s="46" t="s">
        <v>109</v>
      </c>
      <c r="M22" s="47" t="s">
        <v>63</v>
      </c>
      <c r="N22" s="47" t="s">
        <v>110</v>
      </c>
      <c r="O22" s="48" t="s">
        <v>111</v>
      </c>
      <c r="P22" s="49" t="s">
        <v>112</v>
      </c>
    </row>
    <row r="23" spans="1:16" ht="12.75" customHeight="1" thickBot="1" x14ac:dyDescent="0.25">
      <c r="A23" s="10" t="str">
        <f t="shared" si="0"/>
        <v>IBVS 6033 </v>
      </c>
      <c r="B23" s="3" t="str">
        <f t="shared" si="1"/>
        <v>I</v>
      </c>
      <c r="C23" s="10">
        <f t="shared" si="2"/>
        <v>56063.434200000003</v>
      </c>
      <c r="D23" s="12" t="str">
        <f t="shared" si="3"/>
        <v>vis</v>
      </c>
      <c r="E23" s="45">
        <f>VLOOKUP(C23,Active!C$21:E$798,3,FALSE)</f>
        <v>13155.040503298722</v>
      </c>
      <c r="F23" s="3" t="s">
        <v>58</v>
      </c>
      <c r="G23" s="12" t="str">
        <f t="shared" si="4"/>
        <v>56063.4342</v>
      </c>
      <c r="H23" s="10">
        <f t="shared" si="5"/>
        <v>13155</v>
      </c>
      <c r="I23" s="46" t="s">
        <v>116</v>
      </c>
      <c r="J23" s="47" t="s">
        <v>117</v>
      </c>
      <c r="K23" s="46" t="s">
        <v>118</v>
      </c>
      <c r="L23" s="46" t="s">
        <v>119</v>
      </c>
      <c r="M23" s="47" t="s">
        <v>63</v>
      </c>
      <c r="N23" s="47" t="s">
        <v>110</v>
      </c>
      <c r="O23" s="48" t="s">
        <v>111</v>
      </c>
      <c r="P23" s="49" t="s">
        <v>112</v>
      </c>
    </row>
    <row r="24" spans="1:16" ht="12.75" customHeight="1" thickBot="1" x14ac:dyDescent="0.25">
      <c r="A24" s="10" t="str">
        <f t="shared" si="0"/>
        <v>OEJV 0160 </v>
      </c>
      <c r="B24" s="3" t="str">
        <f t="shared" si="1"/>
        <v>II</v>
      </c>
      <c r="C24" s="10">
        <f t="shared" si="2"/>
        <v>56065.408109999997</v>
      </c>
      <c r="D24" s="12" t="str">
        <f t="shared" si="3"/>
        <v>vis</v>
      </c>
      <c r="E24" s="45">
        <f>VLOOKUP(C24,Active!C$21:E$798,3,FALSE)</f>
        <v>13160.535339476082</v>
      </c>
      <c r="F24" s="3" t="s">
        <v>58</v>
      </c>
      <c r="G24" s="12" t="str">
        <f t="shared" si="4"/>
        <v>56065.40811</v>
      </c>
      <c r="H24" s="10">
        <f t="shared" si="5"/>
        <v>13160.5</v>
      </c>
      <c r="I24" s="46" t="s">
        <v>120</v>
      </c>
      <c r="J24" s="47" t="s">
        <v>121</v>
      </c>
      <c r="K24" s="46" t="s">
        <v>122</v>
      </c>
      <c r="L24" s="46" t="s">
        <v>123</v>
      </c>
      <c r="M24" s="47" t="s">
        <v>63</v>
      </c>
      <c r="N24" s="47" t="s">
        <v>58</v>
      </c>
      <c r="O24" s="48" t="s">
        <v>111</v>
      </c>
      <c r="P24" s="49" t="s">
        <v>124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II</v>
      </c>
      <c r="C25" s="10">
        <f t="shared" si="2"/>
        <v>56065.412300000004</v>
      </c>
      <c r="D25" s="12" t="str">
        <f t="shared" si="3"/>
        <v>vis</v>
      </c>
      <c r="E25" s="45">
        <f>VLOOKUP(C25,Active!C$21:E$798,3,FALSE)</f>
        <v>13160.547003312642</v>
      </c>
      <c r="F25" s="3" t="s">
        <v>58</v>
      </c>
      <c r="G25" s="12" t="str">
        <f t="shared" si="4"/>
        <v>56065.4123</v>
      </c>
      <c r="H25" s="10">
        <f t="shared" si="5"/>
        <v>13160.5</v>
      </c>
      <c r="I25" s="46" t="s">
        <v>125</v>
      </c>
      <c r="J25" s="47" t="s">
        <v>126</v>
      </c>
      <c r="K25" s="46" t="s">
        <v>122</v>
      </c>
      <c r="L25" s="46" t="s">
        <v>105</v>
      </c>
      <c r="M25" s="47" t="s">
        <v>63</v>
      </c>
      <c r="N25" s="47" t="s">
        <v>127</v>
      </c>
      <c r="O25" s="48" t="s">
        <v>111</v>
      </c>
      <c r="P25" s="49" t="s">
        <v>124</v>
      </c>
    </row>
    <row r="26" spans="1:16" ht="12.75" customHeight="1" thickBot="1" x14ac:dyDescent="0.25">
      <c r="A26" s="10" t="str">
        <f t="shared" si="0"/>
        <v>OEJV 0160 </v>
      </c>
      <c r="B26" s="3" t="str">
        <f t="shared" si="1"/>
        <v>I</v>
      </c>
      <c r="C26" s="10">
        <f t="shared" si="2"/>
        <v>56065.588920000002</v>
      </c>
      <c r="D26" s="12" t="str">
        <f t="shared" si="3"/>
        <v>vis</v>
      </c>
      <c r="E26" s="45">
        <f>VLOOKUP(C26,Active!C$21:E$798,3,FALSE)</f>
        <v>13161.038666035683</v>
      </c>
      <c r="F26" s="3" t="s">
        <v>58</v>
      </c>
      <c r="G26" s="12" t="str">
        <f t="shared" si="4"/>
        <v>56065.58892</v>
      </c>
      <c r="H26" s="10">
        <f t="shared" si="5"/>
        <v>13161</v>
      </c>
      <c r="I26" s="46" t="s">
        <v>128</v>
      </c>
      <c r="J26" s="47" t="s">
        <v>129</v>
      </c>
      <c r="K26" s="46" t="s">
        <v>130</v>
      </c>
      <c r="L26" s="46" t="s">
        <v>131</v>
      </c>
      <c r="M26" s="47" t="s">
        <v>63</v>
      </c>
      <c r="N26" s="47" t="s">
        <v>58</v>
      </c>
      <c r="O26" s="48" t="s">
        <v>111</v>
      </c>
      <c r="P26" s="49" t="s">
        <v>124</v>
      </c>
    </row>
    <row r="27" spans="1:16" ht="12.75" customHeight="1" thickBot="1" x14ac:dyDescent="0.25">
      <c r="A27" s="10" t="str">
        <f t="shared" si="0"/>
        <v>OEJV 0160 </v>
      </c>
      <c r="B27" s="3" t="str">
        <f t="shared" si="1"/>
        <v>I</v>
      </c>
      <c r="C27" s="10">
        <f t="shared" si="2"/>
        <v>56065.590790000002</v>
      </c>
      <c r="D27" s="12" t="str">
        <f t="shared" si="3"/>
        <v>vis</v>
      </c>
      <c r="E27" s="45">
        <f>VLOOKUP(C27,Active!C$21:E$798,3,FALSE)</f>
        <v>13161.043871614282</v>
      </c>
      <c r="F27" s="3" t="s">
        <v>58</v>
      </c>
      <c r="G27" s="12" t="str">
        <f t="shared" si="4"/>
        <v>56065.59079</v>
      </c>
      <c r="H27" s="10">
        <f t="shared" si="5"/>
        <v>13161</v>
      </c>
      <c r="I27" s="46" t="s">
        <v>132</v>
      </c>
      <c r="J27" s="47" t="s">
        <v>133</v>
      </c>
      <c r="K27" s="46" t="s">
        <v>130</v>
      </c>
      <c r="L27" s="46" t="s">
        <v>134</v>
      </c>
      <c r="M27" s="47" t="s">
        <v>63</v>
      </c>
      <c r="N27" s="47" t="s">
        <v>127</v>
      </c>
      <c r="O27" s="48" t="s">
        <v>111</v>
      </c>
      <c r="P27" s="49" t="s">
        <v>124</v>
      </c>
    </row>
    <row r="28" spans="1:16" ht="12.75" customHeight="1" thickBot="1" x14ac:dyDescent="0.25">
      <c r="A28" s="10" t="str">
        <f t="shared" si="0"/>
        <v>OEJV 0160 </v>
      </c>
      <c r="B28" s="3" t="str">
        <f t="shared" si="1"/>
        <v>I</v>
      </c>
      <c r="C28" s="10">
        <f t="shared" si="2"/>
        <v>56067.386830000003</v>
      </c>
      <c r="D28" s="12" t="str">
        <f t="shared" si="3"/>
        <v>vis</v>
      </c>
      <c r="E28" s="45">
        <f>VLOOKUP(C28,Active!C$21:E$798,3,FALSE)</f>
        <v>13166.043565403779</v>
      </c>
      <c r="F28" s="3" t="s">
        <v>58</v>
      </c>
      <c r="G28" s="12" t="str">
        <f t="shared" si="4"/>
        <v>56067.38683</v>
      </c>
      <c r="H28" s="10">
        <f t="shared" si="5"/>
        <v>13166</v>
      </c>
      <c r="I28" s="46" t="s">
        <v>135</v>
      </c>
      <c r="J28" s="47" t="s">
        <v>136</v>
      </c>
      <c r="K28" s="46" t="s">
        <v>137</v>
      </c>
      <c r="L28" s="46" t="s">
        <v>138</v>
      </c>
      <c r="M28" s="47" t="s">
        <v>63</v>
      </c>
      <c r="N28" s="47" t="s">
        <v>58</v>
      </c>
      <c r="O28" s="48" t="s">
        <v>111</v>
      </c>
      <c r="P28" s="49" t="s">
        <v>124</v>
      </c>
    </row>
    <row r="29" spans="1:16" ht="12.75" customHeight="1" thickBot="1" x14ac:dyDescent="0.25">
      <c r="A29" s="10" t="str">
        <f t="shared" si="0"/>
        <v>OEJV 0160 </v>
      </c>
      <c r="B29" s="3" t="str">
        <f t="shared" si="1"/>
        <v>I</v>
      </c>
      <c r="C29" s="10">
        <f t="shared" si="2"/>
        <v>56067.388330000002</v>
      </c>
      <c r="D29" s="12" t="str">
        <f t="shared" si="3"/>
        <v>vis</v>
      </c>
      <c r="E29" s="45">
        <f>VLOOKUP(C29,Active!C$21:E$798,3,FALSE)</f>
        <v>13166.047741001581</v>
      </c>
      <c r="F29" s="3" t="s">
        <v>58</v>
      </c>
      <c r="G29" s="12" t="str">
        <f t="shared" si="4"/>
        <v>56067.38833</v>
      </c>
      <c r="H29" s="10">
        <f t="shared" si="5"/>
        <v>13166</v>
      </c>
      <c r="I29" s="46" t="s">
        <v>139</v>
      </c>
      <c r="J29" s="47" t="s">
        <v>140</v>
      </c>
      <c r="K29" s="46" t="s">
        <v>137</v>
      </c>
      <c r="L29" s="46" t="s">
        <v>141</v>
      </c>
      <c r="M29" s="47" t="s">
        <v>63</v>
      </c>
      <c r="N29" s="47" t="s">
        <v>127</v>
      </c>
      <c r="O29" s="48" t="s">
        <v>111</v>
      </c>
      <c r="P29" s="49" t="s">
        <v>124</v>
      </c>
    </row>
    <row r="30" spans="1:16" ht="12.75" customHeight="1" thickBot="1" x14ac:dyDescent="0.25">
      <c r="A30" s="10" t="str">
        <f t="shared" si="0"/>
        <v>IBVS 6033 </v>
      </c>
      <c r="B30" s="3" t="str">
        <f t="shared" si="1"/>
        <v>II</v>
      </c>
      <c r="C30" s="10">
        <f t="shared" si="2"/>
        <v>56075.4689</v>
      </c>
      <c r="D30" s="12" t="str">
        <f t="shared" si="3"/>
        <v>vis</v>
      </c>
      <c r="E30" s="45">
        <f>VLOOKUP(C30,Active!C$21:E$798,3,FALSE)</f>
        <v>13188.541881245988</v>
      </c>
      <c r="F30" s="3" t="s">
        <v>58</v>
      </c>
      <c r="G30" s="12" t="str">
        <f t="shared" si="4"/>
        <v>56075.4689</v>
      </c>
      <c r="H30" s="10">
        <f t="shared" si="5"/>
        <v>13188.5</v>
      </c>
      <c r="I30" s="46" t="s">
        <v>142</v>
      </c>
      <c r="J30" s="47" t="s">
        <v>143</v>
      </c>
      <c r="K30" s="46" t="s">
        <v>144</v>
      </c>
      <c r="L30" s="46" t="s">
        <v>96</v>
      </c>
      <c r="M30" s="47" t="s">
        <v>63</v>
      </c>
      <c r="N30" s="47" t="s">
        <v>110</v>
      </c>
      <c r="O30" s="48" t="s">
        <v>111</v>
      </c>
      <c r="P30" s="49" t="s">
        <v>112</v>
      </c>
    </row>
    <row r="31" spans="1:16" ht="12.75" customHeight="1" thickBot="1" x14ac:dyDescent="0.25">
      <c r="A31" s="10" t="str">
        <f t="shared" si="0"/>
        <v>OEJV 0160 </v>
      </c>
      <c r="B31" s="3" t="str">
        <f t="shared" si="1"/>
        <v>I</v>
      </c>
      <c r="C31" s="10">
        <f t="shared" si="2"/>
        <v>56076.364860000001</v>
      </c>
      <c r="D31" s="12" t="str">
        <f t="shared" si="3"/>
        <v>vis</v>
      </c>
      <c r="E31" s="45">
        <f>VLOOKUP(C31,Active!C$21:E$798,3,FALSE)</f>
        <v>13191.035993653086</v>
      </c>
      <c r="F31" s="3" t="s">
        <v>58</v>
      </c>
      <c r="G31" s="12" t="str">
        <f t="shared" si="4"/>
        <v>56076.36486</v>
      </c>
      <c r="H31" s="10">
        <f t="shared" si="5"/>
        <v>13191</v>
      </c>
      <c r="I31" s="46" t="s">
        <v>145</v>
      </c>
      <c r="J31" s="47" t="s">
        <v>146</v>
      </c>
      <c r="K31" s="46" t="s">
        <v>147</v>
      </c>
      <c r="L31" s="46" t="s">
        <v>148</v>
      </c>
      <c r="M31" s="47" t="s">
        <v>63</v>
      </c>
      <c r="N31" s="47" t="s">
        <v>50</v>
      </c>
      <c r="O31" s="48" t="s">
        <v>111</v>
      </c>
      <c r="P31" s="49" t="s">
        <v>124</v>
      </c>
    </row>
    <row r="32" spans="1:16" ht="12.75" customHeight="1" thickBot="1" x14ac:dyDescent="0.25">
      <c r="A32" s="10" t="str">
        <f t="shared" si="0"/>
        <v>OEJV 0160 </v>
      </c>
      <c r="B32" s="3" t="str">
        <f t="shared" si="1"/>
        <v>II</v>
      </c>
      <c r="C32" s="10">
        <f t="shared" si="2"/>
        <v>56076.548750000002</v>
      </c>
      <c r="D32" s="12" t="str">
        <f t="shared" si="3"/>
        <v>vis</v>
      </c>
      <c r="E32" s="45">
        <f>VLOOKUP(C32,Active!C$21:E$798,3,FALSE)</f>
        <v>13191.547894106836</v>
      </c>
      <c r="F32" s="3" t="s">
        <v>58</v>
      </c>
      <c r="G32" s="12" t="str">
        <f t="shared" si="4"/>
        <v>56076.54875</v>
      </c>
      <c r="H32" s="10">
        <f t="shared" si="5"/>
        <v>13191.5</v>
      </c>
      <c r="I32" s="46" t="s">
        <v>149</v>
      </c>
      <c r="J32" s="47" t="s">
        <v>150</v>
      </c>
      <c r="K32" s="46" t="s">
        <v>151</v>
      </c>
      <c r="L32" s="46" t="s">
        <v>152</v>
      </c>
      <c r="M32" s="47" t="s">
        <v>63</v>
      </c>
      <c r="N32" s="47" t="s">
        <v>50</v>
      </c>
      <c r="O32" s="48" t="s">
        <v>111</v>
      </c>
      <c r="P32" s="49" t="s">
        <v>124</v>
      </c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E43" s="45"/>
      <c r="F43" s="3"/>
    </row>
    <row r="44" spans="2:6" x14ac:dyDescent="0.2">
      <c r="B44" s="3"/>
      <c r="E44" s="45"/>
      <c r="F44" s="3"/>
    </row>
    <row r="45" spans="2:6" x14ac:dyDescent="0.2">
      <c r="B45" s="3"/>
      <c r="E45" s="45"/>
      <c r="F45" s="3"/>
    </row>
    <row r="46" spans="2:6" x14ac:dyDescent="0.2">
      <c r="B46" s="3"/>
      <c r="E46" s="45"/>
      <c r="F46" s="3"/>
    </row>
    <row r="47" spans="2:6" x14ac:dyDescent="0.2">
      <c r="B47" s="3"/>
      <c r="E47" s="45"/>
      <c r="F47" s="3"/>
    </row>
    <row r="48" spans="2:6" x14ac:dyDescent="0.2">
      <c r="B48" s="3"/>
      <c r="E48" s="45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</sheetData>
  <phoneticPr fontId="7" type="noConversion"/>
  <hyperlinks>
    <hyperlink ref="P11" r:id="rId1" display="http://www.konkoly.hu/cgi-bin/IBVS?5837"/>
    <hyperlink ref="P12" r:id="rId2" display="http://www.bav-astro.de/sfs/BAVM_link.php?BAVMnr=209"/>
    <hyperlink ref="P13" r:id="rId3" display="http://www.bav-astro.de/sfs/BAVM_link.php?BAVMnr=209"/>
    <hyperlink ref="P14" r:id="rId4" display="http://www.bav-astro.de/sfs/BAVM_link.php?BAVMnr=209"/>
    <hyperlink ref="P15" r:id="rId5" display="http://www.bav-astro.de/sfs/BAVM_link.php?BAVMnr=209"/>
    <hyperlink ref="P16" r:id="rId6" display="http://www.bav-astro.de/sfs/BAVM_link.php?BAVMnr=214"/>
    <hyperlink ref="P17" r:id="rId7" display="http://www.bav-astro.de/sfs/BAVM_link.php?BAVMnr=214"/>
    <hyperlink ref="P18" r:id="rId8" display="http://www.bav-astro.de/sfs/BAVM_link.php?BAVMnr=220"/>
    <hyperlink ref="P19" r:id="rId9" display="http://www.bav-astro.de/sfs/BAVM_link.php?BAVMnr=220"/>
    <hyperlink ref="P20" r:id="rId10" display="http://www.bav-astro.de/sfs/BAVM_link.php?BAVMnr=220"/>
    <hyperlink ref="P21" r:id="rId11" display="http://www.konkoly.hu/cgi-bin/IBVS?6033"/>
    <hyperlink ref="P22" r:id="rId12" display="http://www.konkoly.hu/cgi-bin/IBVS?6033"/>
    <hyperlink ref="P23" r:id="rId13" display="http://www.konkoly.hu/cgi-bin/IBVS?6033"/>
    <hyperlink ref="P24" r:id="rId14" display="http://var.astro.cz/oejv/issues/oejv0160.pdf"/>
    <hyperlink ref="P25" r:id="rId15" display="http://var.astro.cz/oejv/issues/oejv0160.pdf"/>
    <hyperlink ref="P26" r:id="rId16" display="http://var.astro.cz/oejv/issues/oejv0160.pdf"/>
    <hyperlink ref="P27" r:id="rId17" display="http://var.astro.cz/oejv/issues/oejv0160.pdf"/>
    <hyperlink ref="P28" r:id="rId18" display="http://var.astro.cz/oejv/issues/oejv0160.pdf"/>
    <hyperlink ref="P29" r:id="rId19" display="http://var.astro.cz/oejv/issues/oejv0160.pdf"/>
    <hyperlink ref="P30" r:id="rId20" display="http://www.konkoly.hu/cgi-bin/IBVS?6033"/>
    <hyperlink ref="P31" r:id="rId21" display="http://var.astro.cz/oejv/issues/oejv0160.pdf"/>
    <hyperlink ref="P32" r:id="rId2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2024-02-14T05:28:18Z</dcterms:modified>
</cp:coreProperties>
</file>