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1590639-46E0-474F-8037-B25B82E4BE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8" i="1" l="1"/>
  <c r="F58" i="1" s="1"/>
  <c r="G58" i="1" s="1"/>
  <c r="J58" i="1" s="1"/>
  <c r="Q58" i="1"/>
  <c r="F14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G11" i="2"/>
  <c r="C11" i="2"/>
  <c r="E11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H11" i="2"/>
  <c r="B11" i="2"/>
  <c r="D11" i="2"/>
  <c r="A11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F11" i="1"/>
  <c r="Q51" i="1"/>
  <c r="Q21" i="1"/>
  <c r="Q22" i="1"/>
  <c r="Q43" i="1"/>
  <c r="Q46" i="1"/>
  <c r="Q47" i="1"/>
  <c r="Q48" i="1"/>
  <c r="Q49" i="1"/>
  <c r="Q50" i="1"/>
  <c r="G11" i="1"/>
  <c r="C17" i="1"/>
  <c r="Q44" i="1"/>
  <c r="Q45" i="1"/>
  <c r="Q23" i="1"/>
  <c r="Q24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B2" i="1"/>
  <c r="Q25" i="1"/>
  <c r="E49" i="1"/>
  <c r="E20" i="2" s="1"/>
  <c r="E29" i="1"/>
  <c r="F29" i="1" s="1"/>
  <c r="G29" i="1" s="1"/>
  <c r="I29" i="1" s="1"/>
  <c r="E37" i="1"/>
  <c r="F37" i="1" s="1"/>
  <c r="G37" i="1" s="1"/>
  <c r="I37" i="1" s="1"/>
  <c r="E22" i="1"/>
  <c r="F22" i="1"/>
  <c r="G22" i="1" s="1"/>
  <c r="I22" i="1" s="1"/>
  <c r="E32" i="1"/>
  <c r="F32" i="1" s="1"/>
  <c r="G32" i="1" s="1"/>
  <c r="I32" i="1" s="1"/>
  <c r="E40" i="1"/>
  <c r="F40" i="1" s="1"/>
  <c r="G40" i="1" s="1"/>
  <c r="I40" i="1" s="1"/>
  <c r="E46" i="1"/>
  <c r="E17" i="2" s="1"/>
  <c r="F46" i="1"/>
  <c r="G46" i="1" s="1"/>
  <c r="I46" i="1" s="1"/>
  <c r="E24" i="1"/>
  <c r="F24" i="1" s="1"/>
  <c r="G24" i="1" s="1"/>
  <c r="I24" i="1" s="1"/>
  <c r="E47" i="1"/>
  <c r="F47" i="1" s="1"/>
  <c r="G47" i="1" s="1"/>
  <c r="I47" i="1" s="1"/>
  <c r="E27" i="1"/>
  <c r="F27" i="1" s="1"/>
  <c r="G27" i="1" s="1"/>
  <c r="I27" i="1" s="1"/>
  <c r="E35" i="1"/>
  <c r="F35" i="1" s="1"/>
  <c r="G35" i="1" s="1"/>
  <c r="I35" i="1" s="1"/>
  <c r="E44" i="1"/>
  <c r="F44" i="1" s="1"/>
  <c r="G44" i="1" s="1"/>
  <c r="I44" i="1" s="1"/>
  <c r="E26" i="1"/>
  <c r="F26" i="1" s="1"/>
  <c r="G26" i="1" s="1"/>
  <c r="I26" i="1" s="1"/>
  <c r="E50" i="1"/>
  <c r="F50" i="1" s="1"/>
  <c r="G50" i="1" s="1"/>
  <c r="I50" i="1" s="1"/>
  <c r="E30" i="1"/>
  <c r="F30" i="1" s="1"/>
  <c r="G30" i="1" s="1"/>
  <c r="I30" i="1" s="1"/>
  <c r="E38" i="1"/>
  <c r="F38" i="1" s="1"/>
  <c r="G38" i="1" s="1"/>
  <c r="I38" i="1" s="1"/>
  <c r="E28" i="1"/>
  <c r="F28" i="1"/>
  <c r="G28" i="1" s="1"/>
  <c r="I28" i="1" s="1"/>
  <c r="E36" i="1"/>
  <c r="F36" i="1" s="1"/>
  <c r="G36" i="1" s="1"/>
  <c r="I36" i="1" s="1"/>
  <c r="E45" i="1"/>
  <c r="F45" i="1" s="1"/>
  <c r="G45" i="1" s="1"/>
  <c r="I45" i="1" s="1"/>
  <c r="E51" i="1"/>
  <c r="F51" i="1" s="1"/>
  <c r="G51" i="1" s="1"/>
  <c r="J51" i="1" s="1"/>
  <c r="E43" i="1"/>
  <c r="F43" i="1" s="1"/>
  <c r="G43" i="1" s="1"/>
  <c r="I43" i="1" s="1"/>
  <c r="E25" i="1"/>
  <c r="F25" i="1" s="1"/>
  <c r="G25" i="1" s="1"/>
  <c r="H25" i="1" s="1"/>
  <c r="E33" i="1"/>
  <c r="F33" i="1" s="1"/>
  <c r="G33" i="1" s="1"/>
  <c r="I33" i="1" s="1"/>
  <c r="E41" i="1"/>
  <c r="F41" i="1" s="1"/>
  <c r="G41" i="1" s="1"/>
  <c r="I41" i="1" s="1"/>
  <c r="E34" i="1"/>
  <c r="F34" i="1" s="1"/>
  <c r="G34" i="1" s="1"/>
  <c r="I34" i="1" s="1"/>
  <c r="E21" i="1"/>
  <c r="F21" i="1" s="1"/>
  <c r="G21" i="1" s="1"/>
  <c r="I21" i="1" s="1"/>
  <c r="E48" i="1"/>
  <c r="F48" i="1" s="1"/>
  <c r="G48" i="1" s="1"/>
  <c r="I48" i="1" s="1"/>
  <c r="E23" i="1"/>
  <c r="F23" i="1"/>
  <c r="G23" i="1" s="1"/>
  <c r="I23" i="1" s="1"/>
  <c r="E31" i="1"/>
  <c r="F31" i="1" s="1"/>
  <c r="G31" i="1" s="1"/>
  <c r="I31" i="1" s="1"/>
  <c r="E39" i="1"/>
  <c r="F39" i="1" s="1"/>
  <c r="G39" i="1" s="1"/>
  <c r="I39" i="1" s="1"/>
  <c r="E42" i="1"/>
  <c r="E13" i="2" s="1"/>
  <c r="F42" i="1"/>
  <c r="G42" i="1" s="1"/>
  <c r="I42" i="1" s="1"/>
  <c r="E19" i="2"/>
  <c r="E15" i="2"/>
  <c r="E16" i="2"/>
  <c r="E21" i="2" l="1"/>
  <c r="E22" i="2"/>
  <c r="E18" i="2"/>
  <c r="E14" i="2"/>
  <c r="F15" i="1"/>
  <c r="F49" i="1"/>
  <c r="G49" i="1" s="1"/>
  <c r="E12" i="2"/>
  <c r="C12" i="1"/>
  <c r="C11" i="1"/>
  <c r="O58" i="1" l="1"/>
  <c r="C16" i="1"/>
  <c r="D18" i="1" s="1"/>
  <c r="O29" i="1"/>
  <c r="O21" i="1"/>
  <c r="O32" i="1"/>
  <c r="O46" i="1"/>
  <c r="O47" i="1"/>
  <c r="O30" i="1"/>
  <c r="O35" i="1"/>
  <c r="O48" i="1"/>
  <c r="O49" i="1"/>
  <c r="O55" i="1"/>
  <c r="O54" i="1"/>
  <c r="O36" i="1"/>
  <c r="O33" i="1"/>
  <c r="O51" i="1"/>
  <c r="O24" i="1"/>
  <c r="O53" i="1"/>
  <c r="O25" i="1"/>
  <c r="O45" i="1"/>
  <c r="O43" i="1"/>
  <c r="O34" i="1"/>
  <c r="C15" i="1"/>
  <c r="O57" i="1"/>
  <c r="O27" i="1"/>
  <c r="O23" i="1"/>
  <c r="O40" i="1"/>
  <c r="O39" i="1"/>
  <c r="O52" i="1"/>
  <c r="O38" i="1"/>
  <c r="O31" i="1"/>
  <c r="O37" i="1"/>
  <c r="O44" i="1"/>
  <c r="O26" i="1"/>
  <c r="O56" i="1"/>
  <c r="O50" i="1"/>
  <c r="O28" i="1"/>
  <c r="O22" i="1"/>
  <c r="O41" i="1"/>
  <c r="O42" i="1"/>
  <c r="I4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<sst xmlns="http://schemas.openxmlformats.org/spreadsheetml/2006/main" count="240" uniqueCount="131">
  <si>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</si>
  <si>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</si>
  <si>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</si>
  <si>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</si>
  <si>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</si>
  <si>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</si>
  <si>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</si>
  <si>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</si>
  <si>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</si>
  <si>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</si>
  <si>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</si>
  <si>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</si>
  <si>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</si>
  <si>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</si>
  <si>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</si>
  <si>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</si>
  <si>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</si>
  <si>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</si>
  <si>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</si>
  <si>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</si>
  <si>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</si>
  <si>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</si>
  <si>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</si>
  <si>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</si>
  <si>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</si>
  <si>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</si>
  <si>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</si>
  <si>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</si>
  <si>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</si>
  <si>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</si>
  <si>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</si>
  <si>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</si>
  <si>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</si>
  <si>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</si>
  <si>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</si>
  <si>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</si>
  <si>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</si>
  <si>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V1102 Her / GSC 3532-0939               </t>
  </si>
  <si>
    <t xml:space="preserve">EW        </t>
  </si>
  <si>
    <t>IBVS 5781</t>
  </si>
  <si>
    <t>IBVS 5438</t>
  </si>
  <si>
    <t>II</t>
  </si>
  <si>
    <t>IBVS 5543</t>
  </si>
  <si>
    <t>IBVS 5713</t>
  </si>
  <si>
    <t>IBVS 5920</t>
  </si>
  <si>
    <t>IBVS 5945</t>
  </si>
  <si>
    <t>Add cycle</t>
  </si>
  <si>
    <t>Old Cycle</t>
  </si>
  <si>
    <t>IBVS 5333</t>
  </si>
  <si>
    <t>IBVS 5918</t>
  </si>
  <si>
    <t>IBVS 5959</t>
  </si>
  <si>
    <t>IBVS 6010</t>
  </si>
  <si>
    <t>IBVS 6029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</si>
  <si>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</si>
  <si>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</si>
  <si>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</si>
  <si>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</si>
  <si>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</si>
  <si>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</si>
  <si>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</si>
  <si>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</si>
  <si>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</si>
  <si>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</si>
  <si>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</si>
  <si>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</si>
  <si>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2453941.434 </t>
  </si>
  <si>
    <t> 24.07.2006 22:24 </t>
  </si>
  <si>
    <t> 0.006 </t>
  </si>
  <si>
    <t>C </t>
  </si>
  <si>
    <t>R</t>
  </si>
  <si>
    <t> E.Blättler </t>
  </si>
  <si>
    <t>IBVS 5781 </t>
  </si>
  <si>
    <t>2454217.3736 </t>
  </si>
  <si>
    <t> 26.04.2007 20:57 </t>
  </si>
  <si>
    <t> 0.0045 </t>
  </si>
  <si>
    <t>2454971.5024 </t>
  </si>
  <si>
    <t> 20.05.2009 00:03 </t>
  </si>
  <si>
    <t> 0.0066 </t>
  </si>
  <si>
    <t>-I</t>
  </si>
  <si>
    <t> F.Agerer </t>
  </si>
  <si>
    <t>BAVM 209 </t>
  </si>
  <si>
    <t>2455067.4443 </t>
  </si>
  <si>
    <t> 23.08.2009 22:39 </t>
  </si>
  <si>
    <t>8223</t>
  </si>
  <si>
    <t> 0.0025 </t>
  </si>
  <si>
    <t>IBVS 5920 </t>
  </si>
  <si>
    <t>2455327.7830 </t>
  </si>
  <si>
    <t> 11.05.2010 06:47 </t>
  </si>
  <si>
    <t>9065.5</t>
  </si>
  <si>
    <t> R.Diethelm </t>
  </si>
  <si>
    <t>IBVS 5945 </t>
  </si>
  <si>
    <t>2455357.4478 </t>
  </si>
  <si>
    <t> 09.06.2010 22:44 </t>
  </si>
  <si>
    <t>9161.5</t>
  </si>
  <si>
    <t> 0.0048 </t>
  </si>
  <si>
    <t>BAVM 214 </t>
  </si>
  <si>
    <t>2455672.4804 </t>
  </si>
  <si>
    <t> 20.04.2011 23:31 </t>
  </si>
  <si>
    <t>10181</t>
  </si>
  <si>
    <t> 0.0068 </t>
  </si>
  <si>
    <t>BAVM 220 </t>
  </si>
  <si>
    <t>2455682.3687 </t>
  </si>
  <si>
    <t> 30.04.2011 20:50 </t>
  </si>
  <si>
    <t>10213</t>
  </si>
  <si>
    <t> 0.0069 </t>
  </si>
  <si>
    <t>2455682.5242 </t>
  </si>
  <si>
    <t> 01.05.2011 00:34 </t>
  </si>
  <si>
    <t>10213.5</t>
  </si>
  <si>
    <t> 0.0079 </t>
  </si>
  <si>
    <t>2455741.5431 </t>
  </si>
  <si>
    <t> 29.06.2011 01:02 </t>
  </si>
  <si>
    <t>10404.5</t>
  </si>
  <si>
    <t>2456075.8891 </t>
  </si>
  <si>
    <t> 28.05.2012 09:20 </t>
  </si>
  <si>
    <t>11486.5</t>
  </si>
  <si>
    <t> 0.0095 </t>
  </si>
  <si>
    <t>IBVS 6029 </t>
  </si>
  <si>
    <t>2457114.6101 </t>
  </si>
  <si>
    <t> 02.04.2015 02:38 </t>
  </si>
  <si>
    <t>14848</t>
  </si>
  <si>
    <t> 0.0102 </t>
  </si>
  <si>
    <t> W.Moschner &amp; P.Frank </t>
  </si>
  <si>
    <t>BAVM 241 (=IBVS 6157) </t>
  </si>
  <si>
    <t>JBAV, 60</t>
  </si>
  <si>
    <t>BAV 91 Feb 2024</t>
  </si>
  <si>
    <t xml:space="preserve">Mag </t>
  </si>
  <si>
    <t>Next ToM-P</t>
  </si>
  <si>
    <t>Next ToM-S</t>
  </si>
  <si>
    <t>VSX</t>
  </si>
  <si>
    <t>13.60-14.41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</si>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</sst>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/>
    </xf>
    <xf numFmtId="0" fontId="18" fillId="3" borderId="13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22" fontId="22" fillId="0" borderId="16" xfId="0" applyNumberFormat="1" applyFont="1" applyBorder="1" applyAlignment="1">
      <alignment horizontal="right" vertical="center"/>
    </xf>
    <xf numFmtId="22" fontId="22" fillId="0" borderId="17" xfId="0" applyNumberFormat="1" applyFont="1" applyBorder="1" applyAlignment="1">
      <alignment horizontal="right" vertical="center"/>
    </xf>
    <xf numFmtId="0" fontId="18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V1102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4">
                  <c:v>1.0249999977531843E-3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0-4ACE-9040-C1C796058B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6.7250000574858859E-4</c:v>
                </c:pt>
                <c:pt idx="1">
                  <c:v>2.4699999994481914E-3</c:v>
                </c:pt>
                <c:pt idx="2">
                  <c:v>-5.1975000023958273E-3</c:v>
                </c:pt>
                <c:pt idx="3">
                  <c:v>-5.1975000023958273E-3</c:v>
                </c:pt>
                <c:pt idx="5">
                  <c:v>7.8999999823281541E-4</c:v>
                </c:pt>
                <c:pt idx="6">
                  <c:v>-4.9749999743653461E-4</c:v>
                </c:pt>
                <c:pt idx="7">
                  <c:v>2.9999999969732016E-4</c:v>
                </c:pt>
                <c:pt idx="8">
                  <c:v>-1.8100000015692785E-3</c:v>
                </c:pt>
                <c:pt idx="9">
                  <c:v>-7.1249999746214598E-4</c:v>
                </c:pt>
                <c:pt idx="10">
                  <c:v>3.2800000044517219E-3</c:v>
                </c:pt>
                <c:pt idx="11">
                  <c:v>2.4750000011408702E-4</c:v>
                </c:pt>
                <c:pt idx="12">
                  <c:v>1.7450000013923272E-3</c:v>
                </c:pt>
                <c:pt idx="13">
                  <c:v>1.7425000041839667E-3</c:v>
                </c:pt>
                <c:pt idx="14">
                  <c:v>-2.2449999960372224E-3</c:v>
                </c:pt>
                <c:pt idx="15">
                  <c:v>8.4649999989778735E-3</c:v>
                </c:pt>
                <c:pt idx="16">
                  <c:v>4.62500007415656E-4</c:v>
                </c:pt>
                <c:pt idx="17">
                  <c:v>3.9600000018253922E-3</c:v>
                </c:pt>
                <c:pt idx="18">
                  <c:v>5.8175000012852252E-3</c:v>
                </c:pt>
                <c:pt idx="19">
                  <c:v>1.0000000038417056E-3</c:v>
                </c:pt>
                <c:pt idx="20">
                  <c:v>6.4050000000861473E-3</c:v>
                </c:pt>
                <c:pt idx="21">
                  <c:v>4.5400000017252751E-3</c:v>
                </c:pt>
                <c:pt idx="22">
                  <c:v>6.6375000023981556E-3</c:v>
                </c:pt>
                <c:pt idx="23">
                  <c:v>2.4850000045262277E-3</c:v>
                </c:pt>
                <c:pt idx="24">
                  <c:v>4.4725000043399632E-3</c:v>
                </c:pt>
                <c:pt idx="25">
                  <c:v>4.7925000035320409E-3</c:v>
                </c:pt>
                <c:pt idx="26">
                  <c:v>6.7950000011478551E-3</c:v>
                </c:pt>
                <c:pt idx="27">
                  <c:v>6.9349999976111576E-3</c:v>
                </c:pt>
                <c:pt idx="28">
                  <c:v>7.9325000042445026E-3</c:v>
                </c:pt>
                <c:pt idx="29">
                  <c:v>6.8775000036112033E-3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0-4ACE-9040-C1C796058B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30">
                  <c:v>9.4675000000279397E-3</c:v>
                </c:pt>
                <c:pt idx="31">
                  <c:v>1.0159999997995328E-2</c:v>
                </c:pt>
                <c:pt idx="32">
                  <c:v>2.3660000006202608E-2</c:v>
                </c:pt>
                <c:pt idx="33">
                  <c:v>2.7882499998668209E-2</c:v>
                </c:pt>
                <c:pt idx="34">
                  <c:v>2.4380000002565794E-2</c:v>
                </c:pt>
                <c:pt idx="35">
                  <c:v>2.7179999997315463E-2</c:v>
                </c:pt>
                <c:pt idx="36">
                  <c:v>2.7425000000221189E-2</c:v>
                </c:pt>
                <c:pt idx="37">
                  <c:v>2.9435000004014E-2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0-4ACE-9040-C1C796058B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0-4ACE-9040-C1C796058B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0-4ACE-9040-C1C796058B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0-4ACE-9040-C1C796058B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8.9999999999999998E-4</c:v>
                  </c:pt>
                  <c:pt idx="1">
                    <c:v>1.1999999999999999E-3</c:v>
                  </c:pt>
                  <c:pt idx="2">
                    <c:v>2.0999999999999999E-3</c:v>
                  </c:pt>
                  <c:pt idx="3">
                    <c:v>2.0999999999999999E-3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6.9999999999999999E-4</c:v>
                  </c:pt>
                  <c:pt idx="8">
                    <c:v>1.2999999999999999E-3</c:v>
                  </c:pt>
                  <c:pt idx="9">
                    <c:v>1.2999999999999999E-3</c:v>
                  </c:pt>
                  <c:pt idx="10">
                    <c:v>2E-3</c:v>
                  </c:pt>
                  <c:pt idx="11">
                    <c:v>1.2999999999999999E-3</c:v>
                  </c:pt>
                  <c:pt idx="12">
                    <c:v>8.0000000000000004E-4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6.0000000000000001E-3</c:v>
                  </c:pt>
                  <c:pt idx="16">
                    <c:v>8.0000000000000002E-3</c:v>
                  </c:pt>
                  <c:pt idx="17">
                    <c:v>8.9999999999999993E-3</c:v>
                  </c:pt>
                  <c:pt idx="18">
                    <c:v>2.3E-3</c:v>
                  </c:pt>
                  <c:pt idx="19">
                    <c:v>1.4E-3</c:v>
                  </c:pt>
                  <c:pt idx="20">
                    <c:v>2E-3</c:v>
                  </c:pt>
                  <c:pt idx="21">
                    <c:v>8.0000000000000004E-4</c:v>
                  </c:pt>
                  <c:pt idx="22">
                    <c:v>6.9999999999999999E-4</c:v>
                  </c:pt>
                  <c:pt idx="23">
                    <c:v>1.1999999999999999E-3</c:v>
                  </c:pt>
                  <c:pt idx="24">
                    <c:v>2.9999999999999997E-4</c:v>
                  </c:pt>
                  <c:pt idx="25">
                    <c:v>2.8E-3</c:v>
                  </c:pt>
                  <c:pt idx="26">
                    <c:v>2.9999999999999997E-4</c:v>
                  </c:pt>
                  <c:pt idx="27">
                    <c:v>1.6000000000000001E-3</c:v>
                  </c:pt>
                  <c:pt idx="28">
                    <c:v>1.1000000000000001E-3</c:v>
                  </c:pt>
                  <c:pt idx="29">
                    <c:v>1.1999999999999999E-3</c:v>
                  </c:pt>
                  <c:pt idx="30">
                    <c:v>4.0000000000000002E-4</c:v>
                  </c:pt>
                  <c:pt idx="31">
                    <c:v>1.8E-3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0-4ACE-9040-C1C796058B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-3934.5</c:v>
                </c:pt>
                <c:pt idx="1">
                  <c:v>-3934</c:v>
                </c:pt>
                <c:pt idx="2">
                  <c:v>-100.5</c:v>
                </c:pt>
                <c:pt idx="3">
                  <c:v>-100.5</c:v>
                </c:pt>
                <c:pt idx="4">
                  <c:v>-85</c:v>
                </c:pt>
                <c:pt idx="5">
                  <c:v>-78</c:v>
                </c:pt>
                <c:pt idx="6">
                  <c:v>-0.5</c:v>
                </c:pt>
                <c:pt idx="7">
                  <c:v>0</c:v>
                </c:pt>
                <c:pt idx="8">
                  <c:v>22</c:v>
                </c:pt>
                <c:pt idx="9">
                  <c:v>22.5</c:v>
                </c:pt>
                <c:pt idx="10">
                  <c:v>64</c:v>
                </c:pt>
                <c:pt idx="11">
                  <c:v>70.5</c:v>
                </c:pt>
                <c:pt idx="12">
                  <c:v>71</c:v>
                </c:pt>
                <c:pt idx="13">
                  <c:v>71.5</c:v>
                </c:pt>
                <c:pt idx="14">
                  <c:v>709</c:v>
                </c:pt>
                <c:pt idx="15">
                  <c:v>767</c:v>
                </c:pt>
                <c:pt idx="16">
                  <c:v>1067.5</c:v>
                </c:pt>
                <c:pt idx="17">
                  <c:v>1068</c:v>
                </c:pt>
                <c:pt idx="18">
                  <c:v>1996.5</c:v>
                </c:pt>
                <c:pt idx="19">
                  <c:v>3540</c:v>
                </c:pt>
                <c:pt idx="20">
                  <c:v>4579</c:v>
                </c:pt>
                <c:pt idx="21">
                  <c:v>5472</c:v>
                </c:pt>
                <c:pt idx="22">
                  <c:v>7912.5</c:v>
                </c:pt>
                <c:pt idx="23">
                  <c:v>8223</c:v>
                </c:pt>
                <c:pt idx="24">
                  <c:v>9065.5</c:v>
                </c:pt>
                <c:pt idx="25">
                  <c:v>9161.5</c:v>
                </c:pt>
                <c:pt idx="26">
                  <c:v>10181</c:v>
                </c:pt>
                <c:pt idx="27">
                  <c:v>10213</c:v>
                </c:pt>
                <c:pt idx="28">
                  <c:v>10213.5</c:v>
                </c:pt>
                <c:pt idx="29">
                  <c:v>10404.5</c:v>
                </c:pt>
                <c:pt idx="30">
                  <c:v>11486.5</c:v>
                </c:pt>
                <c:pt idx="31">
                  <c:v>14848</c:v>
                </c:pt>
                <c:pt idx="32">
                  <c:v>19828</c:v>
                </c:pt>
                <c:pt idx="33">
                  <c:v>19863.5</c:v>
                </c:pt>
                <c:pt idx="34">
                  <c:v>19864</c:v>
                </c:pt>
                <c:pt idx="35">
                  <c:v>20864</c:v>
                </c:pt>
                <c:pt idx="36">
                  <c:v>21035</c:v>
                </c:pt>
                <c:pt idx="37">
                  <c:v>22113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-4.6220653017364239E-3</c:v>
                </c:pt>
                <c:pt idx="1">
                  <c:v>-4.6215091682370738E-3</c:v>
                </c:pt>
                <c:pt idx="2">
                  <c:v>-3.5763362871877821E-4</c:v>
                </c:pt>
                <c:pt idx="3">
                  <c:v>-3.5763362871877821E-4</c:v>
                </c:pt>
                <c:pt idx="4">
                  <c:v>-3.4039349023892078E-4</c:v>
                </c:pt>
                <c:pt idx="5">
                  <c:v>-3.3260762124801739E-4</c:v>
                </c:pt>
                <c:pt idx="6">
                  <c:v>-2.4640692884873004E-4</c:v>
                </c:pt>
                <c:pt idx="7">
                  <c:v>-2.4585079534937982E-4</c:v>
                </c:pt>
                <c:pt idx="8">
                  <c:v>-2.2138092137796923E-4</c:v>
                </c:pt>
                <c:pt idx="9">
                  <c:v>-2.2082478787861898E-4</c:v>
                </c:pt>
                <c:pt idx="10">
                  <c:v>-1.7466570743254902E-4</c:v>
                </c:pt>
                <c:pt idx="11">
                  <c:v>-1.6743597194099588E-4</c:v>
                </c:pt>
                <c:pt idx="12">
                  <c:v>-1.6687983844164563E-4</c:v>
                </c:pt>
                <c:pt idx="13">
                  <c:v>-1.6632370494229541E-4</c:v>
                </c:pt>
                <c:pt idx="14">
                  <c:v>5.4274650672926151E-4</c:v>
                </c:pt>
                <c:pt idx="15">
                  <c:v>6.0725799265388947E-4</c:v>
                </c:pt>
                <c:pt idx="16">
                  <c:v>9.4149422576338408E-4</c:v>
                </c:pt>
                <c:pt idx="17">
                  <c:v>9.4205035926273441E-4</c:v>
                </c:pt>
                <c:pt idx="18">
                  <c:v>1.9747902675561315E-3</c:v>
                </c:pt>
                <c:pt idx="19">
                  <c:v>3.691574380050325E-3</c:v>
                </c:pt>
                <c:pt idx="20">
                  <c:v>4.8472197917001246E-3</c:v>
                </c:pt>
                <c:pt idx="21">
                  <c:v>5.8404742215396547E-3</c:v>
                </c:pt>
                <c:pt idx="22">
                  <c:v>8.5549618318681783E-3</c:v>
                </c:pt>
                <c:pt idx="23">
                  <c:v>8.9003207349646792E-3</c:v>
                </c:pt>
                <c:pt idx="24">
                  <c:v>9.837405681369836E-3</c:v>
                </c:pt>
                <c:pt idx="25">
                  <c:v>9.9441833132450815E-3</c:v>
                </c:pt>
                <c:pt idx="26">
                  <c:v>1.1078139518420221E-2</c:v>
                </c:pt>
                <c:pt idx="27">
                  <c:v>1.1113732062378638E-2</c:v>
                </c:pt>
                <c:pt idx="28">
                  <c:v>1.1114288195877987E-2</c:v>
                </c:pt>
                <c:pt idx="29">
                  <c:v>1.132673119262978E-2</c:v>
                </c:pt>
                <c:pt idx="30">
                  <c:v>1.2530204085223699E-2</c:v>
                </c:pt>
                <c:pt idx="31">
                  <c:v>1.6269089601355369E-2</c:v>
                </c:pt>
                <c:pt idx="32">
                  <c:v>2.1808179254883767E-2</c:v>
                </c:pt>
                <c:pt idx="33">
                  <c:v>2.1847664733337636E-2</c:v>
                </c:pt>
                <c:pt idx="34">
                  <c:v>2.1848220866836986E-2</c:v>
                </c:pt>
                <c:pt idx="35">
                  <c:v>2.2960487865537466E-2</c:v>
                </c:pt>
                <c:pt idx="36">
                  <c:v>2.3150685522315251E-2</c:v>
                </c:pt>
                <c:pt idx="37">
                  <c:v>2.4349709346914369E-2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0-4ACE-9040-C1C796058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904808"/>
        <c:axId val="1"/>
      </c:scatterChart>
      <c:valAx>
        <c:axId val="837904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90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AD43BA-D2BF-3A2D-DC6C-61BEEC5CC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bav-astro.de/sfs/BAVM_link.php?BAVMnr=220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5781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konkoly.hu/cgi-bin/IBVS?5945" TargetMode="External"/><Relationship Id="rId10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7" customWidth="1"/>
    <col min="2" max="2" width="3.85546875" customWidth="1"/>
    <col min="3" max="3" width="11.85546875" customWidth="1"/>
    <col min="4" max="4" width="10.5703125" customWidth="1"/>
    <col min="5" max="5" width="11.71093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37</v>
      </c>
      <c r="F1" s="3">
        <v>52500.229299999999</v>
      </c>
      <c r="G1" s="3">
        <v>0.30900549999999999</v>
      </c>
      <c r="H1" s="3" t="s">
        <v>38</v>
      </c>
    </row>
    <row r="2" spans="1:8" x14ac:dyDescent="0.2">
      <c r="A2" t="s">
        <v>22</v>
      </c>
      <c r="B2" t="str">
        <f>H1</f>
        <v xml:space="preserve">EW        </v>
      </c>
      <c r="C2" s="3"/>
      <c r="D2" s="3"/>
    </row>
    <row r="3" spans="1:8" ht="13.5" thickBot="1" x14ac:dyDescent="0.25"/>
    <row r="4" spans="1:8" ht="14.25" thickTop="1" thickBot="1" x14ac:dyDescent="0.25">
      <c r="A4" s="5" t="s">
        <v>36</v>
      </c>
      <c r="C4" s="8">
        <v>52500.229299999999</v>
      </c>
      <c r="D4" s="9">
        <v>0.30900549999999999</v>
      </c>
    </row>
    <row r="5" spans="1:8" x14ac:dyDescent="0.2">
      <c r="C5" s="26" t="s">
        <v>34</v>
      </c>
    </row>
    <row r="6" spans="1:8" x14ac:dyDescent="0.2">
      <c r="A6" s="5" t="s">
        <v>0</v>
      </c>
    </row>
    <row r="7" spans="1:8" x14ac:dyDescent="0.2">
      <c r="A7" t="s">
        <v>1</v>
      </c>
      <c r="C7">
        <v>52526.493699999999</v>
      </c>
      <c r="D7" s="63" t="s">
        <v>128</v>
      </c>
    </row>
    <row r="8" spans="1:8" x14ac:dyDescent="0.2">
      <c r="A8" t="s">
        <v>2</v>
      </c>
      <c r="C8">
        <v>0.30900499999999997</v>
      </c>
      <c r="D8" s="63" t="s">
        <v>128</v>
      </c>
    </row>
    <row r="9" spans="1:8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1">
        <f ca="1">INTERCEPT(INDIRECT($G$11):G992,INDIRECT($F$11):F992)</f>
        <v>-2.4585079534937982E-4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8" x14ac:dyDescent="0.2">
      <c r="A12" s="12" t="s">
        <v>15</v>
      </c>
      <c r="B12" s="12"/>
      <c r="C12" s="21">
        <f ca="1">SLOPE(INDIRECT($G$11):G992,INDIRECT($F$11):F992)</f>
        <v>1.1122669987004815E-6</v>
      </c>
      <c r="D12" s="3"/>
      <c r="E12" s="57" t="s">
        <v>125</v>
      </c>
      <c r="F12" s="58" t="s">
        <v>129</v>
      </c>
    </row>
    <row r="13" spans="1:8" x14ac:dyDescent="0.2">
      <c r="A13" s="12" t="s">
        <v>17</v>
      </c>
      <c r="B13" s="12"/>
      <c r="C13" s="3" t="s">
        <v>12</v>
      </c>
      <c r="D13" s="16"/>
      <c r="E13" s="54" t="s">
        <v>46</v>
      </c>
      <c r="F13" s="59">
        <v>1</v>
      </c>
    </row>
    <row r="14" spans="1:8" x14ac:dyDescent="0.2">
      <c r="A14" s="12"/>
      <c r="B14" s="12"/>
      <c r="C14" s="12"/>
      <c r="D14" s="16"/>
      <c r="E14" s="54" t="s">
        <v>30</v>
      </c>
      <c r="F14" s="60">
        <f ca="1">NOW()+15018.5+$C$9/24</f>
        <v>60546.843210879626</v>
      </c>
    </row>
    <row r="15" spans="1:8" x14ac:dyDescent="0.2">
      <c r="A15" s="14" t="s">
        <v>16</v>
      </c>
      <c r="B15" s="12"/>
      <c r="C15" s="15">
        <f ca="1">(C7+C11)+(C8+C12)*INT(MAX(F21:F3533))</f>
        <v>59359.54561470935</v>
      </c>
      <c r="D15" s="16"/>
      <c r="E15" s="54" t="s">
        <v>47</v>
      </c>
      <c r="F15" s="60">
        <f ca="1">ROUND(2*($F$14-$C$7)/$C$8,0)/2+$F$13</f>
        <v>25956.5</v>
      </c>
    </row>
    <row r="16" spans="1:8" x14ac:dyDescent="0.2">
      <c r="A16" s="17" t="s">
        <v>3</v>
      </c>
      <c r="B16" s="12"/>
      <c r="C16" s="18">
        <f ca="1">+C8+C12</f>
        <v>0.3090061122669987</v>
      </c>
      <c r="D16" s="16"/>
      <c r="E16" s="54" t="s">
        <v>31</v>
      </c>
      <c r="F16" s="60">
        <f ca="1">ROUND(2*($F$14-$C$15)/$C$16,0)/2+$F$13</f>
        <v>3843.5</v>
      </c>
    </row>
    <row r="17" spans="1:17" ht="13.5" thickBot="1" x14ac:dyDescent="0.25">
      <c r="A17" s="16" t="s">
        <v>27</v>
      </c>
      <c r="B17" s="12"/>
      <c r="C17" s="12">
        <f>COUNT(C21:C2191)</f>
        <v>38</v>
      </c>
      <c r="D17" s="16"/>
      <c r="E17" s="55" t="s">
        <v>126</v>
      </c>
      <c r="F17" s="61">
        <f ca="1">+$C$15+$C$16*$F$16-15018.5-$C$9/24</f>
        <v>45529.106440540898</v>
      </c>
    </row>
    <row r="18" spans="1:17" ht="14.25" thickTop="1" thickBot="1" x14ac:dyDescent="0.25">
      <c r="A18" s="17" t="s">
        <v>4</v>
      </c>
      <c r="B18" s="12"/>
      <c r="C18" s="19">
        <f ca="1">+C15</f>
        <v>59359.54561470935</v>
      </c>
      <c r="D18" s="20">
        <f ca="1">+C16</f>
        <v>0.3090061122669987</v>
      </c>
      <c r="E18" s="56" t="s">
        <v>127</v>
      </c>
      <c r="F18" s="62">
        <f ca="1">+($C$15+$C$16*$F$16)-($C$16/2)-15018.5-$C$9/24</f>
        <v>45528.951937484766</v>
      </c>
    </row>
    <row r="19" spans="1:17" ht="13.5" thickTop="1" x14ac:dyDescent="0.2">
      <c r="A19" s="24" t="s">
        <v>32</v>
      </c>
      <c r="E19" s="25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35</v>
      </c>
      <c r="I20" s="7" t="s">
        <v>130</v>
      </c>
      <c r="J20" s="7" t="s">
        <v>56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0" t="s">
        <v>48</v>
      </c>
      <c r="B21" s="29" t="s">
        <v>41</v>
      </c>
      <c r="C21" s="30">
        <v>51310.714200000002</v>
      </c>
      <c r="D21" s="30">
        <v>8.9999999999999998E-4</v>
      </c>
      <c r="E21">
        <f t="shared" ref="E21:E57" si="0">+(C21-C$7)/C$8</f>
        <v>-3934.4978236598017</v>
      </c>
      <c r="F21">
        <f t="shared" ref="F21:F57" si="1">ROUND(2*E21,0)/2</f>
        <v>-3934.5</v>
      </c>
      <c r="G21">
        <f t="shared" ref="G21:G57" si="2">+C21-(C$7+F21*C$8)</f>
        <v>6.7250000574858859E-4</v>
      </c>
      <c r="I21">
        <f>+G21</f>
        <v>6.7250000574858859E-4</v>
      </c>
      <c r="O21">
        <f t="shared" ref="O21:O57" ca="1" si="3">+C$11+C$12*$F21</f>
        <v>-4.6220653017364239E-3</v>
      </c>
      <c r="Q21" s="2">
        <f t="shared" ref="Q21:Q57" si="4">+C21-15018.5</f>
        <v>36292.214200000002</v>
      </c>
    </row>
    <row r="22" spans="1:17" x14ac:dyDescent="0.2">
      <c r="A22" s="30" t="s">
        <v>48</v>
      </c>
      <c r="B22" s="29" t="s">
        <v>33</v>
      </c>
      <c r="C22" s="30">
        <v>51310.870499999997</v>
      </c>
      <c r="D22" s="30">
        <v>1.1999999999999999E-3</v>
      </c>
      <c r="E22">
        <f t="shared" si="0"/>
        <v>-3933.9920066018412</v>
      </c>
      <c r="F22">
        <f t="shared" si="1"/>
        <v>-3934</v>
      </c>
      <c r="G22">
        <f t="shared" si="2"/>
        <v>2.4699999994481914E-3</v>
      </c>
      <c r="I22">
        <f>+G22</f>
        <v>2.4699999994481914E-3</v>
      </c>
      <c r="O22">
        <f t="shared" ca="1" si="3"/>
        <v>-4.6215091682370738E-3</v>
      </c>
      <c r="Q22" s="2">
        <f t="shared" si="4"/>
        <v>36292.370499999997</v>
      </c>
    </row>
    <row r="23" spans="1:17" x14ac:dyDescent="0.2">
      <c r="A23" s="28" t="s">
        <v>40</v>
      </c>
      <c r="B23" s="27" t="s">
        <v>41</v>
      </c>
      <c r="C23" s="28">
        <v>52495.433499999999</v>
      </c>
      <c r="D23" s="28">
        <v>2.0999999999999999E-3</v>
      </c>
      <c r="E23">
        <f t="shared" si="0"/>
        <v>-100.51682011617902</v>
      </c>
      <c r="F23">
        <f t="shared" si="1"/>
        <v>-100.5</v>
      </c>
      <c r="G23">
        <f t="shared" si="2"/>
        <v>-5.1975000023958273E-3</v>
      </c>
      <c r="I23">
        <f>+G23</f>
        <v>-5.1975000023958273E-3</v>
      </c>
      <c r="O23">
        <f t="shared" ca="1" si="3"/>
        <v>-3.5763362871877821E-4</v>
      </c>
      <c r="Q23" s="2">
        <f t="shared" si="4"/>
        <v>37476.933499999999</v>
      </c>
    </row>
    <row r="24" spans="1:17" x14ac:dyDescent="0.2">
      <c r="A24" s="28" t="s">
        <v>40</v>
      </c>
      <c r="B24" s="27" t="s">
        <v>41</v>
      </c>
      <c r="C24" s="28">
        <v>52495.433499999999</v>
      </c>
      <c r="D24" s="28">
        <v>2.0999999999999999E-3</v>
      </c>
      <c r="E24">
        <f t="shared" si="0"/>
        <v>-100.51682011617902</v>
      </c>
      <c r="F24">
        <f t="shared" si="1"/>
        <v>-100.5</v>
      </c>
      <c r="G24">
        <f t="shared" si="2"/>
        <v>-5.1975000023958273E-3</v>
      </c>
      <c r="I24">
        <f>+G24</f>
        <v>-5.1975000023958273E-3</v>
      </c>
      <c r="O24">
        <f t="shared" ca="1" si="3"/>
        <v>-3.5763362871877821E-4</v>
      </c>
      <c r="Q24" s="2">
        <f t="shared" si="4"/>
        <v>37476.933499999999</v>
      </c>
    </row>
    <row r="25" spans="1:17" x14ac:dyDescent="0.2">
      <c r="A25" s="28" t="s">
        <v>35</v>
      </c>
      <c r="B25" s="27" t="s">
        <v>33</v>
      </c>
      <c r="C25" s="28">
        <v>52500.229299999999</v>
      </c>
      <c r="D25" s="28"/>
      <c r="E25">
        <f t="shared" si="0"/>
        <v>-84.996682901571248</v>
      </c>
      <c r="F25">
        <f t="shared" si="1"/>
        <v>-85</v>
      </c>
      <c r="G25">
        <f t="shared" si="2"/>
        <v>1.0249999977531843E-3</v>
      </c>
      <c r="H25">
        <f>+G25</f>
        <v>1.0249999977531843E-3</v>
      </c>
      <c r="O25">
        <f t="shared" ca="1" si="3"/>
        <v>-3.4039349023892078E-4</v>
      </c>
      <c r="Q25" s="2">
        <f t="shared" si="4"/>
        <v>37481.729299999999</v>
      </c>
    </row>
    <row r="26" spans="1:17" x14ac:dyDescent="0.2">
      <c r="A26" s="28" t="s">
        <v>40</v>
      </c>
      <c r="B26" s="27" t="s">
        <v>33</v>
      </c>
      <c r="C26" s="28">
        <v>52502.392099999997</v>
      </c>
      <c r="D26" s="28">
        <v>1.1000000000000001E-3</v>
      </c>
      <c r="E26">
        <f t="shared" si="0"/>
        <v>-77.997443407070378</v>
      </c>
      <c r="F26">
        <f t="shared" si="1"/>
        <v>-78</v>
      </c>
      <c r="G26">
        <f t="shared" si="2"/>
        <v>7.8999999823281541E-4</v>
      </c>
      <c r="I26">
        <f t="shared" ref="I26:I57" si="5">+G26</f>
        <v>7.8999999823281541E-4</v>
      </c>
      <c r="O26">
        <f t="shared" ca="1" si="3"/>
        <v>-3.3260762124801739E-4</v>
      </c>
      <c r="Q26" s="2">
        <f t="shared" si="4"/>
        <v>37483.892099999997</v>
      </c>
    </row>
    <row r="27" spans="1:17" x14ac:dyDescent="0.2">
      <c r="A27" s="28" t="s">
        <v>40</v>
      </c>
      <c r="B27" s="27" t="s">
        <v>41</v>
      </c>
      <c r="C27" s="28">
        <v>52526.3387</v>
      </c>
      <c r="D27" s="28">
        <v>1E-3</v>
      </c>
      <c r="E27">
        <f t="shared" si="0"/>
        <v>-0.50161000630681007</v>
      </c>
      <c r="F27">
        <f t="shared" si="1"/>
        <v>-0.5</v>
      </c>
      <c r="G27">
        <f t="shared" si="2"/>
        <v>-4.9749999743653461E-4</v>
      </c>
      <c r="I27">
        <f t="shared" si="5"/>
        <v>-4.9749999743653461E-4</v>
      </c>
      <c r="O27">
        <f t="shared" ca="1" si="3"/>
        <v>-2.4640692884873004E-4</v>
      </c>
      <c r="Q27" s="2">
        <f t="shared" si="4"/>
        <v>37507.8387</v>
      </c>
    </row>
    <row r="28" spans="1:17" x14ac:dyDescent="0.2">
      <c r="A28" s="28" t="s">
        <v>40</v>
      </c>
      <c r="B28" s="27" t="s">
        <v>33</v>
      </c>
      <c r="C28" s="28">
        <v>52526.493999999999</v>
      </c>
      <c r="D28" s="28">
        <v>6.9999999999999999E-4</v>
      </c>
      <c r="E28">
        <f t="shared" si="0"/>
        <v>9.7085807575061954E-4</v>
      </c>
      <c r="F28">
        <f t="shared" si="1"/>
        <v>0</v>
      </c>
      <c r="G28">
        <f t="shared" si="2"/>
        <v>2.9999999969732016E-4</v>
      </c>
      <c r="I28">
        <f t="shared" si="5"/>
        <v>2.9999999969732016E-4</v>
      </c>
      <c r="O28">
        <f t="shared" ca="1" si="3"/>
        <v>-2.4585079534937982E-4</v>
      </c>
      <c r="Q28" s="2">
        <f t="shared" si="4"/>
        <v>37507.993999999999</v>
      </c>
    </row>
    <row r="29" spans="1:17" x14ac:dyDescent="0.2">
      <c r="A29" s="28" t="s">
        <v>40</v>
      </c>
      <c r="B29" s="27" t="s">
        <v>33</v>
      </c>
      <c r="C29" s="28">
        <v>52533.29</v>
      </c>
      <c r="D29" s="28">
        <v>1.2999999999999999E-3</v>
      </c>
      <c r="E29">
        <f t="shared" si="0"/>
        <v>21.994142489609533</v>
      </c>
      <c r="F29">
        <f t="shared" si="1"/>
        <v>22</v>
      </c>
      <c r="G29">
        <f t="shared" si="2"/>
        <v>-1.8100000015692785E-3</v>
      </c>
      <c r="I29">
        <f t="shared" si="5"/>
        <v>-1.8100000015692785E-3</v>
      </c>
      <c r="O29">
        <f t="shared" ca="1" si="3"/>
        <v>-2.2138092137796923E-4</v>
      </c>
      <c r="Q29" s="2">
        <f t="shared" si="4"/>
        <v>37514.79</v>
      </c>
    </row>
    <row r="30" spans="1:17" x14ac:dyDescent="0.2">
      <c r="A30" s="28" t="s">
        <v>40</v>
      </c>
      <c r="B30" s="27" t="s">
        <v>41</v>
      </c>
      <c r="C30" s="28">
        <v>52533.445599999999</v>
      </c>
      <c r="D30" s="28">
        <v>1.2999999999999999E-3</v>
      </c>
      <c r="E30">
        <f t="shared" si="0"/>
        <v>22.497694212067842</v>
      </c>
      <c r="F30">
        <f t="shared" si="1"/>
        <v>22.5</v>
      </c>
      <c r="G30">
        <f t="shared" si="2"/>
        <v>-7.1249999746214598E-4</v>
      </c>
      <c r="I30">
        <f t="shared" si="5"/>
        <v>-7.1249999746214598E-4</v>
      </c>
      <c r="O30">
        <f t="shared" ca="1" si="3"/>
        <v>-2.2082478787861898E-4</v>
      </c>
      <c r="Q30" s="2">
        <f t="shared" si="4"/>
        <v>37514.945599999999</v>
      </c>
    </row>
    <row r="31" spans="1:17" x14ac:dyDescent="0.2">
      <c r="A31" s="28" t="s">
        <v>40</v>
      </c>
      <c r="B31" s="27" t="s">
        <v>33</v>
      </c>
      <c r="C31" s="28">
        <v>52546.273300000001</v>
      </c>
      <c r="D31" s="28">
        <v>2E-3</v>
      </c>
      <c r="E31">
        <f t="shared" si="0"/>
        <v>64.010614714977649</v>
      </c>
      <c r="F31">
        <f t="shared" si="1"/>
        <v>64</v>
      </c>
      <c r="G31">
        <f t="shared" si="2"/>
        <v>3.2800000044517219E-3</v>
      </c>
      <c r="I31">
        <f t="shared" si="5"/>
        <v>3.2800000044517219E-3</v>
      </c>
      <c r="O31">
        <f t="shared" ca="1" si="3"/>
        <v>-1.7466570743254902E-4</v>
      </c>
      <c r="Q31" s="2">
        <f t="shared" si="4"/>
        <v>37527.773300000001</v>
      </c>
    </row>
    <row r="32" spans="1:17" x14ac:dyDescent="0.2">
      <c r="A32" s="28" t="s">
        <v>40</v>
      </c>
      <c r="B32" s="27" t="s">
        <v>41</v>
      </c>
      <c r="C32" s="28">
        <v>52548.2788</v>
      </c>
      <c r="D32" s="28">
        <v>1.2999999999999999E-3</v>
      </c>
      <c r="E32">
        <f t="shared" si="0"/>
        <v>70.500800957916439</v>
      </c>
      <c r="F32">
        <f t="shared" si="1"/>
        <v>70.5</v>
      </c>
      <c r="G32">
        <f t="shared" si="2"/>
        <v>2.4750000011408702E-4</v>
      </c>
      <c r="I32">
        <f t="shared" si="5"/>
        <v>2.4750000011408702E-4</v>
      </c>
      <c r="O32">
        <f t="shared" ca="1" si="3"/>
        <v>-1.6743597194099588E-4</v>
      </c>
      <c r="Q32" s="2">
        <f t="shared" si="4"/>
        <v>37529.7788</v>
      </c>
    </row>
    <row r="33" spans="1:17" x14ac:dyDescent="0.2">
      <c r="A33" s="28" t="s">
        <v>40</v>
      </c>
      <c r="B33" s="27" t="s">
        <v>33</v>
      </c>
      <c r="C33" s="28">
        <v>52548.434800000003</v>
      </c>
      <c r="D33" s="28">
        <v>8.0000000000000004E-4</v>
      </c>
      <c r="E33">
        <f t="shared" si="0"/>
        <v>71.005647157824782</v>
      </c>
      <c r="F33">
        <f t="shared" si="1"/>
        <v>71</v>
      </c>
      <c r="G33">
        <f t="shared" si="2"/>
        <v>1.7450000013923272E-3</v>
      </c>
      <c r="I33">
        <f t="shared" si="5"/>
        <v>1.7450000013923272E-3</v>
      </c>
      <c r="O33">
        <f t="shared" ca="1" si="3"/>
        <v>-1.6687983844164563E-4</v>
      </c>
      <c r="Q33" s="2">
        <f t="shared" si="4"/>
        <v>37529.934800000003</v>
      </c>
    </row>
    <row r="34" spans="1:17" x14ac:dyDescent="0.2">
      <c r="A34" s="28" t="s">
        <v>40</v>
      </c>
      <c r="B34" s="27" t="s">
        <v>41</v>
      </c>
      <c r="C34" s="28">
        <v>52548.5893</v>
      </c>
      <c r="D34" s="28">
        <v>8.9999999999999998E-4</v>
      </c>
      <c r="E34">
        <f t="shared" si="0"/>
        <v>71.505639067330819</v>
      </c>
      <c r="F34">
        <f t="shared" si="1"/>
        <v>71.5</v>
      </c>
      <c r="G34">
        <f t="shared" si="2"/>
        <v>1.7425000041839667E-3</v>
      </c>
      <c r="I34">
        <f t="shared" si="5"/>
        <v>1.7425000041839667E-3</v>
      </c>
      <c r="O34">
        <f t="shared" ca="1" si="3"/>
        <v>-1.6632370494229541E-4</v>
      </c>
      <c r="Q34" s="2">
        <f t="shared" si="4"/>
        <v>37530.0893</v>
      </c>
    </row>
    <row r="35" spans="1:17" x14ac:dyDescent="0.2">
      <c r="A35" s="28" t="s">
        <v>40</v>
      </c>
      <c r="B35" s="27" t="s">
        <v>33</v>
      </c>
      <c r="C35" s="28">
        <v>52745.576000000001</v>
      </c>
      <c r="D35" s="28">
        <v>2E-3</v>
      </c>
      <c r="E35">
        <f t="shared" si="0"/>
        <v>708.99273474539848</v>
      </c>
      <c r="F35">
        <f t="shared" si="1"/>
        <v>709</v>
      </c>
      <c r="G35">
        <f t="shared" si="2"/>
        <v>-2.2449999960372224E-3</v>
      </c>
      <c r="I35">
        <f t="shared" si="5"/>
        <v>-2.2449999960372224E-3</v>
      </c>
      <c r="O35">
        <f t="shared" ca="1" si="3"/>
        <v>5.4274650672926151E-4</v>
      </c>
      <c r="Q35" s="2">
        <f t="shared" si="4"/>
        <v>37727.076000000001</v>
      </c>
    </row>
    <row r="36" spans="1:17" x14ac:dyDescent="0.2">
      <c r="A36" s="28" t="s">
        <v>40</v>
      </c>
      <c r="B36" s="27" t="s">
        <v>33</v>
      </c>
      <c r="C36" s="28">
        <v>52763.508999999998</v>
      </c>
      <c r="D36" s="28">
        <v>6.0000000000000001E-3</v>
      </c>
      <c r="E36">
        <f t="shared" si="0"/>
        <v>767.0273943787289</v>
      </c>
      <c r="F36">
        <f t="shared" si="1"/>
        <v>767</v>
      </c>
      <c r="G36">
        <f t="shared" si="2"/>
        <v>8.4649999989778735E-3</v>
      </c>
      <c r="I36">
        <f t="shared" si="5"/>
        <v>8.4649999989778735E-3</v>
      </c>
      <c r="O36">
        <f t="shared" ca="1" si="3"/>
        <v>6.0725799265388947E-4</v>
      </c>
      <c r="Q36" s="2">
        <f t="shared" si="4"/>
        <v>37745.008999999998</v>
      </c>
    </row>
    <row r="37" spans="1:17" x14ac:dyDescent="0.2">
      <c r="A37" s="30" t="s">
        <v>42</v>
      </c>
      <c r="B37" s="29" t="s">
        <v>41</v>
      </c>
      <c r="C37" s="30">
        <v>52856.357000000004</v>
      </c>
      <c r="D37" s="30">
        <v>8.0000000000000002E-3</v>
      </c>
      <c r="E37">
        <f t="shared" si="0"/>
        <v>1067.5014967395498</v>
      </c>
      <c r="F37">
        <f t="shared" si="1"/>
        <v>1067.5</v>
      </c>
      <c r="G37">
        <f t="shared" si="2"/>
        <v>4.62500007415656E-4</v>
      </c>
      <c r="I37">
        <f t="shared" si="5"/>
        <v>4.62500007415656E-4</v>
      </c>
      <c r="O37">
        <f t="shared" ca="1" si="3"/>
        <v>9.4149422576338408E-4</v>
      </c>
      <c r="Q37" s="2">
        <f t="shared" si="4"/>
        <v>37837.857000000004</v>
      </c>
    </row>
    <row r="38" spans="1:17" x14ac:dyDescent="0.2">
      <c r="A38" s="30" t="s">
        <v>42</v>
      </c>
      <c r="B38" s="29" t="s">
        <v>33</v>
      </c>
      <c r="C38" s="30">
        <v>52856.514999999999</v>
      </c>
      <c r="D38" s="30">
        <v>8.9999999999999993E-3</v>
      </c>
      <c r="E38">
        <f t="shared" si="0"/>
        <v>1068.0128153266139</v>
      </c>
      <c r="F38">
        <f t="shared" si="1"/>
        <v>1068</v>
      </c>
      <c r="G38">
        <f t="shared" si="2"/>
        <v>3.9600000018253922E-3</v>
      </c>
      <c r="I38">
        <f t="shared" si="5"/>
        <v>3.9600000018253922E-3</v>
      </c>
      <c r="O38">
        <f t="shared" ca="1" si="3"/>
        <v>9.4205035926273441E-4</v>
      </c>
      <c r="Q38" s="2">
        <f t="shared" si="4"/>
        <v>37838.014999999999</v>
      </c>
    </row>
    <row r="39" spans="1:17" x14ac:dyDescent="0.2">
      <c r="A39" s="30" t="s">
        <v>42</v>
      </c>
      <c r="B39" s="29" t="s">
        <v>41</v>
      </c>
      <c r="C39" s="30">
        <v>53143.428</v>
      </c>
      <c r="D39" s="30">
        <v>2.3E-3</v>
      </c>
      <c r="E39">
        <f t="shared" si="0"/>
        <v>1996.5188265562074</v>
      </c>
      <c r="F39">
        <f t="shared" si="1"/>
        <v>1996.5</v>
      </c>
      <c r="G39">
        <f t="shared" si="2"/>
        <v>5.8175000012852252E-3</v>
      </c>
      <c r="I39">
        <f t="shared" si="5"/>
        <v>5.8175000012852252E-3</v>
      </c>
      <c r="O39">
        <f t="shared" ca="1" si="3"/>
        <v>1.9747902675561315E-3</v>
      </c>
      <c r="Q39" s="2">
        <f t="shared" si="4"/>
        <v>38124.928</v>
      </c>
    </row>
    <row r="40" spans="1:17" x14ac:dyDescent="0.2">
      <c r="A40" s="28" t="s">
        <v>43</v>
      </c>
      <c r="B40" s="27" t="s">
        <v>33</v>
      </c>
      <c r="C40" s="28">
        <v>53620.3724</v>
      </c>
      <c r="D40" s="28">
        <v>1.4E-3</v>
      </c>
      <c r="E40">
        <f t="shared" si="0"/>
        <v>3540.0032361935932</v>
      </c>
      <c r="F40">
        <f t="shared" si="1"/>
        <v>3540</v>
      </c>
      <c r="G40">
        <f t="shared" si="2"/>
        <v>1.0000000038417056E-3</v>
      </c>
      <c r="I40">
        <f t="shared" si="5"/>
        <v>1.0000000038417056E-3</v>
      </c>
      <c r="O40">
        <f t="shared" ca="1" si="3"/>
        <v>3.691574380050325E-3</v>
      </c>
      <c r="Q40" s="2">
        <f t="shared" si="4"/>
        <v>38601.8724</v>
      </c>
    </row>
    <row r="41" spans="1:17" x14ac:dyDescent="0.2">
      <c r="A41" s="30" t="s">
        <v>39</v>
      </c>
      <c r="B41" s="27" t="s">
        <v>33</v>
      </c>
      <c r="C41" s="28">
        <v>53941.434000000001</v>
      </c>
      <c r="D41" s="28">
        <v>2E-3</v>
      </c>
      <c r="E41">
        <f t="shared" si="0"/>
        <v>4579.020727819945</v>
      </c>
      <c r="F41">
        <f t="shared" si="1"/>
        <v>4579</v>
      </c>
      <c r="G41">
        <f t="shared" si="2"/>
        <v>6.4050000000861473E-3</v>
      </c>
      <c r="I41">
        <f t="shared" si="5"/>
        <v>6.4050000000861473E-3</v>
      </c>
      <c r="O41">
        <f t="shared" ca="1" si="3"/>
        <v>4.8472197917001246E-3</v>
      </c>
      <c r="Q41" s="2">
        <f t="shared" si="4"/>
        <v>38922.934000000001</v>
      </c>
    </row>
    <row r="42" spans="1:17" x14ac:dyDescent="0.2">
      <c r="A42" s="30" t="s">
        <v>39</v>
      </c>
      <c r="B42" s="27" t="s">
        <v>33</v>
      </c>
      <c r="C42" s="28">
        <v>54217.373599999999</v>
      </c>
      <c r="D42" s="28">
        <v>8.0000000000000004E-4</v>
      </c>
      <c r="E42">
        <f t="shared" si="0"/>
        <v>5472.014692318895</v>
      </c>
      <c r="F42">
        <f t="shared" si="1"/>
        <v>5472</v>
      </c>
      <c r="G42">
        <f t="shared" si="2"/>
        <v>4.5400000017252751E-3</v>
      </c>
      <c r="I42">
        <f t="shared" si="5"/>
        <v>4.5400000017252751E-3</v>
      </c>
      <c r="O42">
        <f t="shared" ca="1" si="3"/>
        <v>5.8404742215396547E-3</v>
      </c>
      <c r="Q42" s="2">
        <f t="shared" si="4"/>
        <v>39198.873599999999</v>
      </c>
    </row>
    <row r="43" spans="1:17" x14ac:dyDescent="0.2">
      <c r="A43" s="30" t="s">
        <v>49</v>
      </c>
      <c r="B43" s="29" t="s">
        <v>41</v>
      </c>
      <c r="C43" s="30">
        <v>54971.502399999998</v>
      </c>
      <c r="D43" s="30">
        <v>6.9999999999999999E-4</v>
      </c>
      <c r="E43">
        <f t="shared" si="0"/>
        <v>7912.5214802349437</v>
      </c>
      <c r="F43">
        <f t="shared" si="1"/>
        <v>7912.5</v>
      </c>
      <c r="G43">
        <f t="shared" si="2"/>
        <v>6.6375000023981556E-3</v>
      </c>
      <c r="I43">
        <f t="shared" si="5"/>
        <v>6.6375000023981556E-3</v>
      </c>
      <c r="O43">
        <f t="shared" ca="1" si="3"/>
        <v>8.5549618318681783E-3</v>
      </c>
      <c r="Q43" s="2">
        <f t="shared" si="4"/>
        <v>39953.002399999998</v>
      </c>
    </row>
    <row r="44" spans="1:17" x14ac:dyDescent="0.2">
      <c r="A44" s="30" t="s">
        <v>44</v>
      </c>
      <c r="B44" s="29" t="s">
        <v>33</v>
      </c>
      <c r="C44" s="30">
        <v>55067.444300000003</v>
      </c>
      <c r="D44" s="30">
        <v>1.1999999999999999E-3</v>
      </c>
      <c r="E44">
        <f t="shared" si="0"/>
        <v>8223.0080419410824</v>
      </c>
      <c r="F44">
        <f t="shared" si="1"/>
        <v>8223</v>
      </c>
      <c r="G44">
        <f t="shared" si="2"/>
        <v>2.4850000045262277E-3</v>
      </c>
      <c r="I44">
        <f t="shared" si="5"/>
        <v>2.4850000045262277E-3</v>
      </c>
      <c r="O44">
        <f t="shared" ca="1" si="3"/>
        <v>8.9003207349646792E-3</v>
      </c>
      <c r="Q44" s="2">
        <f t="shared" si="4"/>
        <v>40048.944300000003</v>
      </c>
    </row>
    <row r="45" spans="1:17" x14ac:dyDescent="0.2">
      <c r="A45" s="30" t="s">
        <v>45</v>
      </c>
      <c r="B45" s="29" t="s">
        <v>41</v>
      </c>
      <c r="C45" s="30">
        <v>55327.783000000003</v>
      </c>
      <c r="D45" s="30">
        <v>2.9999999999999997E-4</v>
      </c>
      <c r="E45">
        <f t="shared" si="0"/>
        <v>9065.5144738758408</v>
      </c>
      <c r="F45">
        <f t="shared" si="1"/>
        <v>9065.5</v>
      </c>
      <c r="G45">
        <f t="shared" si="2"/>
        <v>4.4725000043399632E-3</v>
      </c>
      <c r="I45">
        <f t="shared" si="5"/>
        <v>4.4725000043399632E-3</v>
      </c>
      <c r="O45">
        <f t="shared" ca="1" si="3"/>
        <v>9.837405681369836E-3</v>
      </c>
      <c r="Q45" s="2">
        <f t="shared" si="4"/>
        <v>40309.283000000003</v>
      </c>
    </row>
    <row r="46" spans="1:17" x14ac:dyDescent="0.2">
      <c r="A46" s="30" t="s">
        <v>50</v>
      </c>
      <c r="B46" s="29" t="s">
        <v>41</v>
      </c>
      <c r="C46" s="30">
        <v>55357.447800000002</v>
      </c>
      <c r="D46" s="30">
        <v>2.8E-3</v>
      </c>
      <c r="E46">
        <f t="shared" si="0"/>
        <v>9161.5155094577858</v>
      </c>
      <c r="F46">
        <f t="shared" si="1"/>
        <v>9161.5</v>
      </c>
      <c r="G46">
        <f t="shared" si="2"/>
        <v>4.7925000035320409E-3</v>
      </c>
      <c r="I46">
        <f t="shared" si="5"/>
        <v>4.7925000035320409E-3</v>
      </c>
      <c r="O46">
        <f t="shared" ca="1" si="3"/>
        <v>9.9441833132450815E-3</v>
      </c>
      <c r="Q46" s="2">
        <f t="shared" si="4"/>
        <v>40338.947800000002</v>
      </c>
    </row>
    <row r="47" spans="1:17" x14ac:dyDescent="0.2">
      <c r="A47" s="30" t="s">
        <v>51</v>
      </c>
      <c r="B47" s="29" t="s">
        <v>33</v>
      </c>
      <c r="C47" s="30">
        <v>55672.4804</v>
      </c>
      <c r="D47" s="30">
        <v>2.9999999999999997E-4</v>
      </c>
      <c r="E47">
        <f t="shared" si="0"/>
        <v>10181.021989935443</v>
      </c>
      <c r="F47">
        <f t="shared" si="1"/>
        <v>10181</v>
      </c>
      <c r="G47">
        <f t="shared" si="2"/>
        <v>6.7950000011478551E-3</v>
      </c>
      <c r="I47">
        <f t="shared" si="5"/>
        <v>6.7950000011478551E-3</v>
      </c>
      <c r="O47">
        <f t="shared" ca="1" si="3"/>
        <v>1.1078139518420221E-2</v>
      </c>
      <c r="Q47" s="2">
        <f t="shared" si="4"/>
        <v>40653.9804</v>
      </c>
    </row>
    <row r="48" spans="1:17" x14ac:dyDescent="0.2">
      <c r="A48" s="30" t="s">
        <v>51</v>
      </c>
      <c r="B48" s="29" t="s">
        <v>33</v>
      </c>
      <c r="C48" s="30">
        <v>55682.368699999999</v>
      </c>
      <c r="D48" s="30">
        <v>1.6000000000000001E-3</v>
      </c>
      <c r="E48">
        <f t="shared" si="0"/>
        <v>10213.022443002541</v>
      </c>
      <c r="F48">
        <f t="shared" si="1"/>
        <v>10213</v>
      </c>
      <c r="G48">
        <f t="shared" si="2"/>
        <v>6.9349999976111576E-3</v>
      </c>
      <c r="I48">
        <f t="shared" si="5"/>
        <v>6.9349999976111576E-3</v>
      </c>
      <c r="O48">
        <f t="shared" ca="1" si="3"/>
        <v>1.1113732062378638E-2</v>
      </c>
      <c r="Q48" s="2">
        <f t="shared" si="4"/>
        <v>40663.868699999999</v>
      </c>
    </row>
    <row r="49" spans="1:17" x14ac:dyDescent="0.2">
      <c r="A49" s="30" t="s">
        <v>51</v>
      </c>
      <c r="B49" s="29" t="s">
        <v>41</v>
      </c>
      <c r="C49" s="30">
        <v>55682.5242</v>
      </c>
      <c r="D49" s="30">
        <v>1.1000000000000001E-3</v>
      </c>
      <c r="E49">
        <f t="shared" si="0"/>
        <v>10213.525671105648</v>
      </c>
      <c r="F49">
        <f t="shared" si="1"/>
        <v>10213.5</v>
      </c>
      <c r="G49">
        <f t="shared" si="2"/>
        <v>7.9325000042445026E-3</v>
      </c>
      <c r="I49">
        <f t="shared" si="5"/>
        <v>7.9325000042445026E-3</v>
      </c>
      <c r="O49">
        <f t="shared" ca="1" si="3"/>
        <v>1.1114288195877987E-2</v>
      </c>
      <c r="Q49" s="2">
        <f t="shared" si="4"/>
        <v>40664.0242</v>
      </c>
    </row>
    <row r="50" spans="1:17" x14ac:dyDescent="0.2">
      <c r="A50" s="30" t="s">
        <v>51</v>
      </c>
      <c r="B50" s="29" t="s">
        <v>41</v>
      </c>
      <c r="C50" s="30">
        <v>55741.543100000003</v>
      </c>
      <c r="D50" s="30">
        <v>1.1999999999999999E-3</v>
      </c>
      <c r="E50">
        <f t="shared" si="0"/>
        <v>10404.522256921422</v>
      </c>
      <c r="F50">
        <f t="shared" si="1"/>
        <v>10404.5</v>
      </c>
      <c r="G50">
        <f t="shared" si="2"/>
        <v>6.8775000036112033E-3</v>
      </c>
      <c r="I50">
        <f t="shared" si="5"/>
        <v>6.8775000036112033E-3</v>
      </c>
      <c r="O50">
        <f t="shared" ca="1" si="3"/>
        <v>1.132673119262978E-2</v>
      </c>
      <c r="Q50" s="2">
        <f t="shared" si="4"/>
        <v>40723.043100000003</v>
      </c>
    </row>
    <row r="51" spans="1:17" x14ac:dyDescent="0.2">
      <c r="A51" s="32" t="s">
        <v>52</v>
      </c>
      <c r="B51" s="33" t="s">
        <v>41</v>
      </c>
      <c r="C51" s="32">
        <v>56075.8891</v>
      </c>
      <c r="D51" s="32">
        <v>4.0000000000000002E-4</v>
      </c>
      <c r="E51">
        <f t="shared" si="0"/>
        <v>11486.530638662809</v>
      </c>
      <c r="F51">
        <f t="shared" si="1"/>
        <v>11486.5</v>
      </c>
      <c r="G51">
        <f t="shared" si="2"/>
        <v>9.4675000000279397E-3</v>
      </c>
      <c r="J51">
        <f>+G51</f>
        <v>9.4675000000279397E-3</v>
      </c>
      <c r="O51">
        <f t="shared" ca="1" si="3"/>
        <v>1.2530204085223699E-2</v>
      </c>
      <c r="Q51" s="2">
        <f t="shared" si="4"/>
        <v>41057.3891</v>
      </c>
    </row>
    <row r="52" spans="1:17" x14ac:dyDescent="0.2">
      <c r="A52" s="34" t="s">
        <v>53</v>
      </c>
      <c r="B52" s="35"/>
      <c r="C52" s="34">
        <v>57114.610099999998</v>
      </c>
      <c r="D52" s="34">
        <v>1.8E-3</v>
      </c>
      <c r="E52">
        <f t="shared" si="0"/>
        <v>14848.032879726863</v>
      </c>
      <c r="F52">
        <f t="shared" si="1"/>
        <v>14848</v>
      </c>
      <c r="G52">
        <f t="shared" si="2"/>
        <v>1.0159999997995328E-2</v>
      </c>
      <c r="J52">
        <f>+G52</f>
        <v>1.0159999997995328E-2</v>
      </c>
      <c r="O52">
        <f t="shared" ca="1" si="3"/>
        <v>1.6269089601355369E-2</v>
      </c>
      <c r="Q52" s="2">
        <f t="shared" si="4"/>
        <v>42096.110099999998</v>
      </c>
    </row>
    <row r="53" spans="1:17" x14ac:dyDescent="0.2">
      <c r="A53" s="49" t="s">
        <v>123</v>
      </c>
      <c r="B53" s="50" t="s">
        <v>33</v>
      </c>
      <c r="C53" s="51">
        <v>58653.468500000003</v>
      </c>
      <c r="D53" s="52">
        <v>3.5000000000000001E-3</v>
      </c>
      <c r="E53">
        <f t="shared" si="0"/>
        <v>19828.07656834033</v>
      </c>
      <c r="F53">
        <f t="shared" si="1"/>
        <v>19828</v>
      </c>
      <c r="G53">
        <f t="shared" si="2"/>
        <v>2.3660000006202608E-2</v>
      </c>
      <c r="J53">
        <f>+G53</f>
        <v>2.3660000006202608E-2</v>
      </c>
      <c r="O53">
        <f t="shared" ca="1" si="3"/>
        <v>2.1808179254883767E-2</v>
      </c>
      <c r="Q53" s="2">
        <f t="shared" si="4"/>
        <v>43634.968500000003</v>
      </c>
    </row>
    <row r="54" spans="1:17" x14ac:dyDescent="0.2">
      <c r="A54" s="49" t="s">
        <v>123</v>
      </c>
      <c r="B54" s="50" t="s">
        <v>33</v>
      </c>
      <c r="C54" s="51">
        <v>58664.4424</v>
      </c>
      <c r="D54" s="52">
        <v>3.5000000000000001E-3</v>
      </c>
      <c r="E54">
        <f t="shared" si="0"/>
        <v>19863.590233167753</v>
      </c>
      <c r="F54">
        <f t="shared" si="1"/>
        <v>19863.5</v>
      </c>
      <c r="G54">
        <f t="shared" si="2"/>
        <v>2.7882499998668209E-2</v>
      </c>
      <c r="J54">
        <f>+G54</f>
        <v>2.7882499998668209E-2</v>
      </c>
      <c r="O54">
        <f t="shared" ca="1" si="3"/>
        <v>2.1847664733337636E-2</v>
      </c>
      <c r="Q54" s="2">
        <f t="shared" si="4"/>
        <v>43645.9424</v>
      </c>
    </row>
    <row r="55" spans="1:17" x14ac:dyDescent="0.2">
      <c r="A55" s="49" t="s">
        <v>123</v>
      </c>
      <c r="B55" s="50" t="s">
        <v>33</v>
      </c>
      <c r="C55" s="51">
        <v>58664.593399999998</v>
      </c>
      <c r="D55" s="52">
        <v>3.5000000000000001E-3</v>
      </c>
      <c r="E55">
        <f t="shared" si="0"/>
        <v>19864.078898399701</v>
      </c>
      <c r="F55">
        <f t="shared" si="1"/>
        <v>19864</v>
      </c>
      <c r="G55">
        <f t="shared" si="2"/>
        <v>2.4380000002565794E-2</v>
      </c>
      <c r="J55">
        <f>+G55</f>
        <v>2.4380000002565794E-2</v>
      </c>
      <c r="O55">
        <f t="shared" ca="1" si="3"/>
        <v>2.1848220866836986E-2</v>
      </c>
      <c r="Q55" s="2">
        <f t="shared" si="4"/>
        <v>43646.093399999998</v>
      </c>
    </row>
    <row r="56" spans="1:17" x14ac:dyDescent="0.2">
      <c r="A56" s="49" t="s">
        <v>123</v>
      </c>
      <c r="B56" s="50" t="s">
        <v>33</v>
      </c>
      <c r="C56" s="51">
        <v>58973.601199999997</v>
      </c>
      <c r="D56" s="52">
        <v>3.5000000000000001E-3</v>
      </c>
      <c r="E56">
        <f t="shared" si="0"/>
        <v>20864.087959741748</v>
      </c>
      <c r="F56">
        <f t="shared" si="1"/>
        <v>20864</v>
      </c>
      <c r="G56">
        <f t="shared" si="2"/>
        <v>2.7179999997315463E-2</v>
      </c>
      <c r="J56">
        <f>+G56</f>
        <v>2.7179999997315463E-2</v>
      </c>
      <c r="O56">
        <f t="shared" ca="1" si="3"/>
        <v>2.2960487865537466E-2</v>
      </c>
      <c r="Q56" s="2">
        <f t="shared" si="4"/>
        <v>43955.101199999997</v>
      </c>
    </row>
    <row r="57" spans="1:17" x14ac:dyDescent="0.2">
      <c r="A57" s="49" t="s">
        <v>123</v>
      </c>
      <c r="B57" s="50" t="s">
        <v>33</v>
      </c>
      <c r="C57" s="51">
        <v>59026.441299999999</v>
      </c>
      <c r="D57" s="52">
        <v>3.5000000000000001E-3</v>
      </c>
      <c r="E57">
        <f t="shared" si="0"/>
        <v>21035.088752609183</v>
      </c>
      <c r="F57">
        <f t="shared" si="1"/>
        <v>21035</v>
      </c>
      <c r="G57">
        <f t="shared" si="2"/>
        <v>2.7425000000221189E-2</v>
      </c>
      <c r="J57">
        <f>+G57</f>
        <v>2.7425000000221189E-2</v>
      </c>
      <c r="O57">
        <f t="shared" ca="1" si="3"/>
        <v>2.3150685522315251E-2</v>
      </c>
      <c r="Q57" s="2">
        <f t="shared" si="4"/>
        <v>44007.941299999999</v>
      </c>
    </row>
    <row r="58" spans="1:17" x14ac:dyDescent="0.2">
      <c r="A58" s="52" t="s">
        <v>124</v>
      </c>
      <c r="B58" s="53" t="s">
        <v>33</v>
      </c>
      <c r="C58" s="52">
        <v>59359.5507</v>
      </c>
      <c r="D58" s="52">
        <v>3.5000000000000001E-3</v>
      </c>
      <c r="E58">
        <f t="shared" ref="E58" si="6">+(C58-C$7)/C$8</f>
        <v>22113.095257358298</v>
      </c>
      <c r="F58">
        <f t="shared" ref="F58" si="7">ROUND(2*E58,0)/2</f>
        <v>22113</v>
      </c>
      <c r="G58">
        <f t="shared" ref="G58" si="8">+C58-(C$7+F58*C$8)</f>
        <v>2.9435000004014E-2</v>
      </c>
      <c r="J58">
        <f>+G58</f>
        <v>2.9435000004014E-2</v>
      </c>
      <c r="O58">
        <f t="shared" ref="O58" ca="1" si="9">+C$11+C$12*$F58</f>
        <v>2.4349709346914369E-2</v>
      </c>
      <c r="Q58" s="2">
        <f t="shared" ref="Q58" si="10">+C58-15018.5</f>
        <v>44341.0507</v>
      </c>
    </row>
    <row r="59" spans="1:17" x14ac:dyDescent="0.2">
      <c r="A59" s="31"/>
      <c r="B59" s="31"/>
      <c r="C59" s="28"/>
      <c r="D59" s="28"/>
    </row>
    <row r="60" spans="1:17" x14ac:dyDescent="0.2">
      <c r="A60" s="31"/>
      <c r="B60" s="31"/>
      <c r="C60" s="28"/>
      <c r="D60" s="28"/>
    </row>
    <row r="61" spans="1:17" x14ac:dyDescent="0.2">
      <c r="A61" s="31"/>
      <c r="B61" s="31"/>
      <c r="C61" s="28"/>
      <c r="D61" s="28"/>
    </row>
    <row r="62" spans="1:17" x14ac:dyDescent="0.2">
      <c r="A62" s="31"/>
      <c r="B62" s="31"/>
      <c r="C62" s="28"/>
      <c r="D62" s="28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Q57">
    <sortCondition ref="C21:C5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4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54</v>
      </c>
      <c r="I1" s="37" t="s">
        <v>55</v>
      </c>
      <c r="J1" s="38" t="s">
        <v>56</v>
      </c>
    </row>
    <row r="2" spans="1:16" x14ac:dyDescent="0.2">
      <c r="I2" s="39" t="s">
        <v>57</v>
      </c>
      <c r="J2" s="40" t="s">
        <v>58</v>
      </c>
    </row>
    <row r="3" spans="1:16" x14ac:dyDescent="0.2">
      <c r="A3" s="41" t="s">
        <v>59</v>
      </c>
      <c r="I3" s="39" t="s">
        <v>60</v>
      </c>
      <c r="J3" s="40" t="s">
        <v>61</v>
      </c>
    </row>
    <row r="4" spans="1:16" x14ac:dyDescent="0.2">
      <c r="I4" s="39" t="s">
        <v>62</v>
      </c>
      <c r="J4" s="40" t="s">
        <v>61</v>
      </c>
    </row>
    <row r="5" spans="1:16" ht="13.5" thickBot="1" x14ac:dyDescent="0.25">
      <c r="I5" s="42" t="s">
        <v>63</v>
      </c>
      <c r="J5" s="43" t="s">
        <v>64</v>
      </c>
    </row>
    <row r="10" spans="1:16" ht="13.5" thickBot="1" x14ac:dyDescent="0.25"/>
    <row r="11" spans="1:16" ht="12.75" customHeight="1" thickBot="1" x14ac:dyDescent="0.25">
      <c r="A11" s="10" t="str">
        <f t="shared" ref="A11:A22" si="0">P11</f>
        <v>BAVM 241 (=IBVS 6157) </v>
      </c>
      <c r="B11" s="3" t="str">
        <f t="shared" ref="B11:B22" si="1">IF(H11=INT(H11),"I","II")</f>
        <v>I</v>
      </c>
      <c r="C11" s="10">
        <f t="shared" ref="C11:C22" si="2">1*G11</f>
        <v>57114.610099999998</v>
      </c>
      <c r="D11" s="12" t="str">
        <f t="shared" ref="D11:D22" si="3">VLOOKUP(F11,I$1:J$5,2,FALSE)</f>
        <v>vis</v>
      </c>
      <c r="E11" s="44">
        <f>VLOOKUP(C11,Active!C$21:E$973,3,FALSE)</f>
        <v>14848.032879726863</v>
      </c>
      <c r="F11" s="3" t="s">
        <v>63</v>
      </c>
      <c r="G11" s="12" t="str">
        <f t="shared" ref="G11:G22" si="4">MID(I11,3,LEN(I11)-3)</f>
        <v>57114.6101</v>
      </c>
      <c r="H11" s="10">
        <f t="shared" ref="H11:H22" si="5">1*K11</f>
        <v>14848</v>
      </c>
      <c r="I11" s="45" t="s">
        <v>117</v>
      </c>
      <c r="J11" s="46" t="s">
        <v>118</v>
      </c>
      <c r="K11" s="45" t="s">
        <v>119</v>
      </c>
      <c r="L11" s="45" t="s">
        <v>120</v>
      </c>
      <c r="M11" s="46" t="s">
        <v>68</v>
      </c>
      <c r="N11" s="46" t="s">
        <v>63</v>
      </c>
      <c r="O11" s="47" t="s">
        <v>121</v>
      </c>
      <c r="P11" s="48" t="s">
        <v>122</v>
      </c>
    </row>
    <row r="12" spans="1:16" ht="12.75" customHeight="1" thickBot="1" x14ac:dyDescent="0.25">
      <c r="A12" s="10" t="str">
        <f t="shared" si="0"/>
        <v>IBVS 5781 </v>
      </c>
      <c r="B12" s="3" t="str">
        <f t="shared" si="1"/>
        <v>I</v>
      </c>
      <c r="C12" s="10">
        <f t="shared" si="2"/>
        <v>53941.434000000001</v>
      </c>
      <c r="D12" s="12" t="str">
        <f t="shared" si="3"/>
        <v>vis</v>
      </c>
      <c r="E12" s="44">
        <f>VLOOKUP(C12,Active!C$21:E$973,3,FALSE)</f>
        <v>4579.020727819945</v>
      </c>
      <c r="F12" s="3" t="s">
        <v>63</v>
      </c>
      <c r="G12" s="12" t="str">
        <f t="shared" si="4"/>
        <v>53941.434</v>
      </c>
      <c r="H12" s="10">
        <f t="shared" si="5"/>
        <v>4579</v>
      </c>
      <c r="I12" s="45" t="s">
        <v>65</v>
      </c>
      <c r="J12" s="46" t="s">
        <v>66</v>
      </c>
      <c r="K12" s="45">
        <v>4579</v>
      </c>
      <c r="L12" s="45" t="s">
        <v>67</v>
      </c>
      <c r="M12" s="46" t="s">
        <v>68</v>
      </c>
      <c r="N12" s="46" t="s">
        <v>69</v>
      </c>
      <c r="O12" s="47" t="s">
        <v>70</v>
      </c>
      <c r="P12" s="48" t="s">
        <v>71</v>
      </c>
    </row>
    <row r="13" spans="1:16" ht="12.75" customHeight="1" thickBot="1" x14ac:dyDescent="0.25">
      <c r="A13" s="10" t="str">
        <f t="shared" si="0"/>
        <v>IBVS 5781 </v>
      </c>
      <c r="B13" s="3" t="str">
        <f t="shared" si="1"/>
        <v>I</v>
      </c>
      <c r="C13" s="10">
        <f t="shared" si="2"/>
        <v>54217.373599999999</v>
      </c>
      <c r="D13" s="12" t="str">
        <f t="shared" si="3"/>
        <v>vis</v>
      </c>
      <c r="E13" s="44">
        <f>VLOOKUP(C13,Active!C$21:E$973,3,FALSE)</f>
        <v>5472.014692318895</v>
      </c>
      <c r="F13" s="3" t="s">
        <v>63</v>
      </c>
      <c r="G13" s="12" t="str">
        <f t="shared" si="4"/>
        <v>54217.3736</v>
      </c>
      <c r="H13" s="10">
        <f t="shared" si="5"/>
        <v>5472</v>
      </c>
      <c r="I13" s="45" t="s">
        <v>72</v>
      </c>
      <c r="J13" s="46" t="s">
        <v>73</v>
      </c>
      <c r="K13" s="45">
        <v>5472</v>
      </c>
      <c r="L13" s="45" t="s">
        <v>74</v>
      </c>
      <c r="M13" s="46" t="s">
        <v>68</v>
      </c>
      <c r="N13" s="46" t="s">
        <v>55</v>
      </c>
      <c r="O13" s="47" t="s">
        <v>70</v>
      </c>
      <c r="P13" s="48" t="s">
        <v>71</v>
      </c>
    </row>
    <row r="14" spans="1:16" ht="12.75" customHeight="1" thickBot="1" x14ac:dyDescent="0.25">
      <c r="A14" s="10" t="str">
        <f t="shared" si="0"/>
        <v>BAVM 209 </v>
      </c>
      <c r="B14" s="3" t="str">
        <f t="shared" si="1"/>
        <v>II</v>
      </c>
      <c r="C14" s="10">
        <f t="shared" si="2"/>
        <v>54971.502399999998</v>
      </c>
      <c r="D14" s="12" t="str">
        <f t="shared" si="3"/>
        <v>vis</v>
      </c>
      <c r="E14" s="44">
        <f>VLOOKUP(C14,Active!C$21:E$973,3,FALSE)</f>
        <v>7912.5214802349437</v>
      </c>
      <c r="F14" s="3" t="s">
        <v>63</v>
      </c>
      <c r="G14" s="12" t="str">
        <f t="shared" si="4"/>
        <v>54971.5024</v>
      </c>
      <c r="H14" s="10">
        <f t="shared" si="5"/>
        <v>7912.5</v>
      </c>
      <c r="I14" s="45" t="s">
        <v>75</v>
      </c>
      <c r="J14" s="46" t="s">
        <v>76</v>
      </c>
      <c r="K14" s="45">
        <v>7912.5</v>
      </c>
      <c r="L14" s="45" t="s">
        <v>77</v>
      </c>
      <c r="M14" s="46" t="s">
        <v>68</v>
      </c>
      <c r="N14" s="46" t="s">
        <v>78</v>
      </c>
      <c r="O14" s="47" t="s">
        <v>79</v>
      </c>
      <c r="P14" s="48" t="s">
        <v>80</v>
      </c>
    </row>
    <row r="15" spans="1:16" ht="12.75" customHeight="1" thickBot="1" x14ac:dyDescent="0.25">
      <c r="A15" s="10" t="str">
        <f t="shared" si="0"/>
        <v>IBVS 5920 </v>
      </c>
      <c r="B15" s="3" t="str">
        <f t="shared" si="1"/>
        <v>I</v>
      </c>
      <c r="C15" s="10">
        <f t="shared" si="2"/>
        <v>55067.444300000003</v>
      </c>
      <c r="D15" s="12" t="str">
        <f t="shared" si="3"/>
        <v>vis</v>
      </c>
      <c r="E15" s="44">
        <f>VLOOKUP(C15,Active!C$21:E$973,3,FALSE)</f>
        <v>8223.0080419410824</v>
      </c>
      <c r="F15" s="3" t="s">
        <v>63</v>
      </c>
      <c r="G15" s="12" t="str">
        <f t="shared" si="4"/>
        <v>55067.4443</v>
      </c>
      <c r="H15" s="10">
        <f t="shared" si="5"/>
        <v>8223</v>
      </c>
      <c r="I15" s="45" t="s">
        <v>81</v>
      </c>
      <c r="J15" s="46" t="s">
        <v>82</v>
      </c>
      <c r="K15" s="45" t="s">
        <v>83</v>
      </c>
      <c r="L15" s="45" t="s">
        <v>84</v>
      </c>
      <c r="M15" s="46" t="s">
        <v>68</v>
      </c>
      <c r="N15" s="46" t="s">
        <v>55</v>
      </c>
      <c r="O15" s="47" t="s">
        <v>70</v>
      </c>
      <c r="P15" s="48" t="s">
        <v>85</v>
      </c>
    </row>
    <row r="16" spans="1:16" ht="12.75" customHeight="1" thickBot="1" x14ac:dyDescent="0.25">
      <c r="A16" s="10" t="str">
        <f t="shared" si="0"/>
        <v>IBVS 5945 </v>
      </c>
      <c r="B16" s="3" t="str">
        <f t="shared" si="1"/>
        <v>II</v>
      </c>
      <c r="C16" s="10">
        <f t="shared" si="2"/>
        <v>55327.783000000003</v>
      </c>
      <c r="D16" s="12" t="str">
        <f t="shared" si="3"/>
        <v>vis</v>
      </c>
      <c r="E16" s="44">
        <f>VLOOKUP(C16,Active!C$21:E$973,3,FALSE)</f>
        <v>9065.5144738758408</v>
      </c>
      <c r="F16" s="3" t="s">
        <v>63</v>
      </c>
      <c r="G16" s="12" t="str">
        <f t="shared" si="4"/>
        <v>55327.7830</v>
      </c>
      <c r="H16" s="10">
        <f t="shared" si="5"/>
        <v>9065.5</v>
      </c>
      <c r="I16" s="45" t="s">
        <v>86</v>
      </c>
      <c r="J16" s="46" t="s">
        <v>87</v>
      </c>
      <c r="K16" s="45" t="s">
        <v>88</v>
      </c>
      <c r="L16" s="45" t="s">
        <v>74</v>
      </c>
      <c r="M16" s="46" t="s">
        <v>68</v>
      </c>
      <c r="N16" s="46" t="s">
        <v>63</v>
      </c>
      <c r="O16" s="47" t="s">
        <v>89</v>
      </c>
      <c r="P16" s="48" t="s">
        <v>90</v>
      </c>
    </row>
    <row r="17" spans="1:16" ht="12.75" customHeight="1" thickBot="1" x14ac:dyDescent="0.25">
      <c r="A17" s="10" t="str">
        <f t="shared" si="0"/>
        <v>BAVM 214 </v>
      </c>
      <c r="B17" s="3" t="str">
        <f t="shared" si="1"/>
        <v>II</v>
      </c>
      <c r="C17" s="10">
        <f t="shared" si="2"/>
        <v>55357.447800000002</v>
      </c>
      <c r="D17" s="12" t="str">
        <f t="shared" si="3"/>
        <v>vis</v>
      </c>
      <c r="E17" s="44">
        <f>VLOOKUP(C17,Active!C$21:E$973,3,FALSE)</f>
        <v>9161.5155094577858</v>
      </c>
      <c r="F17" s="3" t="s">
        <v>63</v>
      </c>
      <c r="G17" s="12" t="str">
        <f t="shared" si="4"/>
        <v>55357.4478</v>
      </c>
      <c r="H17" s="10">
        <f t="shared" si="5"/>
        <v>9161.5</v>
      </c>
      <c r="I17" s="45" t="s">
        <v>91</v>
      </c>
      <c r="J17" s="46" t="s">
        <v>92</v>
      </c>
      <c r="K17" s="45" t="s">
        <v>93</v>
      </c>
      <c r="L17" s="45" t="s">
        <v>94</v>
      </c>
      <c r="M17" s="46" t="s">
        <v>68</v>
      </c>
      <c r="N17" s="46" t="s">
        <v>78</v>
      </c>
      <c r="O17" s="47" t="s">
        <v>79</v>
      </c>
      <c r="P17" s="48" t="s">
        <v>95</v>
      </c>
    </row>
    <row r="18" spans="1:16" ht="12.75" customHeight="1" thickBot="1" x14ac:dyDescent="0.25">
      <c r="A18" s="10" t="str">
        <f t="shared" si="0"/>
        <v>BAVM 220 </v>
      </c>
      <c r="B18" s="3" t="str">
        <f t="shared" si="1"/>
        <v>I</v>
      </c>
      <c r="C18" s="10">
        <f t="shared" si="2"/>
        <v>55672.4804</v>
      </c>
      <c r="D18" s="12" t="str">
        <f t="shared" si="3"/>
        <v>vis</v>
      </c>
      <c r="E18" s="44">
        <f>VLOOKUP(C18,Active!C$21:E$973,3,FALSE)</f>
        <v>10181.021989935443</v>
      </c>
      <c r="F18" s="3" t="s">
        <v>63</v>
      </c>
      <c r="G18" s="12" t="str">
        <f t="shared" si="4"/>
        <v>55672.4804</v>
      </c>
      <c r="H18" s="10">
        <f t="shared" si="5"/>
        <v>10181</v>
      </c>
      <c r="I18" s="45" t="s">
        <v>96</v>
      </c>
      <c r="J18" s="46" t="s">
        <v>97</v>
      </c>
      <c r="K18" s="45" t="s">
        <v>98</v>
      </c>
      <c r="L18" s="45" t="s">
        <v>99</v>
      </c>
      <c r="M18" s="46" t="s">
        <v>68</v>
      </c>
      <c r="N18" s="46" t="s">
        <v>78</v>
      </c>
      <c r="O18" s="47" t="s">
        <v>79</v>
      </c>
      <c r="P18" s="48" t="s">
        <v>100</v>
      </c>
    </row>
    <row r="19" spans="1:16" ht="12.75" customHeight="1" thickBot="1" x14ac:dyDescent="0.25">
      <c r="A19" s="10" t="str">
        <f t="shared" si="0"/>
        <v>BAVM 220 </v>
      </c>
      <c r="B19" s="3" t="str">
        <f t="shared" si="1"/>
        <v>I</v>
      </c>
      <c r="C19" s="10">
        <f t="shared" si="2"/>
        <v>55682.368699999999</v>
      </c>
      <c r="D19" s="12" t="str">
        <f t="shared" si="3"/>
        <v>vis</v>
      </c>
      <c r="E19" s="44">
        <f>VLOOKUP(C19,Active!C$21:E$973,3,FALSE)</f>
        <v>10213.022443002541</v>
      </c>
      <c r="F19" s="3" t="s">
        <v>63</v>
      </c>
      <c r="G19" s="12" t="str">
        <f t="shared" si="4"/>
        <v>55682.3687</v>
      </c>
      <c r="H19" s="10">
        <f t="shared" si="5"/>
        <v>10213</v>
      </c>
      <c r="I19" s="45" t="s">
        <v>101</v>
      </c>
      <c r="J19" s="46" t="s">
        <v>102</v>
      </c>
      <c r="K19" s="45" t="s">
        <v>103</v>
      </c>
      <c r="L19" s="45" t="s">
        <v>104</v>
      </c>
      <c r="M19" s="46" t="s">
        <v>68</v>
      </c>
      <c r="N19" s="46" t="s">
        <v>78</v>
      </c>
      <c r="O19" s="47" t="s">
        <v>79</v>
      </c>
      <c r="P19" s="48" t="s">
        <v>100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II</v>
      </c>
      <c r="C20" s="10">
        <f t="shared" si="2"/>
        <v>55682.5242</v>
      </c>
      <c r="D20" s="12" t="str">
        <f t="shared" si="3"/>
        <v>vis</v>
      </c>
      <c r="E20" s="44">
        <f>VLOOKUP(C20,Active!C$21:E$973,3,FALSE)</f>
        <v>10213.525671105648</v>
      </c>
      <c r="F20" s="3" t="s">
        <v>63</v>
      </c>
      <c r="G20" s="12" t="str">
        <f t="shared" si="4"/>
        <v>55682.5242</v>
      </c>
      <c r="H20" s="10">
        <f t="shared" si="5"/>
        <v>10213.5</v>
      </c>
      <c r="I20" s="45" t="s">
        <v>105</v>
      </c>
      <c r="J20" s="46" t="s">
        <v>106</v>
      </c>
      <c r="K20" s="45" t="s">
        <v>107</v>
      </c>
      <c r="L20" s="45" t="s">
        <v>108</v>
      </c>
      <c r="M20" s="46" t="s">
        <v>68</v>
      </c>
      <c r="N20" s="46" t="s">
        <v>78</v>
      </c>
      <c r="O20" s="47" t="s">
        <v>79</v>
      </c>
      <c r="P20" s="48" t="s">
        <v>100</v>
      </c>
    </row>
    <row r="21" spans="1:16" ht="12.75" customHeight="1" thickBot="1" x14ac:dyDescent="0.25">
      <c r="A21" s="10" t="str">
        <f t="shared" si="0"/>
        <v>BAVM 220 </v>
      </c>
      <c r="B21" s="3" t="str">
        <f t="shared" si="1"/>
        <v>II</v>
      </c>
      <c r="C21" s="10">
        <f t="shared" si="2"/>
        <v>55741.543100000003</v>
      </c>
      <c r="D21" s="12" t="str">
        <f t="shared" si="3"/>
        <v>vis</v>
      </c>
      <c r="E21" s="44">
        <f>VLOOKUP(C21,Active!C$21:E$973,3,FALSE)</f>
        <v>10404.522256921422</v>
      </c>
      <c r="F21" s="3" t="s">
        <v>63</v>
      </c>
      <c r="G21" s="12" t="str">
        <f t="shared" si="4"/>
        <v>55741.5431</v>
      </c>
      <c r="H21" s="10">
        <f t="shared" si="5"/>
        <v>10404.5</v>
      </c>
      <c r="I21" s="45" t="s">
        <v>109</v>
      </c>
      <c r="J21" s="46" t="s">
        <v>110</v>
      </c>
      <c r="K21" s="45" t="s">
        <v>111</v>
      </c>
      <c r="L21" s="45" t="s">
        <v>104</v>
      </c>
      <c r="M21" s="46" t="s">
        <v>68</v>
      </c>
      <c r="N21" s="46" t="s">
        <v>78</v>
      </c>
      <c r="O21" s="47" t="s">
        <v>79</v>
      </c>
      <c r="P21" s="48" t="s">
        <v>100</v>
      </c>
    </row>
    <row r="22" spans="1:16" ht="12.75" customHeight="1" thickBot="1" x14ac:dyDescent="0.25">
      <c r="A22" s="10" t="str">
        <f t="shared" si="0"/>
        <v>IBVS 6029 </v>
      </c>
      <c r="B22" s="3" t="str">
        <f t="shared" si="1"/>
        <v>II</v>
      </c>
      <c r="C22" s="10">
        <f t="shared" si="2"/>
        <v>56075.8891</v>
      </c>
      <c r="D22" s="12" t="str">
        <f t="shared" si="3"/>
        <v>vis</v>
      </c>
      <c r="E22" s="44">
        <f>VLOOKUP(C22,Active!C$21:E$973,3,FALSE)</f>
        <v>11486.530638662809</v>
      </c>
      <c r="F22" s="3" t="s">
        <v>63</v>
      </c>
      <c r="G22" s="12" t="str">
        <f t="shared" si="4"/>
        <v>56075.8891</v>
      </c>
      <c r="H22" s="10">
        <f t="shared" si="5"/>
        <v>11486.5</v>
      </c>
      <c r="I22" s="45" t="s">
        <v>112</v>
      </c>
      <c r="J22" s="46" t="s">
        <v>113</v>
      </c>
      <c r="K22" s="45" t="s">
        <v>114</v>
      </c>
      <c r="L22" s="45" t="s">
        <v>115</v>
      </c>
      <c r="M22" s="46" t="s">
        <v>68</v>
      </c>
      <c r="N22" s="46" t="s">
        <v>63</v>
      </c>
      <c r="O22" s="47" t="s">
        <v>89</v>
      </c>
      <c r="P22" s="48" t="s">
        <v>116</v>
      </c>
    </row>
    <row r="23" spans="1:16" x14ac:dyDescent="0.2">
      <c r="B23" s="3"/>
      <c r="E23" s="44"/>
      <c r="F23" s="3"/>
    </row>
    <row r="24" spans="1:16" x14ac:dyDescent="0.2">
      <c r="B24" s="3"/>
      <c r="E24" s="44"/>
      <c r="F24" s="3"/>
    </row>
    <row r="25" spans="1:16" x14ac:dyDescent="0.2">
      <c r="B25" s="3"/>
      <c r="E25" s="44"/>
      <c r="F25" s="3"/>
    </row>
    <row r="26" spans="1:16" x14ac:dyDescent="0.2">
      <c r="B26" s="3"/>
      <c r="E26" s="44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</sheetData>
  <phoneticPr fontId="7" type="noConversion"/>
  <hyperlinks>
    <hyperlink ref="P12" r:id="rId1" display="http://www.konkoly.hu/cgi-bin/IBVS?5781" xr:uid="{00000000-0004-0000-0100-000000000000}"/>
    <hyperlink ref="P13" r:id="rId2" display="http://www.konkoly.hu/cgi-bin/IBVS?5781" xr:uid="{00000000-0004-0000-0100-000001000000}"/>
    <hyperlink ref="P14" r:id="rId3" display="http://www.bav-astro.de/sfs/BAVM_link.php?BAVMnr=209" xr:uid="{00000000-0004-0000-0100-000002000000}"/>
    <hyperlink ref="P15" r:id="rId4" display="http://www.konkoly.hu/cgi-bin/IBVS?5920" xr:uid="{00000000-0004-0000-0100-000003000000}"/>
    <hyperlink ref="P16" r:id="rId5" display="http://www.konkoly.hu/cgi-bin/IBVS?5945" xr:uid="{00000000-0004-0000-0100-000004000000}"/>
    <hyperlink ref="P17" r:id="rId6" display="http://www.bav-astro.de/sfs/BAVM_link.php?BAVMnr=214" xr:uid="{00000000-0004-0000-0100-000005000000}"/>
    <hyperlink ref="P18" r:id="rId7" display="http://www.bav-astro.de/sfs/BAVM_link.php?BAVMnr=220" xr:uid="{00000000-0004-0000-0100-000006000000}"/>
    <hyperlink ref="P19" r:id="rId8" display="http://www.bav-astro.de/sfs/BAVM_link.php?BAVMnr=220" xr:uid="{00000000-0004-0000-0100-000007000000}"/>
    <hyperlink ref="P20" r:id="rId9" display="http://www.bav-astro.de/sfs/BAVM_link.php?BAVMnr=220" xr:uid="{00000000-0004-0000-0100-000008000000}"/>
    <hyperlink ref="P21" r:id="rId10" display="http://www.bav-astro.de/sfs/BAVM_link.php?BAVMnr=220" xr:uid="{00000000-0004-0000-0100-000009000000}"/>
    <hyperlink ref="P22" r:id="rId11" display="http://www.konkoly.hu/cgi-bin/IBVS?6029" xr:uid="{00000000-0004-0000-0100-00000A000000}"/>
    <hyperlink ref="P11" r:id="rId12" display="http://www.bav-astro.de/sfs/BAVM_link.php?BAVMnr=241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2024-08-24T08:14:13Z</dcterms:modified>
</cp:coreProperties>
</file>