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9C7C4ED-6532-48C6-B744-E4FD1B568F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ive" sheetId="1" r:id="rId1"/>
    <sheet name="BAV" sheetId="2" r:id="rId2"/>
  </sheets>
  <definedNames>
    <definedName name="solver_adj" localSheetId="0" hidden="1">Ative!$E$11:$E$13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77" i="1" l="1"/>
  <c r="F77" i="1" s="1"/>
  <c r="Q77" i="1"/>
  <c r="E78" i="1"/>
  <c r="F78" i="1"/>
  <c r="G78" i="1" s="1"/>
  <c r="K78" i="1" s="1"/>
  <c r="Q78" i="1"/>
  <c r="E79" i="1"/>
  <c r="F79" i="1" s="1"/>
  <c r="Q79" i="1"/>
  <c r="C4" i="1"/>
  <c r="C7" i="1"/>
  <c r="D4" i="1"/>
  <c r="C8" i="1"/>
  <c r="D9" i="1"/>
  <c r="C9" i="1"/>
  <c r="D11" i="1"/>
  <c r="W19" i="1" s="1"/>
  <c r="D12" i="1"/>
  <c r="P59" i="1" s="1"/>
  <c r="R59" i="1" s="1"/>
  <c r="T59" i="1" s="1"/>
  <c r="D13" i="1"/>
  <c r="Q76" i="1"/>
  <c r="Q75" i="1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W18" i="1"/>
  <c r="W26" i="1"/>
  <c r="Q23" i="1"/>
  <c r="Q74" i="1"/>
  <c r="Q21" i="1"/>
  <c r="Q22" i="1"/>
  <c r="Q36" i="1"/>
  <c r="Q59" i="1"/>
  <c r="Q60" i="1"/>
  <c r="Q72" i="1"/>
  <c r="Q73" i="1"/>
  <c r="Q63" i="1"/>
  <c r="Q64" i="1"/>
  <c r="Q65" i="1"/>
  <c r="Q66" i="1"/>
  <c r="Q67" i="1"/>
  <c r="Q68" i="1"/>
  <c r="Q69" i="1"/>
  <c r="Q70" i="1"/>
  <c r="Q71" i="1"/>
  <c r="Q52" i="1"/>
  <c r="Q53" i="1"/>
  <c r="F16" i="1"/>
  <c r="F17" i="1" s="1"/>
  <c r="C17" i="1"/>
  <c r="Q61" i="1"/>
  <c r="Q62" i="1"/>
  <c r="Q55" i="1"/>
  <c r="Q25" i="1"/>
  <c r="Q26" i="1"/>
  <c r="Q27" i="1"/>
  <c r="Q28" i="1"/>
  <c r="Q29" i="1"/>
  <c r="Q30" i="1"/>
  <c r="Q31" i="1"/>
  <c r="Q32" i="1"/>
  <c r="Q33" i="1"/>
  <c r="Q34" i="1"/>
  <c r="Q35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4" i="1"/>
  <c r="Q56" i="1"/>
  <c r="Q57" i="1"/>
  <c r="Q58" i="1"/>
  <c r="B2" i="1"/>
  <c r="Q24" i="1"/>
  <c r="E22" i="2"/>
  <c r="E28" i="2"/>
  <c r="E51" i="1"/>
  <c r="F51" i="1"/>
  <c r="E62" i="1"/>
  <c r="F62" i="1"/>
  <c r="E73" i="1"/>
  <c r="F73" i="1"/>
  <c r="E24" i="1"/>
  <c r="F24" i="1"/>
  <c r="E57" i="1"/>
  <c r="F57" i="1"/>
  <c r="P57" i="1"/>
  <c r="R57" i="1" s="1"/>
  <c r="T57" i="1" s="1"/>
  <c r="E76" i="1"/>
  <c r="F76" i="1"/>
  <c r="E54" i="1"/>
  <c r="F54" i="1"/>
  <c r="E59" i="1"/>
  <c r="F59" i="1"/>
  <c r="E63" i="1"/>
  <c r="F63" i="1"/>
  <c r="E65" i="1"/>
  <c r="F65" i="1"/>
  <c r="E67" i="1"/>
  <c r="F67" i="1"/>
  <c r="E69" i="1"/>
  <c r="F69" i="1"/>
  <c r="E71" i="1"/>
  <c r="F71" i="1"/>
  <c r="E53" i="1"/>
  <c r="F53" i="1"/>
  <c r="E25" i="1"/>
  <c r="F25" i="1"/>
  <c r="E27" i="1"/>
  <c r="F27" i="1"/>
  <c r="E29" i="1"/>
  <c r="F29" i="1"/>
  <c r="E31" i="1"/>
  <c r="F31" i="1"/>
  <c r="E33" i="1"/>
  <c r="F33" i="1"/>
  <c r="E35" i="1"/>
  <c r="F35" i="1"/>
  <c r="E38" i="1"/>
  <c r="F38" i="1"/>
  <c r="E40" i="1"/>
  <c r="F40" i="1"/>
  <c r="E42" i="1"/>
  <c r="F42" i="1"/>
  <c r="E43" i="1"/>
  <c r="F43" i="1"/>
  <c r="E47" i="1"/>
  <c r="F47" i="1"/>
  <c r="G43" i="1"/>
  <c r="K43" i="1"/>
  <c r="G51" i="1"/>
  <c r="K51" i="1"/>
  <c r="G73" i="1"/>
  <c r="K73" i="1"/>
  <c r="G57" i="1"/>
  <c r="K57" i="1"/>
  <c r="G54" i="1"/>
  <c r="J54" i="1"/>
  <c r="G63" i="1"/>
  <c r="J63" i="1"/>
  <c r="G67" i="1"/>
  <c r="J67" i="1"/>
  <c r="G71" i="1"/>
  <c r="J71" i="1"/>
  <c r="G25" i="1"/>
  <c r="K25" i="1"/>
  <c r="G29" i="1"/>
  <c r="K29" i="1"/>
  <c r="G33" i="1"/>
  <c r="K33" i="1"/>
  <c r="G38" i="1"/>
  <c r="I38" i="1"/>
  <c r="G42" i="1"/>
  <c r="I42" i="1"/>
  <c r="G21" i="1"/>
  <c r="K21" i="1"/>
  <c r="G44" i="1"/>
  <c r="K44" i="1"/>
  <c r="E21" i="1"/>
  <c r="F21" i="1"/>
  <c r="E44" i="1"/>
  <c r="F44" i="1"/>
  <c r="E48" i="1"/>
  <c r="F48" i="1"/>
  <c r="E50" i="1"/>
  <c r="F50" i="1"/>
  <c r="E61" i="1"/>
  <c r="F61" i="1"/>
  <c r="E72" i="1"/>
  <c r="F72" i="1"/>
  <c r="E74" i="1"/>
  <c r="F74" i="1"/>
  <c r="E56" i="1"/>
  <c r="F56" i="1"/>
  <c r="E58" i="1"/>
  <c r="F58" i="1"/>
  <c r="E75" i="1"/>
  <c r="F75" i="1"/>
  <c r="E55" i="1"/>
  <c r="F55" i="1"/>
  <c r="E60" i="1"/>
  <c r="F60" i="1"/>
  <c r="E64" i="1"/>
  <c r="F64" i="1"/>
  <c r="E66" i="1"/>
  <c r="F66" i="1"/>
  <c r="E68" i="1"/>
  <c r="F68" i="1"/>
  <c r="E70" i="1"/>
  <c r="F70" i="1"/>
  <c r="E52" i="1"/>
  <c r="F52" i="1"/>
  <c r="E23" i="1"/>
  <c r="F23" i="1"/>
  <c r="E26" i="1"/>
  <c r="F26" i="1"/>
  <c r="E28" i="1"/>
  <c r="F28" i="1"/>
  <c r="E30" i="1"/>
  <c r="F30" i="1"/>
  <c r="E32" i="1"/>
  <c r="F32" i="1"/>
  <c r="E34" i="1"/>
  <c r="F34" i="1"/>
  <c r="E37" i="1"/>
  <c r="F37" i="1"/>
  <c r="E39" i="1"/>
  <c r="F39" i="1"/>
  <c r="E41" i="1"/>
  <c r="F41" i="1"/>
  <c r="P41" i="1"/>
  <c r="R41" i="1" s="1"/>
  <c r="T41" i="1" s="1"/>
  <c r="E22" i="1"/>
  <c r="F22" i="1"/>
  <c r="E45" i="1"/>
  <c r="F45" i="1"/>
  <c r="E49" i="1"/>
  <c r="F49" i="1"/>
  <c r="G47" i="1"/>
  <c r="K47" i="1"/>
  <c r="G50" i="1"/>
  <c r="K50" i="1"/>
  <c r="G72" i="1"/>
  <c r="K72" i="1"/>
  <c r="G56" i="1"/>
  <c r="K56" i="1"/>
  <c r="G75" i="1"/>
  <c r="K75" i="1"/>
  <c r="G60" i="1"/>
  <c r="J60" i="1"/>
  <c r="G66" i="1"/>
  <c r="J66" i="1"/>
  <c r="G70" i="1"/>
  <c r="G23" i="1"/>
  <c r="K23" i="1"/>
  <c r="G28" i="1"/>
  <c r="K28" i="1"/>
  <c r="G37" i="1"/>
  <c r="I37" i="1"/>
  <c r="G41" i="1"/>
  <c r="I41" i="1"/>
  <c r="E36" i="1"/>
  <c r="F36" i="1"/>
  <c r="E46" i="1"/>
  <c r="F46" i="1"/>
  <c r="G45" i="1"/>
  <c r="K45" i="1"/>
  <c r="G48" i="1"/>
  <c r="K48" i="1"/>
  <c r="G46" i="1"/>
  <c r="K46" i="1"/>
  <c r="E19" i="2"/>
  <c r="G39" i="1"/>
  <c r="I39" i="1"/>
  <c r="G52" i="1"/>
  <c r="G58" i="1"/>
  <c r="K58" i="1"/>
  <c r="G36" i="1"/>
  <c r="K36" i="1"/>
  <c r="G27" i="1"/>
  <c r="K27" i="1"/>
  <c r="G59" i="1"/>
  <c r="J59" i="1"/>
  <c r="E27" i="2"/>
  <c r="E25" i="2"/>
  <c r="E21" i="2"/>
  <c r="E24" i="2"/>
  <c r="U49" i="1"/>
  <c r="G68" i="1"/>
  <c r="J68" i="1"/>
  <c r="G74" i="1"/>
  <c r="G40" i="1"/>
  <c r="I40" i="1"/>
  <c r="G53" i="1"/>
  <c r="G76" i="1"/>
  <c r="K76" i="1"/>
  <c r="E14" i="2"/>
  <c r="E18" i="2"/>
  <c r="G34" i="1"/>
  <c r="K34" i="1"/>
  <c r="E16" i="2"/>
  <c r="E13" i="2"/>
  <c r="E11" i="2"/>
  <c r="J70" i="1"/>
  <c r="G32" i="1"/>
  <c r="K32" i="1"/>
  <c r="G22" i="1"/>
  <c r="K22" i="1"/>
  <c r="G30" i="1"/>
  <c r="K30" i="1"/>
  <c r="G64" i="1"/>
  <c r="J64" i="1"/>
  <c r="G61" i="1"/>
  <c r="K61" i="1"/>
  <c r="G35" i="1"/>
  <c r="K35" i="1"/>
  <c r="G69" i="1"/>
  <c r="J69" i="1"/>
  <c r="G24" i="1"/>
  <c r="K24" i="1"/>
  <c r="E15" i="2"/>
  <c r="E12" i="2"/>
  <c r="E23" i="2"/>
  <c r="E20" i="2"/>
  <c r="E17" i="2"/>
  <c r="G26" i="1"/>
  <c r="K26" i="1"/>
  <c r="G55" i="1"/>
  <c r="J55" i="1"/>
  <c r="G31" i="1"/>
  <c r="K31" i="1"/>
  <c r="G65" i="1"/>
  <c r="J65" i="1"/>
  <c r="G62" i="1"/>
  <c r="K62" i="1"/>
  <c r="E26" i="2"/>
  <c r="I53" i="1"/>
  <c r="N53" i="1"/>
  <c r="K74" i="1"/>
  <c r="I52" i="1"/>
  <c r="N52" i="1"/>
  <c r="P44" i="1" l="1"/>
  <c r="R44" i="1" s="1"/>
  <c r="T44" i="1" s="1"/>
  <c r="P75" i="1"/>
  <c r="R75" i="1" s="1"/>
  <c r="T75" i="1" s="1"/>
  <c r="P38" i="1"/>
  <c r="R38" i="1" s="1"/>
  <c r="T38" i="1" s="1"/>
  <c r="W7" i="1"/>
  <c r="P23" i="1"/>
  <c r="R23" i="1" s="1"/>
  <c r="T23" i="1" s="1"/>
  <c r="P71" i="1"/>
  <c r="R71" i="1" s="1"/>
  <c r="T71" i="1" s="1"/>
  <c r="W15" i="1"/>
  <c r="P79" i="1"/>
  <c r="G79" i="1"/>
  <c r="K79" i="1" s="1"/>
  <c r="G77" i="1"/>
  <c r="P77" i="1"/>
  <c r="P78" i="1"/>
  <c r="R78" i="1" s="1"/>
  <c r="T78" i="1" s="1"/>
  <c r="P34" i="1"/>
  <c r="R34" i="1" s="1"/>
  <c r="T34" i="1" s="1"/>
  <c r="P68" i="1"/>
  <c r="R68" i="1" s="1"/>
  <c r="T68" i="1" s="1"/>
  <c r="P74" i="1"/>
  <c r="R74" i="1" s="1"/>
  <c r="T74" i="1" s="1"/>
  <c r="P31" i="1"/>
  <c r="R31" i="1" s="1"/>
  <c r="T31" i="1" s="1"/>
  <c r="P65" i="1"/>
  <c r="R65" i="1" s="1"/>
  <c r="T65" i="1" s="1"/>
  <c r="P62" i="1"/>
  <c r="R62" i="1" s="1"/>
  <c r="T62" i="1" s="1"/>
  <c r="W8" i="1"/>
  <c r="W16" i="1"/>
  <c r="W25" i="1"/>
  <c r="P46" i="1"/>
  <c r="R46" i="1" s="1"/>
  <c r="T46" i="1" s="1"/>
  <c r="P45" i="1"/>
  <c r="R45" i="1" s="1"/>
  <c r="T45" i="1" s="1"/>
  <c r="P28" i="1"/>
  <c r="R28" i="1" s="1"/>
  <c r="T28" i="1" s="1"/>
  <c r="P60" i="1"/>
  <c r="R60" i="1" s="1"/>
  <c r="T60" i="1" s="1"/>
  <c r="P50" i="1"/>
  <c r="R50" i="1" s="1"/>
  <c r="T50" i="1" s="1"/>
  <c r="P42" i="1"/>
  <c r="R42" i="1" s="1"/>
  <c r="T42" i="1" s="1"/>
  <c r="P25" i="1"/>
  <c r="R25" i="1" s="1"/>
  <c r="T25" i="1" s="1"/>
  <c r="P54" i="1"/>
  <c r="R54" i="1" s="1"/>
  <c r="T54" i="1" s="1"/>
  <c r="W9" i="1"/>
  <c r="W17" i="1"/>
  <c r="W24" i="1"/>
  <c r="P39" i="1"/>
  <c r="R39" i="1" s="1"/>
  <c r="T39" i="1" s="1"/>
  <c r="P52" i="1"/>
  <c r="R52" i="1" s="1"/>
  <c r="T52" i="1" s="1"/>
  <c r="P58" i="1"/>
  <c r="R58" i="1" s="1"/>
  <c r="T58" i="1" s="1"/>
  <c r="P21" i="1"/>
  <c r="R21" i="1" s="1"/>
  <c r="T21" i="1" s="1"/>
  <c r="P35" i="1"/>
  <c r="R35" i="1" s="1"/>
  <c r="T35" i="1" s="1"/>
  <c r="P69" i="1"/>
  <c r="R69" i="1" s="1"/>
  <c r="T69" i="1" s="1"/>
  <c r="P24" i="1"/>
  <c r="R24" i="1" s="1"/>
  <c r="T24" i="1" s="1"/>
  <c r="W2" i="1"/>
  <c r="W10" i="1"/>
  <c r="W31" i="1"/>
  <c r="W23" i="1"/>
  <c r="D15" i="1"/>
  <c r="C19" i="1" s="1"/>
  <c r="P32" i="1"/>
  <c r="R32" i="1" s="1"/>
  <c r="T32" i="1" s="1"/>
  <c r="P66" i="1"/>
  <c r="R66" i="1" s="1"/>
  <c r="T66" i="1" s="1"/>
  <c r="P72" i="1"/>
  <c r="R72" i="1" s="1"/>
  <c r="T72" i="1" s="1"/>
  <c r="P47" i="1"/>
  <c r="R47" i="1" s="1"/>
  <c r="T47" i="1" s="1"/>
  <c r="P29" i="1"/>
  <c r="R29" i="1" s="1"/>
  <c r="T29" i="1" s="1"/>
  <c r="P63" i="1"/>
  <c r="R63" i="1" s="1"/>
  <c r="T63" i="1" s="1"/>
  <c r="P51" i="1"/>
  <c r="R51" i="1" s="1"/>
  <c r="T51" i="1" s="1"/>
  <c r="W3" i="1"/>
  <c r="W11" i="1"/>
  <c r="W30" i="1"/>
  <c r="W22" i="1"/>
  <c r="D16" i="1"/>
  <c r="D19" i="1" s="1"/>
  <c r="P36" i="1"/>
  <c r="R36" i="1" s="1"/>
  <c r="T36" i="1" s="1"/>
  <c r="P22" i="1"/>
  <c r="R22" i="1" s="1"/>
  <c r="T22" i="1" s="1"/>
  <c r="P26" i="1"/>
  <c r="R26" i="1" s="1"/>
  <c r="T26" i="1" s="1"/>
  <c r="P55" i="1"/>
  <c r="R55" i="1" s="1"/>
  <c r="T55" i="1" s="1"/>
  <c r="P48" i="1"/>
  <c r="R48" i="1" s="1"/>
  <c r="T48" i="1" s="1"/>
  <c r="P40" i="1"/>
  <c r="R40" i="1" s="1"/>
  <c r="T40" i="1" s="1"/>
  <c r="P53" i="1"/>
  <c r="R53" i="1" s="1"/>
  <c r="T53" i="1" s="1"/>
  <c r="P76" i="1"/>
  <c r="R76" i="1" s="1"/>
  <c r="T76" i="1" s="1"/>
  <c r="W4" i="1"/>
  <c r="W12" i="1"/>
  <c r="W29" i="1"/>
  <c r="W21" i="1"/>
  <c r="P37" i="1"/>
  <c r="R37" i="1" s="1"/>
  <c r="T37" i="1" s="1"/>
  <c r="P70" i="1"/>
  <c r="R70" i="1" s="1"/>
  <c r="T70" i="1" s="1"/>
  <c r="P56" i="1"/>
  <c r="R56" i="1" s="1"/>
  <c r="T56" i="1" s="1"/>
  <c r="P33" i="1"/>
  <c r="R33" i="1" s="1"/>
  <c r="T33" i="1" s="1"/>
  <c r="P67" i="1"/>
  <c r="R67" i="1" s="1"/>
  <c r="T67" i="1" s="1"/>
  <c r="P73" i="1"/>
  <c r="R73" i="1" s="1"/>
  <c r="T73" i="1" s="1"/>
  <c r="W5" i="1"/>
  <c r="W13" i="1"/>
  <c r="W28" i="1"/>
  <c r="W20" i="1"/>
  <c r="P49" i="1"/>
  <c r="R49" i="1" s="1"/>
  <c r="T49" i="1" s="1"/>
  <c r="P30" i="1"/>
  <c r="R30" i="1" s="1"/>
  <c r="T30" i="1" s="1"/>
  <c r="P64" i="1"/>
  <c r="R64" i="1" s="1"/>
  <c r="T64" i="1" s="1"/>
  <c r="P61" i="1"/>
  <c r="R61" i="1" s="1"/>
  <c r="T61" i="1" s="1"/>
  <c r="P43" i="1"/>
  <c r="R43" i="1" s="1"/>
  <c r="T43" i="1" s="1"/>
  <c r="P27" i="1"/>
  <c r="R27" i="1" s="1"/>
  <c r="T27" i="1" s="1"/>
  <c r="W6" i="1"/>
  <c r="W14" i="1"/>
  <c r="W27" i="1"/>
  <c r="C12" i="1"/>
  <c r="C11" i="1"/>
  <c r="C16" i="1" l="1"/>
  <c r="D18" i="1" s="1"/>
  <c r="O77" i="1"/>
  <c r="O78" i="1"/>
  <c r="O79" i="1"/>
  <c r="O39" i="1"/>
  <c r="O57" i="1"/>
  <c r="O40" i="1"/>
  <c r="O28" i="1"/>
  <c r="O72" i="1"/>
  <c r="O58" i="1"/>
  <c r="O45" i="1"/>
  <c r="O32" i="1"/>
  <c r="O35" i="1"/>
  <c r="O60" i="1"/>
  <c r="O52" i="1"/>
  <c r="O51" i="1"/>
  <c r="O66" i="1"/>
  <c r="O26" i="1"/>
  <c r="O31" i="1"/>
  <c r="O55" i="1"/>
  <c r="O22" i="1"/>
  <c r="O42" i="1"/>
  <c r="O61" i="1"/>
  <c r="O43" i="1"/>
  <c r="O24" i="1"/>
  <c r="O47" i="1"/>
  <c r="O37" i="1"/>
  <c r="O38" i="1"/>
  <c r="O74" i="1"/>
  <c r="O62" i="1"/>
  <c r="O71" i="1"/>
  <c r="O27" i="1"/>
  <c r="O68" i="1"/>
  <c r="O33" i="1"/>
  <c r="O54" i="1"/>
  <c r="O34" i="1"/>
  <c r="O67" i="1"/>
  <c r="O64" i="1"/>
  <c r="O44" i="1"/>
  <c r="O75" i="1"/>
  <c r="O29" i="1"/>
  <c r="O30" i="1"/>
  <c r="O70" i="1"/>
  <c r="O63" i="1"/>
  <c r="O56" i="1"/>
  <c r="O23" i="1"/>
  <c r="C15" i="1"/>
  <c r="C18" i="1" s="1"/>
  <c r="O25" i="1"/>
  <c r="O53" i="1"/>
  <c r="O36" i="1"/>
  <c r="O59" i="1"/>
  <c r="O49" i="1"/>
  <c r="O50" i="1"/>
  <c r="O76" i="1"/>
  <c r="O73" i="1"/>
  <c r="O48" i="1"/>
  <c r="O21" i="1"/>
  <c r="O46" i="1"/>
  <c r="O41" i="1"/>
  <c r="O65" i="1"/>
  <c r="O69" i="1"/>
  <c r="R77" i="1"/>
  <c r="T77" i="1" s="1"/>
  <c r="K77" i="1"/>
  <c r="R79" i="1"/>
  <c r="T79" i="1" s="1"/>
  <c r="E14" i="1" l="1"/>
  <c r="F18" i="1"/>
  <c r="F19" i="1" s="1"/>
</calcChain>
</file>

<file path=xl/sharedStrings.xml><?xml version="1.0" encoding="utf-8"?>
<sst xmlns="http://schemas.openxmlformats.org/spreadsheetml/2006/main" count="337" uniqueCount="149">
  <si>
    <t>IBVS 6196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</si>
  <si>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</si>
  <si>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</si>
  <si>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</si>
  <si>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</si>
  <si>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</si>
  <si>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</si>
  <si>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</si>
  <si>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</si>
  <si>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</si>
  <si>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</si>
  <si>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</si>
  <si>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</si>
  <si>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</si>
  <si>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</si>
  <si>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</si>
  <si>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</si>
  <si>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</si>
  <si>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</si>
  <si>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</si>
  <si>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</si>
  <si>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</si>
  <si>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</si>
  <si>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</si>
  <si>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</si>
  <si>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</si>
  <si>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</si>
  <si>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</si>
  <si>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</si>
  <si>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</si>
  <si>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</si>
  <si>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</si>
  <si>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</si>
  <si>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</si>
  <si>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</si>
  <si>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</si>
  <si>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</si>
  <si>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</si>
  <si>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V1104 Her / GSC 3532-0174               </t>
  </si>
  <si>
    <t xml:space="preserve">EW        </t>
  </si>
  <si>
    <t>IBVS 5781</t>
  </si>
  <si>
    <t>II</t>
  </si>
  <si>
    <t>IBVS 5438</t>
  </si>
  <si>
    <t>IBVS 5543</t>
  </si>
  <si>
    <t>IBVS 5713</t>
  </si>
  <si>
    <t>IBVS 5920</t>
  </si>
  <si>
    <t>Add cycle</t>
  </si>
  <si>
    <t>Old Cycle</t>
  </si>
  <si>
    <t>IBVS 5333</t>
  </si>
  <si>
    <t>IBVS 5918</t>
  </si>
  <si>
    <t>IBVS 5992</t>
  </si>
  <si>
    <t>IBVS 6010</t>
  </si>
  <si>
    <t>OEJV 0003</t>
  </si>
  <si>
    <t>Quad. Ephemeris =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</si>
  <si>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</si>
  <si>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</si>
  <si>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</si>
  <si>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</si>
  <si>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</si>
  <si>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</si>
  <si>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</si>
  <si>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</si>
  <si>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</si>
  <si>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</si>
  <si>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</si>
  <si>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</si>
  <si>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</si>
  <si>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</si>
  <si>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</si>
  <si>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2454000.3333 </t>
  </si>
  <si>
    <t> 21.09.2006 19:59 </t>
  </si>
  <si>
    <t> -0.0005 </t>
  </si>
  <si>
    <t>C </t>
  </si>
  <si>
    <t>R</t>
  </si>
  <si>
    <t> E.Blättler </t>
  </si>
  <si>
    <t>IBVS 5781 </t>
  </si>
  <si>
    <t>2454217.3833 </t>
  </si>
  <si>
    <t> 26.04.2007 21:11 </t>
  </si>
  <si>
    <t> -0.0029 </t>
  </si>
  <si>
    <t>2454217.4962 </t>
  </si>
  <si>
    <t> 26.04.2007 23:54 </t>
  </si>
  <si>
    <t> -0.0039 </t>
  </si>
  <si>
    <t>2454971.4262 </t>
  </si>
  <si>
    <t> 19.05.2009 22:13 </t>
  </si>
  <si>
    <t> -0.0033 </t>
  </si>
  <si>
    <t>-I</t>
  </si>
  <si>
    <t> F.Agerer </t>
  </si>
  <si>
    <t>BAVM 209 </t>
  </si>
  <si>
    <t>2454971.5377 </t>
  </si>
  <si>
    <t> 20.05.2009 00:54 </t>
  </si>
  <si>
    <t>10730</t>
  </si>
  <si>
    <t> -0.0057 </t>
  </si>
  <si>
    <t>2455067.3635 </t>
  </si>
  <si>
    <t> 23.08.2009 20:43 </t>
  </si>
  <si>
    <t>11150.5</t>
  </si>
  <si>
    <t> -0.0020 </t>
  </si>
  <si>
    <t>IBVS 5920 </t>
  </si>
  <si>
    <t>2455067.4729 </t>
  </si>
  <si>
    <t> 23.08.2009 23:20 </t>
  </si>
  <si>
    <t>11151</t>
  </si>
  <si>
    <t> -0.0066 </t>
  </si>
  <si>
    <t>2455672.3727 </t>
  </si>
  <si>
    <t> 20.04.2011 20:56 </t>
  </si>
  <si>
    <t>13805.5</t>
  </si>
  <si>
    <t> -0.0049 </t>
  </si>
  <si>
    <t>BAVM 220 </t>
  </si>
  <si>
    <t>2455672.4864 </t>
  </si>
  <si>
    <t> 20.04.2011 23:40 </t>
  </si>
  <si>
    <t>13806</t>
  </si>
  <si>
    <t> -0.0052 </t>
  </si>
  <si>
    <t>2455672.5999 </t>
  </si>
  <si>
    <t> 21.04.2011 02:23 </t>
  </si>
  <si>
    <t>13806.5</t>
  </si>
  <si>
    <t> -0.0056 </t>
  </si>
  <si>
    <t>2455682.4000 </t>
  </si>
  <si>
    <t> 30.04.2011 21:36 </t>
  </si>
  <si>
    <t>13849.5</t>
  </si>
  <si>
    <t> -0.0042 </t>
  </si>
  <si>
    <t>2455682.5127 </t>
  </si>
  <si>
    <t> 01.05.2011 00:18 </t>
  </si>
  <si>
    <t>13850</t>
  </si>
  <si>
    <t> -0.0054 </t>
  </si>
  <si>
    <t>2455692.4271 </t>
  </si>
  <si>
    <t> 10.05.2011 22:15 </t>
  </si>
  <si>
    <t>13893.5</t>
  </si>
  <si>
    <t> -0.0037 </t>
  </si>
  <si>
    <t>2455692.5399 </t>
  </si>
  <si>
    <t> 11.05.2011 00:57 </t>
  </si>
  <si>
    <t>13894</t>
  </si>
  <si>
    <t> -0.0048 </t>
  </si>
  <si>
    <t>2455741.4193 </t>
  </si>
  <si>
    <t> 28.06.2011 22:03 </t>
  </si>
  <si>
    <t>14108.5</t>
  </si>
  <si>
    <t>2455741.5331 </t>
  </si>
  <si>
    <t> 29.06.2011 00:47 </t>
  </si>
  <si>
    <t>14109</t>
  </si>
  <si>
    <t> -0.0050 </t>
  </si>
  <si>
    <t>2455741.7615 </t>
  </si>
  <si>
    <t> 29.06.2011 06:16 </t>
  </si>
  <si>
    <t>14110</t>
  </si>
  <si>
    <t> -0.0045 </t>
  </si>
  <si>
    <t> R.Diethelm </t>
  </si>
  <si>
    <t>IBVS 5992 </t>
  </si>
  <si>
    <t>2455741.8735 </t>
  </si>
  <si>
    <t> 29.06.2011 08:57 </t>
  </si>
  <si>
    <t>14110.5</t>
  </si>
  <si>
    <t> -0.0065 </t>
  </si>
  <si>
    <t>IBVS 6154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</si>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</sst>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20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7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/>
    <xf numFmtId="0" fontId="4" fillId="0" borderId="5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11" fontId="0" fillId="0" borderId="0" xfId="0" applyNumberFormat="1" applyAlignment="1"/>
    <xf numFmtId="0" fontId="0" fillId="0" borderId="17" xfId="0" applyBorder="1" applyAlignment="1"/>
    <xf numFmtId="0" fontId="13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4" fillId="0" borderId="0" xfId="0" applyFont="1" applyAlignment="1"/>
    <xf numFmtId="14" fontId="20" fillId="0" borderId="0" xfId="0" applyNumberFormat="1" applyFont="1" applyAlignment="1"/>
    <xf numFmtId="0" fontId="20" fillId="0" borderId="0" xfId="0" applyFont="1" applyAlignment="1"/>
    <xf numFmtId="0" fontId="21" fillId="0" borderId="0" xfId="0" applyFont="1" applyAlignment="1"/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0" fillId="0" borderId="20" xfId="0" applyBorder="1" applyAlignment="1">
      <alignment horizontal="center"/>
    </xf>
    <xf numFmtId="0" fontId="0" fillId="0" borderId="21" xfId="0" applyBorder="1">
      <alignment vertical="top"/>
    </xf>
    <xf numFmtId="0" fontId="23" fillId="0" borderId="0" xfId="38" applyAlignment="1" applyProtection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>
      <alignment vertical="top"/>
    </xf>
    <xf numFmtId="0" fontId="0" fillId="0" borderId="0" xfId="0" quotePrefix="1">
      <alignment vertical="top"/>
    </xf>
    <xf numFmtId="0" fontId="5" fillId="24" borderId="24" xfId="0" applyFont="1" applyFill="1" applyBorder="1" applyAlignment="1">
      <alignment horizontal="left" vertical="top" wrapText="1" indent="1"/>
    </xf>
    <xf numFmtId="0" fontId="5" fillId="24" borderId="24" xfId="0" applyFont="1" applyFill="1" applyBorder="1" applyAlignment="1">
      <alignment horizontal="center" vertical="top" wrapText="1"/>
    </xf>
    <xf numFmtId="0" fontId="5" fillId="24" borderId="24" xfId="0" applyFont="1" applyFill="1" applyBorder="1" applyAlignment="1">
      <alignment horizontal="right" vertical="top" wrapText="1"/>
    </xf>
    <xf numFmtId="0" fontId="23" fillId="24" borderId="24" xfId="38" applyFill="1" applyBorder="1" applyAlignment="1" applyProtection="1">
      <alignment horizontal="right" vertical="top" wrapText="1"/>
    </xf>
    <xf numFmtId="0" fontId="15" fillId="0" borderId="0" xfId="42" applyFont="1" applyAlignment="1">
      <alignment wrapText="1"/>
    </xf>
    <xf numFmtId="0" fontId="15" fillId="0" borderId="0" xfId="42" applyFont="1" applyAlignment="1">
      <alignment horizontal="center" wrapText="1"/>
    </xf>
    <xf numFmtId="0" fontId="15" fillId="0" borderId="0" xfId="42" applyFont="1" applyAlignment="1">
      <alignment horizontal="left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65" fontId="39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V1104 Her - O-C Diagr.</a:t>
            </a:r>
          </a:p>
        </c:rich>
      </c:tx>
      <c:layout>
        <c:manualLayout>
          <c:xMode val="edge"/>
          <c:yMode val="edge"/>
          <c:x val="0.36992481203007521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3953488372093023"/>
          <c:w val="0.80751879699248119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Ative!$D$21:$D$219</c:f>
                <c:numCache>
                  <c:formatCode>General</c:formatCode>
                  <c:ptCount val="19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plus>
            <c:minus>
              <c:numRef>
                <c:f>Ative!$D$21:$D$219</c:f>
                <c:numCache>
                  <c:formatCode>General</c:formatCode>
                  <c:ptCount val="19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Ative!$F$21:$F$979</c:f>
              <c:numCache>
                <c:formatCode>General</c:formatCode>
                <c:ptCount val="959"/>
                <c:pt idx="0">
                  <c:v>-5373</c:v>
                </c:pt>
                <c:pt idx="1">
                  <c:v>-5210.5</c:v>
                </c:pt>
                <c:pt idx="2">
                  <c:v>-21</c:v>
                </c:pt>
                <c:pt idx="3">
                  <c:v>0</c:v>
                </c:pt>
                <c:pt idx="4">
                  <c:v>9.5</c:v>
                </c:pt>
                <c:pt idx="5">
                  <c:v>10</c:v>
                </c:pt>
                <c:pt idx="6">
                  <c:v>40</c:v>
                </c:pt>
                <c:pt idx="7">
                  <c:v>114.5</c:v>
                </c:pt>
                <c:pt idx="8">
                  <c:v>115</c:v>
                </c:pt>
                <c:pt idx="9">
                  <c:v>115.5</c:v>
                </c:pt>
                <c:pt idx="10">
                  <c:v>145.5</c:v>
                </c:pt>
                <c:pt idx="11">
                  <c:v>146</c:v>
                </c:pt>
                <c:pt idx="12">
                  <c:v>158.5</c:v>
                </c:pt>
                <c:pt idx="13">
                  <c:v>211</c:v>
                </c:pt>
                <c:pt idx="14">
                  <c:v>211.5</c:v>
                </c:pt>
                <c:pt idx="15">
                  <c:v>212</c:v>
                </c:pt>
                <c:pt idx="16">
                  <c:v>840</c:v>
                </c:pt>
                <c:pt idx="17">
                  <c:v>888.5</c:v>
                </c:pt>
                <c:pt idx="18">
                  <c:v>914.5</c:v>
                </c:pt>
                <c:pt idx="19">
                  <c:v>1010.5</c:v>
                </c:pt>
                <c:pt idx="20">
                  <c:v>1076</c:v>
                </c:pt>
                <c:pt idx="21">
                  <c:v>1076.5</c:v>
                </c:pt>
                <c:pt idx="22">
                  <c:v>1493</c:v>
                </c:pt>
                <c:pt idx="23">
                  <c:v>1537</c:v>
                </c:pt>
                <c:pt idx="24">
                  <c:v>2547</c:v>
                </c:pt>
                <c:pt idx="25">
                  <c:v>2569</c:v>
                </c:pt>
                <c:pt idx="26">
                  <c:v>2709</c:v>
                </c:pt>
                <c:pt idx="27">
                  <c:v>2722</c:v>
                </c:pt>
                <c:pt idx="28">
                  <c:v>2726.5</c:v>
                </c:pt>
                <c:pt idx="29">
                  <c:v>2822.5</c:v>
                </c:pt>
                <c:pt idx="30">
                  <c:v>2823</c:v>
                </c:pt>
                <c:pt idx="31">
                  <c:v>4477</c:v>
                </c:pt>
                <c:pt idx="32">
                  <c:v>4640</c:v>
                </c:pt>
                <c:pt idx="33">
                  <c:v>4915.5</c:v>
                </c:pt>
                <c:pt idx="34">
                  <c:v>4916</c:v>
                </c:pt>
                <c:pt idx="35">
                  <c:v>6583</c:v>
                </c:pt>
                <c:pt idx="36">
                  <c:v>7535.5</c:v>
                </c:pt>
                <c:pt idx="37">
                  <c:v>7536</c:v>
                </c:pt>
                <c:pt idx="38">
                  <c:v>10844.5</c:v>
                </c:pt>
                <c:pt idx="39">
                  <c:v>10845</c:v>
                </c:pt>
                <c:pt idx="40">
                  <c:v>11265.5</c:v>
                </c:pt>
                <c:pt idx="41">
                  <c:v>11266</c:v>
                </c:pt>
                <c:pt idx="42">
                  <c:v>13920.5</c:v>
                </c:pt>
                <c:pt idx="43">
                  <c:v>13921</c:v>
                </c:pt>
                <c:pt idx="44">
                  <c:v>13921.5</c:v>
                </c:pt>
                <c:pt idx="45">
                  <c:v>13964.5</c:v>
                </c:pt>
                <c:pt idx="46">
                  <c:v>13965</c:v>
                </c:pt>
                <c:pt idx="47">
                  <c:v>14008.5</c:v>
                </c:pt>
                <c:pt idx="48">
                  <c:v>14009</c:v>
                </c:pt>
                <c:pt idx="49">
                  <c:v>14223.5</c:v>
                </c:pt>
                <c:pt idx="50">
                  <c:v>14224</c:v>
                </c:pt>
                <c:pt idx="51">
                  <c:v>14225</c:v>
                </c:pt>
                <c:pt idx="52">
                  <c:v>14225.5</c:v>
                </c:pt>
                <c:pt idx="53">
                  <c:v>20439</c:v>
                </c:pt>
                <c:pt idx="54">
                  <c:v>22021.5</c:v>
                </c:pt>
                <c:pt idx="55">
                  <c:v>22022</c:v>
                </c:pt>
                <c:pt idx="56">
                  <c:v>28582</c:v>
                </c:pt>
                <c:pt idx="57">
                  <c:v>28582.5</c:v>
                </c:pt>
                <c:pt idx="58">
                  <c:v>28666.5</c:v>
                </c:pt>
              </c:numCache>
            </c:numRef>
          </c:xVal>
          <c:yVal>
            <c:numRef>
              <c:f>Ative!$H$21:$H$979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5-458A-B1A8-C4BE1AD1C0F4}"/>
            </c:ext>
          </c:extLst>
        </c:ser>
        <c:ser>
          <c:idx val="1"/>
          <c:order val="1"/>
          <c:tx>
            <c:strRef>
              <c:f>Ative!$I$20:$I$20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plus>
            <c:min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Ative!$F$21:$F$979</c:f>
              <c:numCache>
                <c:formatCode>General</c:formatCode>
                <c:ptCount val="959"/>
                <c:pt idx="0">
                  <c:v>-5373</c:v>
                </c:pt>
                <c:pt idx="1">
                  <c:v>-5210.5</c:v>
                </c:pt>
                <c:pt idx="2">
                  <c:v>-21</c:v>
                </c:pt>
                <c:pt idx="3">
                  <c:v>0</c:v>
                </c:pt>
                <c:pt idx="4">
                  <c:v>9.5</c:v>
                </c:pt>
                <c:pt idx="5">
                  <c:v>10</c:v>
                </c:pt>
                <c:pt idx="6">
                  <c:v>40</c:v>
                </c:pt>
                <c:pt idx="7">
                  <c:v>114.5</c:v>
                </c:pt>
                <c:pt idx="8">
                  <c:v>115</c:v>
                </c:pt>
                <c:pt idx="9">
                  <c:v>115.5</c:v>
                </c:pt>
                <c:pt idx="10">
                  <c:v>145.5</c:v>
                </c:pt>
                <c:pt idx="11">
                  <c:v>146</c:v>
                </c:pt>
                <c:pt idx="12">
                  <c:v>158.5</c:v>
                </c:pt>
                <c:pt idx="13">
                  <c:v>211</c:v>
                </c:pt>
                <c:pt idx="14">
                  <c:v>211.5</c:v>
                </c:pt>
                <c:pt idx="15">
                  <c:v>212</c:v>
                </c:pt>
                <c:pt idx="16">
                  <c:v>840</c:v>
                </c:pt>
                <c:pt idx="17">
                  <c:v>888.5</c:v>
                </c:pt>
                <c:pt idx="18">
                  <c:v>914.5</c:v>
                </c:pt>
                <c:pt idx="19">
                  <c:v>1010.5</c:v>
                </c:pt>
                <c:pt idx="20">
                  <c:v>1076</c:v>
                </c:pt>
                <c:pt idx="21">
                  <c:v>1076.5</c:v>
                </c:pt>
                <c:pt idx="22">
                  <c:v>1493</c:v>
                </c:pt>
                <c:pt idx="23">
                  <c:v>1537</c:v>
                </c:pt>
                <c:pt idx="24">
                  <c:v>2547</c:v>
                </c:pt>
                <c:pt idx="25">
                  <c:v>2569</c:v>
                </c:pt>
                <c:pt idx="26">
                  <c:v>2709</c:v>
                </c:pt>
                <c:pt idx="27">
                  <c:v>2722</c:v>
                </c:pt>
                <c:pt idx="28">
                  <c:v>2726.5</c:v>
                </c:pt>
                <c:pt idx="29">
                  <c:v>2822.5</c:v>
                </c:pt>
                <c:pt idx="30">
                  <c:v>2823</c:v>
                </c:pt>
                <c:pt idx="31">
                  <c:v>4477</c:v>
                </c:pt>
                <c:pt idx="32">
                  <c:v>4640</c:v>
                </c:pt>
                <c:pt idx="33">
                  <c:v>4915.5</c:v>
                </c:pt>
                <c:pt idx="34">
                  <c:v>4916</c:v>
                </c:pt>
                <c:pt idx="35">
                  <c:v>6583</c:v>
                </c:pt>
                <c:pt idx="36">
                  <c:v>7535.5</c:v>
                </c:pt>
                <c:pt idx="37">
                  <c:v>7536</c:v>
                </c:pt>
                <c:pt idx="38">
                  <c:v>10844.5</c:v>
                </c:pt>
                <c:pt idx="39">
                  <c:v>10845</c:v>
                </c:pt>
                <c:pt idx="40">
                  <c:v>11265.5</c:v>
                </c:pt>
                <c:pt idx="41">
                  <c:v>11266</c:v>
                </c:pt>
                <c:pt idx="42">
                  <c:v>13920.5</c:v>
                </c:pt>
                <c:pt idx="43">
                  <c:v>13921</c:v>
                </c:pt>
                <c:pt idx="44">
                  <c:v>13921.5</c:v>
                </c:pt>
                <c:pt idx="45">
                  <c:v>13964.5</c:v>
                </c:pt>
                <c:pt idx="46">
                  <c:v>13965</c:v>
                </c:pt>
                <c:pt idx="47">
                  <c:v>14008.5</c:v>
                </c:pt>
                <c:pt idx="48">
                  <c:v>14009</c:v>
                </c:pt>
                <c:pt idx="49">
                  <c:v>14223.5</c:v>
                </c:pt>
                <c:pt idx="50">
                  <c:v>14224</c:v>
                </c:pt>
                <c:pt idx="51">
                  <c:v>14225</c:v>
                </c:pt>
                <c:pt idx="52">
                  <c:v>14225.5</c:v>
                </c:pt>
                <c:pt idx="53">
                  <c:v>20439</c:v>
                </c:pt>
                <c:pt idx="54">
                  <c:v>22021.5</c:v>
                </c:pt>
                <c:pt idx="55">
                  <c:v>22022</c:v>
                </c:pt>
                <c:pt idx="56">
                  <c:v>28582</c:v>
                </c:pt>
                <c:pt idx="57">
                  <c:v>28582.5</c:v>
                </c:pt>
                <c:pt idx="58">
                  <c:v>28666.5</c:v>
                </c:pt>
              </c:numCache>
            </c:numRef>
          </c:xVal>
          <c:yVal>
            <c:numRef>
              <c:f>Ative!$I$21:$I$979</c:f>
              <c:numCache>
                <c:formatCode>General</c:formatCode>
                <c:ptCount val="959"/>
                <c:pt idx="16">
                  <c:v>1.2500000011641532E-3</c:v>
                </c:pt>
                <c:pt idx="17">
                  <c:v>-2.7481249999254942E-3</c:v>
                </c:pt>
                <c:pt idx="18">
                  <c:v>9.4693749997531995E-3</c:v>
                </c:pt>
                <c:pt idx="19">
                  <c:v>4.3493749981280416E-3</c:v>
                </c:pt>
                <c:pt idx="20">
                  <c:v>2.2550000066985376E-3</c:v>
                </c:pt>
                <c:pt idx="21">
                  <c:v>2.1687499975087121E-4</c:v>
                </c:pt>
                <c:pt idx="31">
                  <c:v>3.2875000761123374E-4</c:v>
                </c:pt>
                <c:pt idx="32">
                  <c:v>-6.5000000031432137E-3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45-458A-B1A8-C4BE1AD1C0F4}"/>
            </c:ext>
          </c:extLst>
        </c:ser>
        <c:ser>
          <c:idx val="3"/>
          <c:order val="2"/>
          <c:tx>
            <c:strRef>
              <c:f>Ative!$J$20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plus>
            <c:min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Ative!$F$21:$F$979</c:f>
              <c:numCache>
                <c:formatCode>General</c:formatCode>
                <c:ptCount val="959"/>
                <c:pt idx="0">
                  <c:v>-5373</c:v>
                </c:pt>
                <c:pt idx="1">
                  <c:v>-5210.5</c:v>
                </c:pt>
                <c:pt idx="2">
                  <c:v>-21</c:v>
                </c:pt>
                <c:pt idx="3">
                  <c:v>0</c:v>
                </c:pt>
                <c:pt idx="4">
                  <c:v>9.5</c:v>
                </c:pt>
                <c:pt idx="5">
                  <c:v>10</c:v>
                </c:pt>
                <c:pt idx="6">
                  <c:v>40</c:v>
                </c:pt>
                <c:pt idx="7">
                  <c:v>114.5</c:v>
                </c:pt>
                <c:pt idx="8">
                  <c:v>115</c:v>
                </c:pt>
                <c:pt idx="9">
                  <c:v>115.5</c:v>
                </c:pt>
                <c:pt idx="10">
                  <c:v>145.5</c:v>
                </c:pt>
                <c:pt idx="11">
                  <c:v>146</c:v>
                </c:pt>
                <c:pt idx="12">
                  <c:v>158.5</c:v>
                </c:pt>
                <c:pt idx="13">
                  <c:v>211</c:v>
                </c:pt>
                <c:pt idx="14">
                  <c:v>211.5</c:v>
                </c:pt>
                <c:pt idx="15">
                  <c:v>212</c:v>
                </c:pt>
                <c:pt idx="16">
                  <c:v>840</c:v>
                </c:pt>
                <c:pt idx="17">
                  <c:v>888.5</c:v>
                </c:pt>
                <c:pt idx="18">
                  <c:v>914.5</c:v>
                </c:pt>
                <c:pt idx="19">
                  <c:v>1010.5</c:v>
                </c:pt>
                <c:pt idx="20">
                  <c:v>1076</c:v>
                </c:pt>
                <c:pt idx="21">
                  <c:v>1076.5</c:v>
                </c:pt>
                <c:pt idx="22">
                  <c:v>1493</c:v>
                </c:pt>
                <c:pt idx="23">
                  <c:v>1537</c:v>
                </c:pt>
                <c:pt idx="24">
                  <c:v>2547</c:v>
                </c:pt>
                <c:pt idx="25">
                  <c:v>2569</c:v>
                </c:pt>
                <c:pt idx="26">
                  <c:v>2709</c:v>
                </c:pt>
                <c:pt idx="27">
                  <c:v>2722</c:v>
                </c:pt>
                <c:pt idx="28">
                  <c:v>2726.5</c:v>
                </c:pt>
                <c:pt idx="29">
                  <c:v>2822.5</c:v>
                </c:pt>
                <c:pt idx="30">
                  <c:v>2823</c:v>
                </c:pt>
                <c:pt idx="31">
                  <c:v>4477</c:v>
                </c:pt>
                <c:pt idx="32">
                  <c:v>4640</c:v>
                </c:pt>
                <c:pt idx="33">
                  <c:v>4915.5</c:v>
                </c:pt>
                <c:pt idx="34">
                  <c:v>4916</c:v>
                </c:pt>
                <c:pt idx="35">
                  <c:v>6583</c:v>
                </c:pt>
                <c:pt idx="36">
                  <c:v>7535.5</c:v>
                </c:pt>
                <c:pt idx="37">
                  <c:v>7536</c:v>
                </c:pt>
                <c:pt idx="38">
                  <c:v>10844.5</c:v>
                </c:pt>
                <c:pt idx="39">
                  <c:v>10845</c:v>
                </c:pt>
                <c:pt idx="40">
                  <c:v>11265.5</c:v>
                </c:pt>
                <c:pt idx="41">
                  <c:v>11266</c:v>
                </c:pt>
                <c:pt idx="42">
                  <c:v>13920.5</c:v>
                </c:pt>
                <c:pt idx="43">
                  <c:v>13921</c:v>
                </c:pt>
                <c:pt idx="44">
                  <c:v>13921.5</c:v>
                </c:pt>
                <c:pt idx="45">
                  <c:v>13964.5</c:v>
                </c:pt>
                <c:pt idx="46">
                  <c:v>13965</c:v>
                </c:pt>
                <c:pt idx="47">
                  <c:v>14008.5</c:v>
                </c:pt>
                <c:pt idx="48">
                  <c:v>14009</c:v>
                </c:pt>
                <c:pt idx="49">
                  <c:v>14223.5</c:v>
                </c:pt>
                <c:pt idx="50">
                  <c:v>14224</c:v>
                </c:pt>
                <c:pt idx="51">
                  <c:v>14225</c:v>
                </c:pt>
                <c:pt idx="52">
                  <c:v>14225.5</c:v>
                </c:pt>
                <c:pt idx="53">
                  <c:v>20439</c:v>
                </c:pt>
                <c:pt idx="54">
                  <c:v>22021.5</c:v>
                </c:pt>
                <c:pt idx="55">
                  <c:v>22022</c:v>
                </c:pt>
                <c:pt idx="56">
                  <c:v>28582</c:v>
                </c:pt>
                <c:pt idx="57">
                  <c:v>28582.5</c:v>
                </c:pt>
                <c:pt idx="58">
                  <c:v>28666.5</c:v>
                </c:pt>
              </c:numCache>
            </c:numRef>
          </c:xVal>
          <c:yVal>
            <c:numRef>
              <c:f>Ative!$J$21:$J$979</c:f>
              <c:numCache>
                <c:formatCode>General</c:formatCode>
                <c:ptCount val="959"/>
                <c:pt idx="33">
                  <c:v>1.0931249998975545E-3</c:v>
                </c:pt>
                <c:pt idx="34">
                  <c:v>-1.2449999994714744E-3</c:v>
                </c:pt>
                <c:pt idx="38">
                  <c:v>-4.9312500050291419E-4</c:v>
                </c:pt>
                <c:pt idx="39">
                  <c:v>-2.9312499973457307E-3</c:v>
                </c:pt>
                <c:pt idx="42">
                  <c:v>-1.3381249955273233E-3</c:v>
                </c:pt>
                <c:pt idx="43">
                  <c:v>-1.5762499970151111E-3</c:v>
                </c:pt>
                <c:pt idx="44">
                  <c:v>-2.0143750007264316E-3</c:v>
                </c:pt>
                <c:pt idx="45">
                  <c:v>-5.9312499797670171E-4</c:v>
                </c:pt>
                <c:pt idx="46">
                  <c:v>-1.8312499960302375E-3</c:v>
                </c:pt>
                <c:pt idx="47">
                  <c:v>-4.8124995373655111E-5</c:v>
                </c:pt>
                <c:pt idx="48">
                  <c:v>-1.1862499959534034E-3</c:v>
                </c:pt>
                <c:pt idx="49">
                  <c:v>-1.2418749975040555E-3</c:v>
                </c:pt>
                <c:pt idx="50">
                  <c:v>-1.3800000015180558E-3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45-458A-B1A8-C4BE1AD1C0F4}"/>
            </c:ext>
          </c:extLst>
        </c:ser>
        <c:ser>
          <c:idx val="4"/>
          <c:order val="3"/>
          <c:tx>
            <c:strRef>
              <c:f>Ative!$K$20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plus>
            <c:min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Ative!$F$21:$F$979</c:f>
              <c:numCache>
                <c:formatCode>General</c:formatCode>
                <c:ptCount val="959"/>
                <c:pt idx="0">
                  <c:v>-5373</c:v>
                </c:pt>
                <c:pt idx="1">
                  <c:v>-5210.5</c:v>
                </c:pt>
                <c:pt idx="2">
                  <c:v>-21</c:v>
                </c:pt>
                <c:pt idx="3">
                  <c:v>0</c:v>
                </c:pt>
                <c:pt idx="4">
                  <c:v>9.5</c:v>
                </c:pt>
                <c:pt idx="5">
                  <c:v>10</c:v>
                </c:pt>
                <c:pt idx="6">
                  <c:v>40</c:v>
                </c:pt>
                <c:pt idx="7">
                  <c:v>114.5</c:v>
                </c:pt>
                <c:pt idx="8">
                  <c:v>115</c:v>
                </c:pt>
                <c:pt idx="9">
                  <c:v>115.5</c:v>
                </c:pt>
                <c:pt idx="10">
                  <c:v>145.5</c:v>
                </c:pt>
                <c:pt idx="11">
                  <c:v>146</c:v>
                </c:pt>
                <c:pt idx="12">
                  <c:v>158.5</c:v>
                </c:pt>
                <c:pt idx="13">
                  <c:v>211</c:v>
                </c:pt>
                <c:pt idx="14">
                  <c:v>211.5</c:v>
                </c:pt>
                <c:pt idx="15">
                  <c:v>212</c:v>
                </c:pt>
                <c:pt idx="16">
                  <c:v>840</c:v>
                </c:pt>
                <c:pt idx="17">
                  <c:v>888.5</c:v>
                </c:pt>
                <c:pt idx="18">
                  <c:v>914.5</c:v>
                </c:pt>
                <c:pt idx="19">
                  <c:v>1010.5</c:v>
                </c:pt>
                <c:pt idx="20">
                  <c:v>1076</c:v>
                </c:pt>
                <c:pt idx="21">
                  <c:v>1076.5</c:v>
                </c:pt>
                <c:pt idx="22">
                  <c:v>1493</c:v>
                </c:pt>
                <c:pt idx="23">
                  <c:v>1537</c:v>
                </c:pt>
                <c:pt idx="24">
                  <c:v>2547</c:v>
                </c:pt>
                <c:pt idx="25">
                  <c:v>2569</c:v>
                </c:pt>
                <c:pt idx="26">
                  <c:v>2709</c:v>
                </c:pt>
                <c:pt idx="27">
                  <c:v>2722</c:v>
                </c:pt>
                <c:pt idx="28">
                  <c:v>2726.5</c:v>
                </c:pt>
                <c:pt idx="29">
                  <c:v>2822.5</c:v>
                </c:pt>
                <c:pt idx="30">
                  <c:v>2823</c:v>
                </c:pt>
                <c:pt idx="31">
                  <c:v>4477</c:v>
                </c:pt>
                <c:pt idx="32">
                  <c:v>4640</c:v>
                </c:pt>
                <c:pt idx="33">
                  <c:v>4915.5</c:v>
                </c:pt>
                <c:pt idx="34">
                  <c:v>4916</c:v>
                </c:pt>
                <c:pt idx="35">
                  <c:v>6583</c:v>
                </c:pt>
                <c:pt idx="36">
                  <c:v>7535.5</c:v>
                </c:pt>
                <c:pt idx="37">
                  <c:v>7536</c:v>
                </c:pt>
                <c:pt idx="38">
                  <c:v>10844.5</c:v>
                </c:pt>
                <c:pt idx="39">
                  <c:v>10845</c:v>
                </c:pt>
                <c:pt idx="40">
                  <c:v>11265.5</c:v>
                </c:pt>
                <c:pt idx="41">
                  <c:v>11266</c:v>
                </c:pt>
                <c:pt idx="42">
                  <c:v>13920.5</c:v>
                </c:pt>
                <c:pt idx="43">
                  <c:v>13921</c:v>
                </c:pt>
                <c:pt idx="44">
                  <c:v>13921.5</c:v>
                </c:pt>
                <c:pt idx="45">
                  <c:v>13964.5</c:v>
                </c:pt>
                <c:pt idx="46">
                  <c:v>13965</c:v>
                </c:pt>
                <c:pt idx="47">
                  <c:v>14008.5</c:v>
                </c:pt>
                <c:pt idx="48">
                  <c:v>14009</c:v>
                </c:pt>
                <c:pt idx="49">
                  <c:v>14223.5</c:v>
                </c:pt>
                <c:pt idx="50">
                  <c:v>14224</c:v>
                </c:pt>
                <c:pt idx="51">
                  <c:v>14225</c:v>
                </c:pt>
                <c:pt idx="52">
                  <c:v>14225.5</c:v>
                </c:pt>
                <c:pt idx="53">
                  <c:v>20439</c:v>
                </c:pt>
                <c:pt idx="54">
                  <c:v>22021.5</c:v>
                </c:pt>
                <c:pt idx="55">
                  <c:v>22022</c:v>
                </c:pt>
                <c:pt idx="56">
                  <c:v>28582</c:v>
                </c:pt>
                <c:pt idx="57">
                  <c:v>28582.5</c:v>
                </c:pt>
                <c:pt idx="58">
                  <c:v>28666.5</c:v>
                </c:pt>
              </c:numCache>
            </c:numRef>
          </c:xVal>
          <c:yVal>
            <c:numRef>
              <c:f>Ative!$K$21:$K$979</c:f>
              <c:numCache>
                <c:formatCode>General</c:formatCode>
                <c:ptCount val="959"/>
                <c:pt idx="0">
                  <c:v>-1.1087500024586916E-3</c:v>
                </c:pt>
                <c:pt idx="1">
                  <c:v>-1.1993749940302223E-3</c:v>
                </c:pt>
                <c:pt idx="2">
                  <c:v>1.0125000699190423E-4</c:v>
                </c:pt>
                <c:pt idx="3">
                  <c:v>0</c:v>
                </c:pt>
                <c:pt idx="4">
                  <c:v>2.7562499599298462E-4</c:v>
                </c:pt>
                <c:pt idx="5">
                  <c:v>3.7500001781154424E-5</c:v>
                </c:pt>
                <c:pt idx="6">
                  <c:v>-1.0499999989406206E-3</c:v>
                </c:pt>
                <c:pt idx="7">
                  <c:v>3.6937499680789188E-4</c:v>
                </c:pt>
                <c:pt idx="8">
                  <c:v>3.3125000481959432E-4</c:v>
                </c:pt>
                <c:pt idx="9">
                  <c:v>-6.8750014179386199E-6</c:v>
                </c:pt>
                <c:pt idx="10">
                  <c:v>7.0562499604420736E-4</c:v>
                </c:pt>
                <c:pt idx="11">
                  <c:v>9.6750000375322998E-4</c:v>
                </c:pt>
                <c:pt idx="12">
                  <c:v>8.1437500193715096E-4</c:v>
                </c:pt>
                <c:pt idx="13">
                  <c:v>5.1125000027241185E-4</c:v>
                </c:pt>
                <c:pt idx="14">
                  <c:v>1.7312500131083652E-4</c:v>
                </c:pt>
                <c:pt idx="15">
                  <c:v>-6.5000000176951289E-5</c:v>
                </c:pt>
                <c:pt idx="22">
                  <c:v>4.0587500043329783E-3</c:v>
                </c:pt>
                <c:pt idx="23">
                  <c:v>-1.1496249993797392E-2</c:v>
                </c:pt>
                <c:pt idx="24">
                  <c:v>2.491250001185108E-3</c:v>
                </c:pt>
                <c:pt idx="25">
                  <c:v>-7.8624999878229573E-4</c:v>
                </c:pt>
                <c:pt idx="26">
                  <c:v>5.5387500033248216E-3</c:v>
                </c:pt>
                <c:pt idx="27">
                  <c:v>1.2147500005085021E-2</c:v>
                </c:pt>
                <c:pt idx="29">
                  <c:v>7.8437499905703589E-4</c:v>
                </c:pt>
                <c:pt idx="30">
                  <c:v>-1.3537499980884604E-3</c:v>
                </c:pt>
                <c:pt idx="35">
                  <c:v>1.2462500017136335E-3</c:v>
                </c:pt>
                <c:pt idx="36">
                  <c:v>-8.8187499932246283E-4</c:v>
                </c:pt>
                <c:pt idx="37">
                  <c:v>-1.919999995152466E-3</c:v>
                </c:pt>
                <c:pt idx="40">
                  <c:v>9.0562499826774001E-4</c:v>
                </c:pt>
                <c:pt idx="41">
                  <c:v>-3.6324999964563176E-3</c:v>
                </c:pt>
                <c:pt idx="51">
                  <c:v>-8.562500006519258E-4</c:v>
                </c:pt>
                <c:pt idx="52">
                  <c:v>-2.7943749955738895E-3</c:v>
                </c:pt>
                <c:pt idx="53">
                  <c:v>-5.9737499977927655E-3</c:v>
                </c:pt>
                <c:pt idx="54">
                  <c:v>-6.3393750024260953E-3</c:v>
                </c:pt>
                <c:pt idx="55">
                  <c:v>-5.9774999972432852E-3</c:v>
                </c:pt>
                <c:pt idx="56">
                  <c:v>-2.9775000002700835E-3</c:v>
                </c:pt>
                <c:pt idx="57">
                  <c:v>-3.5156249941792339E-3</c:v>
                </c:pt>
                <c:pt idx="58">
                  <c:v>-3.6206250006216578E-3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45-458A-B1A8-C4BE1AD1C0F4}"/>
            </c:ext>
          </c:extLst>
        </c:ser>
        <c:ser>
          <c:idx val="2"/>
          <c:order val="4"/>
          <c:tx>
            <c:strRef>
              <c:f>Ative!$L$20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plus>
            <c:min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Ative!$F$21:$F$979</c:f>
              <c:numCache>
                <c:formatCode>General</c:formatCode>
                <c:ptCount val="959"/>
                <c:pt idx="0">
                  <c:v>-5373</c:v>
                </c:pt>
                <c:pt idx="1">
                  <c:v>-5210.5</c:v>
                </c:pt>
                <c:pt idx="2">
                  <c:v>-21</c:v>
                </c:pt>
                <c:pt idx="3">
                  <c:v>0</c:v>
                </c:pt>
                <c:pt idx="4">
                  <c:v>9.5</c:v>
                </c:pt>
                <c:pt idx="5">
                  <c:v>10</c:v>
                </c:pt>
                <c:pt idx="6">
                  <c:v>40</c:v>
                </c:pt>
                <c:pt idx="7">
                  <c:v>114.5</c:v>
                </c:pt>
                <c:pt idx="8">
                  <c:v>115</c:v>
                </c:pt>
                <c:pt idx="9">
                  <c:v>115.5</c:v>
                </c:pt>
                <c:pt idx="10">
                  <c:v>145.5</c:v>
                </c:pt>
                <c:pt idx="11">
                  <c:v>146</c:v>
                </c:pt>
                <c:pt idx="12">
                  <c:v>158.5</c:v>
                </c:pt>
                <c:pt idx="13">
                  <c:v>211</c:v>
                </c:pt>
                <c:pt idx="14">
                  <c:v>211.5</c:v>
                </c:pt>
                <c:pt idx="15">
                  <c:v>212</c:v>
                </c:pt>
                <c:pt idx="16">
                  <c:v>840</c:v>
                </c:pt>
                <c:pt idx="17">
                  <c:v>888.5</c:v>
                </c:pt>
                <c:pt idx="18">
                  <c:v>914.5</c:v>
                </c:pt>
                <c:pt idx="19">
                  <c:v>1010.5</c:v>
                </c:pt>
                <c:pt idx="20">
                  <c:v>1076</c:v>
                </c:pt>
                <c:pt idx="21">
                  <c:v>1076.5</c:v>
                </c:pt>
                <c:pt idx="22">
                  <c:v>1493</c:v>
                </c:pt>
                <c:pt idx="23">
                  <c:v>1537</c:v>
                </c:pt>
                <c:pt idx="24">
                  <c:v>2547</c:v>
                </c:pt>
                <c:pt idx="25">
                  <c:v>2569</c:v>
                </c:pt>
                <c:pt idx="26">
                  <c:v>2709</c:v>
                </c:pt>
                <c:pt idx="27">
                  <c:v>2722</c:v>
                </c:pt>
                <c:pt idx="28">
                  <c:v>2726.5</c:v>
                </c:pt>
                <c:pt idx="29">
                  <c:v>2822.5</c:v>
                </c:pt>
                <c:pt idx="30">
                  <c:v>2823</c:v>
                </c:pt>
                <c:pt idx="31">
                  <c:v>4477</c:v>
                </c:pt>
                <c:pt idx="32">
                  <c:v>4640</c:v>
                </c:pt>
                <c:pt idx="33">
                  <c:v>4915.5</c:v>
                </c:pt>
                <c:pt idx="34">
                  <c:v>4916</c:v>
                </c:pt>
                <c:pt idx="35">
                  <c:v>6583</c:v>
                </c:pt>
                <c:pt idx="36">
                  <c:v>7535.5</c:v>
                </c:pt>
                <c:pt idx="37">
                  <c:v>7536</c:v>
                </c:pt>
                <c:pt idx="38">
                  <c:v>10844.5</c:v>
                </c:pt>
                <c:pt idx="39">
                  <c:v>10845</c:v>
                </c:pt>
                <c:pt idx="40">
                  <c:v>11265.5</c:v>
                </c:pt>
                <c:pt idx="41">
                  <c:v>11266</c:v>
                </c:pt>
                <c:pt idx="42">
                  <c:v>13920.5</c:v>
                </c:pt>
                <c:pt idx="43">
                  <c:v>13921</c:v>
                </c:pt>
                <c:pt idx="44">
                  <c:v>13921.5</c:v>
                </c:pt>
                <c:pt idx="45">
                  <c:v>13964.5</c:v>
                </c:pt>
                <c:pt idx="46">
                  <c:v>13965</c:v>
                </c:pt>
                <c:pt idx="47">
                  <c:v>14008.5</c:v>
                </c:pt>
                <c:pt idx="48">
                  <c:v>14009</c:v>
                </c:pt>
                <c:pt idx="49">
                  <c:v>14223.5</c:v>
                </c:pt>
                <c:pt idx="50">
                  <c:v>14224</c:v>
                </c:pt>
                <c:pt idx="51">
                  <c:v>14225</c:v>
                </c:pt>
                <c:pt idx="52">
                  <c:v>14225.5</c:v>
                </c:pt>
                <c:pt idx="53">
                  <c:v>20439</c:v>
                </c:pt>
                <c:pt idx="54">
                  <c:v>22021.5</c:v>
                </c:pt>
                <c:pt idx="55">
                  <c:v>22022</c:v>
                </c:pt>
                <c:pt idx="56">
                  <c:v>28582</c:v>
                </c:pt>
                <c:pt idx="57">
                  <c:v>28582.5</c:v>
                </c:pt>
                <c:pt idx="58">
                  <c:v>28666.5</c:v>
                </c:pt>
              </c:numCache>
            </c:numRef>
          </c:xVal>
          <c:yVal>
            <c:numRef>
              <c:f>Ative!$L$21:$L$979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45-458A-B1A8-C4BE1AD1C0F4}"/>
            </c:ext>
          </c:extLst>
        </c:ser>
        <c:ser>
          <c:idx val="5"/>
          <c:order val="5"/>
          <c:tx>
            <c:strRef>
              <c:f>Ative!$M$20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plus>
            <c:min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Ative!$F$21:$F$979</c:f>
              <c:numCache>
                <c:formatCode>General</c:formatCode>
                <c:ptCount val="959"/>
                <c:pt idx="0">
                  <c:v>-5373</c:v>
                </c:pt>
                <c:pt idx="1">
                  <c:v>-5210.5</c:v>
                </c:pt>
                <c:pt idx="2">
                  <c:v>-21</c:v>
                </c:pt>
                <c:pt idx="3">
                  <c:v>0</c:v>
                </c:pt>
                <c:pt idx="4">
                  <c:v>9.5</c:v>
                </c:pt>
                <c:pt idx="5">
                  <c:v>10</c:v>
                </c:pt>
                <c:pt idx="6">
                  <c:v>40</c:v>
                </c:pt>
                <c:pt idx="7">
                  <c:v>114.5</c:v>
                </c:pt>
                <c:pt idx="8">
                  <c:v>115</c:v>
                </c:pt>
                <c:pt idx="9">
                  <c:v>115.5</c:v>
                </c:pt>
                <c:pt idx="10">
                  <c:v>145.5</c:v>
                </c:pt>
                <c:pt idx="11">
                  <c:v>146</c:v>
                </c:pt>
                <c:pt idx="12">
                  <c:v>158.5</c:v>
                </c:pt>
                <c:pt idx="13">
                  <c:v>211</c:v>
                </c:pt>
                <c:pt idx="14">
                  <c:v>211.5</c:v>
                </c:pt>
                <c:pt idx="15">
                  <c:v>212</c:v>
                </c:pt>
                <c:pt idx="16">
                  <c:v>840</c:v>
                </c:pt>
                <c:pt idx="17">
                  <c:v>888.5</c:v>
                </c:pt>
                <c:pt idx="18">
                  <c:v>914.5</c:v>
                </c:pt>
                <c:pt idx="19">
                  <c:v>1010.5</c:v>
                </c:pt>
                <c:pt idx="20">
                  <c:v>1076</c:v>
                </c:pt>
                <c:pt idx="21">
                  <c:v>1076.5</c:v>
                </c:pt>
                <c:pt idx="22">
                  <c:v>1493</c:v>
                </c:pt>
                <c:pt idx="23">
                  <c:v>1537</c:v>
                </c:pt>
                <c:pt idx="24">
                  <c:v>2547</c:v>
                </c:pt>
                <c:pt idx="25">
                  <c:v>2569</c:v>
                </c:pt>
                <c:pt idx="26">
                  <c:v>2709</c:v>
                </c:pt>
                <c:pt idx="27">
                  <c:v>2722</c:v>
                </c:pt>
                <c:pt idx="28">
                  <c:v>2726.5</c:v>
                </c:pt>
                <c:pt idx="29">
                  <c:v>2822.5</c:v>
                </c:pt>
                <c:pt idx="30">
                  <c:v>2823</c:v>
                </c:pt>
                <c:pt idx="31">
                  <c:v>4477</c:v>
                </c:pt>
                <c:pt idx="32">
                  <c:v>4640</c:v>
                </c:pt>
                <c:pt idx="33">
                  <c:v>4915.5</c:v>
                </c:pt>
                <c:pt idx="34">
                  <c:v>4916</c:v>
                </c:pt>
                <c:pt idx="35">
                  <c:v>6583</c:v>
                </c:pt>
                <c:pt idx="36">
                  <c:v>7535.5</c:v>
                </c:pt>
                <c:pt idx="37">
                  <c:v>7536</c:v>
                </c:pt>
                <c:pt idx="38">
                  <c:v>10844.5</c:v>
                </c:pt>
                <c:pt idx="39">
                  <c:v>10845</c:v>
                </c:pt>
                <c:pt idx="40">
                  <c:v>11265.5</c:v>
                </c:pt>
                <c:pt idx="41">
                  <c:v>11266</c:v>
                </c:pt>
                <c:pt idx="42">
                  <c:v>13920.5</c:v>
                </c:pt>
                <c:pt idx="43">
                  <c:v>13921</c:v>
                </c:pt>
                <c:pt idx="44">
                  <c:v>13921.5</c:v>
                </c:pt>
                <c:pt idx="45">
                  <c:v>13964.5</c:v>
                </c:pt>
                <c:pt idx="46">
                  <c:v>13965</c:v>
                </c:pt>
                <c:pt idx="47">
                  <c:v>14008.5</c:v>
                </c:pt>
                <c:pt idx="48">
                  <c:v>14009</c:v>
                </c:pt>
                <c:pt idx="49">
                  <c:v>14223.5</c:v>
                </c:pt>
                <c:pt idx="50">
                  <c:v>14224</c:v>
                </c:pt>
                <c:pt idx="51">
                  <c:v>14225</c:v>
                </c:pt>
                <c:pt idx="52">
                  <c:v>14225.5</c:v>
                </c:pt>
                <c:pt idx="53">
                  <c:v>20439</c:v>
                </c:pt>
                <c:pt idx="54">
                  <c:v>22021.5</c:v>
                </c:pt>
                <c:pt idx="55">
                  <c:v>22022</c:v>
                </c:pt>
                <c:pt idx="56">
                  <c:v>28582</c:v>
                </c:pt>
                <c:pt idx="57">
                  <c:v>28582.5</c:v>
                </c:pt>
                <c:pt idx="58">
                  <c:v>28666.5</c:v>
                </c:pt>
              </c:numCache>
            </c:numRef>
          </c:xVal>
          <c:yVal>
            <c:numRef>
              <c:f>Ative!$M$21:$M$979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45-458A-B1A8-C4BE1AD1C0F4}"/>
            </c:ext>
          </c:extLst>
        </c:ser>
        <c:ser>
          <c:idx val="6"/>
          <c:order val="6"/>
          <c:tx>
            <c:strRef>
              <c:f>Ative!$N$20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plus>
            <c:minus>
              <c:numRef>
                <c:f>Ative!$D$21:$D$979</c:f>
                <c:numCache>
                  <c:formatCode>General</c:formatCode>
                  <c:ptCount val="959"/>
                  <c:pt idx="0">
                    <c:v>4.0000000000000002E-4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2.0000000000000001E-4</c:v>
                  </c:pt>
                  <c:pt idx="7">
                    <c:v>1.6999999999999999E-3</c:v>
                  </c:pt>
                  <c:pt idx="8">
                    <c:v>1.4E-3</c:v>
                  </c:pt>
                  <c:pt idx="9">
                    <c:v>1.6999999999999999E-3</c:v>
                  </c:pt>
                  <c:pt idx="10">
                    <c:v>1.2999999999999999E-3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8.9999999999999998E-4</c:v>
                  </c:pt>
                  <c:pt idx="16">
                    <c:v>2E-3</c:v>
                  </c:pt>
                  <c:pt idx="17">
                    <c:v>6.0000000000000001E-3</c:v>
                  </c:pt>
                  <c:pt idx="18">
                    <c:v>5.0000000000000001E-3</c:v>
                  </c:pt>
                  <c:pt idx="19">
                    <c:v>4.0000000000000001E-3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5.0000000000000001E-3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4.0000000000000002E-4</c:v>
                  </c:pt>
                  <c:pt idx="30">
                    <c:v>4.0000000000000001E-3</c:v>
                  </c:pt>
                  <c:pt idx="31">
                    <c:v>4.0000000000000001E-3</c:v>
                  </c:pt>
                  <c:pt idx="32">
                    <c:v>7.0000000000000001E-3</c:v>
                  </c:pt>
                  <c:pt idx="33">
                    <c:v>1.2999999999999999E-3</c:v>
                  </c:pt>
                  <c:pt idx="34">
                    <c:v>1.6000000000000001E-3</c:v>
                  </c:pt>
                  <c:pt idx="35">
                    <c:v>5.9999999999999995E-4</c:v>
                  </c:pt>
                  <c:pt idx="36">
                    <c:v>5.9999999999999995E-4</c:v>
                  </c:pt>
                  <c:pt idx="37">
                    <c:v>1.1000000000000001E-3</c:v>
                  </c:pt>
                  <c:pt idx="38">
                    <c:v>8.0000000000000004E-4</c:v>
                  </c:pt>
                  <c:pt idx="39">
                    <c:v>1.1000000000000001E-3</c:v>
                  </c:pt>
                  <c:pt idx="40">
                    <c:v>1.8E-3</c:v>
                  </c:pt>
                  <c:pt idx="41">
                    <c:v>5.0000000000000001E-4</c:v>
                  </c:pt>
                  <c:pt idx="42">
                    <c:v>8.9999999999999998E-4</c:v>
                  </c:pt>
                  <c:pt idx="43">
                    <c:v>4.0000000000000002E-4</c:v>
                  </c:pt>
                  <c:pt idx="44">
                    <c:v>5.0000000000000001E-4</c:v>
                  </c:pt>
                  <c:pt idx="45">
                    <c:v>8.9999999999999998E-4</c:v>
                  </c:pt>
                  <c:pt idx="46">
                    <c:v>8.0000000000000004E-4</c:v>
                  </c:pt>
                  <c:pt idx="47">
                    <c:v>2.5000000000000001E-3</c:v>
                  </c:pt>
                  <c:pt idx="48">
                    <c:v>1.9E-3</c:v>
                  </c:pt>
                  <c:pt idx="49">
                    <c:v>8.9999999999999998E-4</c:v>
                  </c:pt>
                  <c:pt idx="50">
                    <c:v>1.1999999999999999E-3</c:v>
                  </c:pt>
                  <c:pt idx="51">
                    <c:v>4.0000000000000002E-4</c:v>
                  </c:pt>
                  <c:pt idx="52">
                    <c:v>5.0000000000000001E-4</c:v>
                  </c:pt>
                  <c:pt idx="53">
                    <c:v>2.0000000000000001E-4</c:v>
                  </c:pt>
                  <c:pt idx="54">
                    <c:v>2E-3</c:v>
                  </c:pt>
                  <c:pt idx="55">
                    <c:v>2.9999999999999997E-4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Ative!$F$21:$F$979</c:f>
              <c:numCache>
                <c:formatCode>General</c:formatCode>
                <c:ptCount val="959"/>
                <c:pt idx="0">
                  <c:v>-5373</c:v>
                </c:pt>
                <c:pt idx="1">
                  <c:v>-5210.5</c:v>
                </c:pt>
                <c:pt idx="2">
                  <c:v>-21</c:v>
                </c:pt>
                <c:pt idx="3">
                  <c:v>0</c:v>
                </c:pt>
                <c:pt idx="4">
                  <c:v>9.5</c:v>
                </c:pt>
                <c:pt idx="5">
                  <c:v>10</c:v>
                </c:pt>
                <c:pt idx="6">
                  <c:v>40</c:v>
                </c:pt>
                <c:pt idx="7">
                  <c:v>114.5</c:v>
                </c:pt>
                <c:pt idx="8">
                  <c:v>115</c:v>
                </c:pt>
                <c:pt idx="9">
                  <c:v>115.5</c:v>
                </c:pt>
                <c:pt idx="10">
                  <c:v>145.5</c:v>
                </c:pt>
                <c:pt idx="11">
                  <c:v>146</c:v>
                </c:pt>
                <c:pt idx="12">
                  <c:v>158.5</c:v>
                </c:pt>
                <c:pt idx="13">
                  <c:v>211</c:v>
                </c:pt>
                <c:pt idx="14">
                  <c:v>211.5</c:v>
                </c:pt>
                <c:pt idx="15">
                  <c:v>212</c:v>
                </c:pt>
                <c:pt idx="16">
                  <c:v>840</c:v>
                </c:pt>
                <c:pt idx="17">
                  <c:v>888.5</c:v>
                </c:pt>
                <c:pt idx="18">
                  <c:v>914.5</c:v>
                </c:pt>
                <c:pt idx="19">
                  <c:v>1010.5</c:v>
                </c:pt>
                <c:pt idx="20">
                  <c:v>1076</c:v>
                </c:pt>
                <c:pt idx="21">
                  <c:v>1076.5</c:v>
                </c:pt>
                <c:pt idx="22">
                  <c:v>1493</c:v>
                </c:pt>
                <c:pt idx="23">
                  <c:v>1537</c:v>
                </c:pt>
                <c:pt idx="24">
                  <c:v>2547</c:v>
                </c:pt>
                <c:pt idx="25">
                  <c:v>2569</c:v>
                </c:pt>
                <c:pt idx="26">
                  <c:v>2709</c:v>
                </c:pt>
                <c:pt idx="27">
                  <c:v>2722</c:v>
                </c:pt>
                <c:pt idx="28">
                  <c:v>2726.5</c:v>
                </c:pt>
                <c:pt idx="29">
                  <c:v>2822.5</c:v>
                </c:pt>
                <c:pt idx="30">
                  <c:v>2823</c:v>
                </c:pt>
                <c:pt idx="31">
                  <c:v>4477</c:v>
                </c:pt>
                <c:pt idx="32">
                  <c:v>4640</c:v>
                </c:pt>
                <c:pt idx="33">
                  <c:v>4915.5</c:v>
                </c:pt>
                <c:pt idx="34">
                  <c:v>4916</c:v>
                </c:pt>
                <c:pt idx="35">
                  <c:v>6583</c:v>
                </c:pt>
                <c:pt idx="36">
                  <c:v>7535.5</c:v>
                </c:pt>
                <c:pt idx="37">
                  <c:v>7536</c:v>
                </c:pt>
                <c:pt idx="38">
                  <c:v>10844.5</c:v>
                </c:pt>
                <c:pt idx="39">
                  <c:v>10845</c:v>
                </c:pt>
                <c:pt idx="40">
                  <c:v>11265.5</c:v>
                </c:pt>
                <c:pt idx="41">
                  <c:v>11266</c:v>
                </c:pt>
                <c:pt idx="42">
                  <c:v>13920.5</c:v>
                </c:pt>
                <c:pt idx="43">
                  <c:v>13921</c:v>
                </c:pt>
                <c:pt idx="44">
                  <c:v>13921.5</c:v>
                </c:pt>
                <c:pt idx="45">
                  <c:v>13964.5</c:v>
                </c:pt>
                <c:pt idx="46">
                  <c:v>13965</c:v>
                </c:pt>
                <c:pt idx="47">
                  <c:v>14008.5</c:v>
                </c:pt>
                <c:pt idx="48">
                  <c:v>14009</c:v>
                </c:pt>
                <c:pt idx="49">
                  <c:v>14223.5</c:v>
                </c:pt>
                <c:pt idx="50">
                  <c:v>14224</c:v>
                </c:pt>
                <c:pt idx="51">
                  <c:v>14225</c:v>
                </c:pt>
                <c:pt idx="52">
                  <c:v>14225.5</c:v>
                </c:pt>
                <c:pt idx="53">
                  <c:v>20439</c:v>
                </c:pt>
                <c:pt idx="54">
                  <c:v>22021.5</c:v>
                </c:pt>
                <c:pt idx="55">
                  <c:v>22022</c:v>
                </c:pt>
                <c:pt idx="56">
                  <c:v>28582</c:v>
                </c:pt>
                <c:pt idx="57">
                  <c:v>28582.5</c:v>
                </c:pt>
                <c:pt idx="58">
                  <c:v>28666.5</c:v>
                </c:pt>
              </c:numCache>
            </c:numRef>
          </c:xVal>
          <c:yVal>
            <c:numRef>
              <c:f>Ative!$N$21:$N$979</c:f>
              <c:numCache>
                <c:formatCode>General</c:formatCode>
                <c:ptCount val="959"/>
                <c:pt idx="31">
                  <c:v>3.2875000761123374E-4</c:v>
                </c:pt>
                <c:pt idx="32">
                  <c:v>-6.5000000031432137E-3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45-458A-B1A8-C4BE1AD1C0F4}"/>
            </c:ext>
          </c:extLst>
        </c:ser>
        <c:ser>
          <c:idx val="7"/>
          <c:order val="7"/>
          <c:tx>
            <c:strRef>
              <c:f>Ative!$O$20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Ative!$F$21:$F$979</c:f>
              <c:numCache>
                <c:formatCode>General</c:formatCode>
                <c:ptCount val="959"/>
                <c:pt idx="0">
                  <c:v>-5373</c:v>
                </c:pt>
                <c:pt idx="1">
                  <c:v>-5210.5</c:v>
                </c:pt>
                <c:pt idx="2">
                  <c:v>-21</c:v>
                </c:pt>
                <c:pt idx="3">
                  <c:v>0</c:v>
                </c:pt>
                <c:pt idx="4">
                  <c:v>9.5</c:v>
                </c:pt>
                <c:pt idx="5">
                  <c:v>10</c:v>
                </c:pt>
                <c:pt idx="6">
                  <c:v>40</c:v>
                </c:pt>
                <c:pt idx="7">
                  <c:v>114.5</c:v>
                </c:pt>
                <c:pt idx="8">
                  <c:v>115</c:v>
                </c:pt>
                <c:pt idx="9">
                  <c:v>115.5</c:v>
                </c:pt>
                <c:pt idx="10">
                  <c:v>145.5</c:v>
                </c:pt>
                <c:pt idx="11">
                  <c:v>146</c:v>
                </c:pt>
                <c:pt idx="12">
                  <c:v>158.5</c:v>
                </c:pt>
                <c:pt idx="13">
                  <c:v>211</c:v>
                </c:pt>
                <c:pt idx="14">
                  <c:v>211.5</c:v>
                </c:pt>
                <c:pt idx="15">
                  <c:v>212</c:v>
                </c:pt>
                <c:pt idx="16">
                  <c:v>840</c:v>
                </c:pt>
                <c:pt idx="17">
                  <c:v>888.5</c:v>
                </c:pt>
                <c:pt idx="18">
                  <c:v>914.5</c:v>
                </c:pt>
                <c:pt idx="19">
                  <c:v>1010.5</c:v>
                </c:pt>
                <c:pt idx="20">
                  <c:v>1076</c:v>
                </c:pt>
                <c:pt idx="21">
                  <c:v>1076.5</c:v>
                </c:pt>
                <c:pt idx="22">
                  <c:v>1493</c:v>
                </c:pt>
                <c:pt idx="23">
                  <c:v>1537</c:v>
                </c:pt>
                <c:pt idx="24">
                  <c:v>2547</c:v>
                </c:pt>
                <c:pt idx="25">
                  <c:v>2569</c:v>
                </c:pt>
                <c:pt idx="26">
                  <c:v>2709</c:v>
                </c:pt>
                <c:pt idx="27">
                  <c:v>2722</c:v>
                </c:pt>
                <c:pt idx="28">
                  <c:v>2726.5</c:v>
                </c:pt>
                <c:pt idx="29">
                  <c:v>2822.5</c:v>
                </c:pt>
                <c:pt idx="30">
                  <c:v>2823</c:v>
                </c:pt>
                <c:pt idx="31">
                  <c:v>4477</c:v>
                </c:pt>
                <c:pt idx="32">
                  <c:v>4640</c:v>
                </c:pt>
                <c:pt idx="33">
                  <c:v>4915.5</c:v>
                </c:pt>
                <c:pt idx="34">
                  <c:v>4916</c:v>
                </c:pt>
                <c:pt idx="35">
                  <c:v>6583</c:v>
                </c:pt>
                <c:pt idx="36">
                  <c:v>7535.5</c:v>
                </c:pt>
                <c:pt idx="37">
                  <c:v>7536</c:v>
                </c:pt>
                <c:pt idx="38">
                  <c:v>10844.5</c:v>
                </c:pt>
                <c:pt idx="39">
                  <c:v>10845</c:v>
                </c:pt>
                <c:pt idx="40">
                  <c:v>11265.5</c:v>
                </c:pt>
                <c:pt idx="41">
                  <c:v>11266</c:v>
                </c:pt>
                <c:pt idx="42">
                  <c:v>13920.5</c:v>
                </c:pt>
                <c:pt idx="43">
                  <c:v>13921</c:v>
                </c:pt>
                <c:pt idx="44">
                  <c:v>13921.5</c:v>
                </c:pt>
                <c:pt idx="45">
                  <c:v>13964.5</c:v>
                </c:pt>
                <c:pt idx="46">
                  <c:v>13965</c:v>
                </c:pt>
                <c:pt idx="47">
                  <c:v>14008.5</c:v>
                </c:pt>
                <c:pt idx="48">
                  <c:v>14009</c:v>
                </c:pt>
                <c:pt idx="49">
                  <c:v>14223.5</c:v>
                </c:pt>
                <c:pt idx="50">
                  <c:v>14224</c:v>
                </c:pt>
                <c:pt idx="51">
                  <c:v>14225</c:v>
                </c:pt>
                <c:pt idx="52">
                  <c:v>14225.5</c:v>
                </c:pt>
                <c:pt idx="53">
                  <c:v>20439</c:v>
                </c:pt>
                <c:pt idx="54">
                  <c:v>22021.5</c:v>
                </c:pt>
                <c:pt idx="55">
                  <c:v>22022</c:v>
                </c:pt>
                <c:pt idx="56">
                  <c:v>28582</c:v>
                </c:pt>
                <c:pt idx="57">
                  <c:v>28582.5</c:v>
                </c:pt>
                <c:pt idx="58">
                  <c:v>28666.5</c:v>
                </c:pt>
              </c:numCache>
            </c:numRef>
          </c:xVal>
          <c:yVal>
            <c:numRef>
              <c:f>Ative!$O$21:$O$979</c:f>
              <c:numCache>
                <c:formatCode>General</c:formatCode>
                <c:ptCount val="959"/>
                <c:pt idx="0">
                  <c:v>4.1325696674821152E-4</c:v>
                </c:pt>
                <c:pt idx="1">
                  <c:v>3.8908858128066325E-4</c:v>
                </c:pt>
                <c:pt idx="2">
                  <c:v>-3.8273810415836502E-4</c:v>
                </c:pt>
                <c:pt idx="3">
                  <c:v>-3.8586140320340202E-4</c:v>
                </c:pt>
                <c:pt idx="4">
                  <c:v>-3.8727432419996636E-4</c:v>
                </c:pt>
                <c:pt idx="5">
                  <c:v>-3.8734868846294348E-4</c:v>
                </c:pt>
                <c:pt idx="6">
                  <c:v>-3.9181054424156775E-4</c:v>
                </c:pt>
                <c:pt idx="7">
                  <c:v>-4.0289081942515147E-4</c:v>
                </c:pt>
                <c:pt idx="8">
                  <c:v>-4.0296518368812854E-4</c:v>
                </c:pt>
                <c:pt idx="9">
                  <c:v>-4.0303954795110561E-4</c:v>
                </c:pt>
                <c:pt idx="10">
                  <c:v>-4.0750140372972993E-4</c:v>
                </c:pt>
                <c:pt idx="11">
                  <c:v>-4.07575767992707E-4</c:v>
                </c:pt>
                <c:pt idx="12">
                  <c:v>-4.094348745671338E-4</c:v>
                </c:pt>
                <c:pt idx="13">
                  <c:v>-4.1724312217972633E-4</c:v>
                </c:pt>
                <c:pt idx="14">
                  <c:v>-4.1731748644270339E-4</c:v>
                </c:pt>
                <c:pt idx="15">
                  <c:v>-4.1739185070568046E-4</c:v>
                </c:pt>
                <c:pt idx="16">
                  <c:v>-5.1079336500488271E-4</c:v>
                </c:pt>
                <c:pt idx="17">
                  <c:v>-5.1800669851365859E-4</c:v>
                </c:pt>
                <c:pt idx="18">
                  <c:v>-5.2187364018846632E-4</c:v>
                </c:pt>
                <c:pt idx="19">
                  <c:v>-5.3615157868006416E-4</c:v>
                </c:pt>
                <c:pt idx="20">
                  <c:v>-5.4589329713006056E-4</c:v>
                </c:pt>
                <c:pt idx="21">
                  <c:v>-5.4596766139303763E-4</c:v>
                </c:pt>
                <c:pt idx="22">
                  <c:v>-6.0791309245293839E-4</c:v>
                </c:pt>
                <c:pt idx="23">
                  <c:v>-6.1445714759492077E-4</c:v>
                </c:pt>
                <c:pt idx="24">
                  <c:v>-7.6467295880860574E-4</c:v>
                </c:pt>
                <c:pt idx="25">
                  <c:v>-7.6794498637959693E-4</c:v>
                </c:pt>
                <c:pt idx="26">
                  <c:v>-7.8876698001317704E-4</c:v>
                </c:pt>
                <c:pt idx="27">
                  <c:v>-7.9070045085058091E-4</c:v>
                </c:pt>
                <c:pt idx="28">
                  <c:v>-7.9136972921737452E-4</c:v>
                </c:pt>
                <c:pt idx="29">
                  <c:v>-8.0564766770897236E-4</c:v>
                </c:pt>
                <c:pt idx="30">
                  <c:v>-8.0572203197194943E-4</c:v>
                </c:pt>
                <c:pt idx="31">
                  <c:v>-1.0517190139001029E-3</c:v>
                </c:pt>
                <c:pt idx="32">
                  <c:v>-1.0759617636306282E-3</c:v>
                </c:pt>
                <c:pt idx="33">
                  <c:v>-1.116936472530995E-3</c:v>
                </c:pt>
                <c:pt idx="34">
                  <c:v>-1.1170108367939721E-3</c:v>
                </c:pt>
                <c:pt idx="35">
                  <c:v>-1.3649412895595293E-3</c:v>
                </c:pt>
                <c:pt idx="36">
                  <c:v>-1.5066052105308511E-3</c:v>
                </c:pt>
                <c:pt idx="37">
                  <c:v>-1.5066795747938281E-3</c:v>
                </c:pt>
                <c:pt idx="38">
                  <c:v>-1.9987479029131123E-3</c:v>
                </c:pt>
                <c:pt idx="39">
                  <c:v>-1.9988222671760893E-3</c:v>
                </c:pt>
                <c:pt idx="40">
                  <c:v>-2.0613626123398071E-3</c:v>
                </c:pt>
                <c:pt idx="41">
                  <c:v>-2.0614369766027837E-3</c:v>
                </c:pt>
                <c:pt idx="42">
                  <c:v>-2.456236848748058E-3</c:v>
                </c:pt>
                <c:pt idx="43">
                  <c:v>-2.4563112130110351E-3</c:v>
                </c:pt>
                <c:pt idx="44">
                  <c:v>-2.4563855772740122E-3</c:v>
                </c:pt>
                <c:pt idx="45">
                  <c:v>-2.4627809038900404E-3</c:v>
                </c:pt>
                <c:pt idx="46">
                  <c:v>-2.4628552681530175E-3</c:v>
                </c:pt>
                <c:pt idx="47">
                  <c:v>-2.4693249590320228E-3</c:v>
                </c:pt>
                <c:pt idx="48">
                  <c:v>-2.4693993232949999E-3</c:v>
                </c:pt>
                <c:pt idx="49">
                  <c:v>-2.5013015921121636E-3</c:v>
                </c:pt>
                <c:pt idx="50">
                  <c:v>-2.5013759563751407E-3</c:v>
                </c:pt>
                <c:pt idx="51">
                  <c:v>-2.5015246849010948E-3</c:v>
                </c:pt>
                <c:pt idx="52">
                  <c:v>-2.5015990491640719E-3</c:v>
                </c:pt>
                <c:pt idx="53">
                  <c:v>-3.4257237451801432E-3</c:v>
                </c:pt>
                <c:pt idx="54">
                  <c:v>-3.6610866375025755E-3</c:v>
                </c:pt>
                <c:pt idx="55">
                  <c:v>-3.6611610017655526E-3</c:v>
                </c:pt>
                <c:pt idx="56">
                  <c:v>-4.6368201320247347E-3</c:v>
                </c:pt>
                <c:pt idx="57">
                  <c:v>-4.6368944962877114E-3</c:v>
                </c:pt>
                <c:pt idx="58">
                  <c:v>-4.6493876924678604E-3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45-458A-B1A8-C4BE1AD1C0F4}"/>
            </c:ext>
          </c:extLst>
        </c:ser>
        <c:ser>
          <c:idx val="8"/>
          <c:order val="8"/>
          <c:tx>
            <c:strRef>
              <c:f>Ative!$U$20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Ative!$F$21:$F$979</c:f>
              <c:numCache>
                <c:formatCode>General</c:formatCode>
                <c:ptCount val="959"/>
                <c:pt idx="0">
                  <c:v>-5373</c:v>
                </c:pt>
                <c:pt idx="1">
                  <c:v>-5210.5</c:v>
                </c:pt>
                <c:pt idx="2">
                  <c:v>-21</c:v>
                </c:pt>
                <c:pt idx="3">
                  <c:v>0</c:v>
                </c:pt>
                <c:pt idx="4">
                  <c:v>9.5</c:v>
                </c:pt>
                <c:pt idx="5">
                  <c:v>10</c:v>
                </c:pt>
                <c:pt idx="6">
                  <c:v>40</c:v>
                </c:pt>
                <c:pt idx="7">
                  <c:v>114.5</c:v>
                </c:pt>
                <c:pt idx="8">
                  <c:v>115</c:v>
                </c:pt>
                <c:pt idx="9">
                  <c:v>115.5</c:v>
                </c:pt>
                <c:pt idx="10">
                  <c:v>145.5</c:v>
                </c:pt>
                <c:pt idx="11">
                  <c:v>146</c:v>
                </c:pt>
                <c:pt idx="12">
                  <c:v>158.5</c:v>
                </c:pt>
                <c:pt idx="13">
                  <c:v>211</c:v>
                </c:pt>
                <c:pt idx="14">
                  <c:v>211.5</c:v>
                </c:pt>
                <c:pt idx="15">
                  <c:v>212</c:v>
                </c:pt>
                <c:pt idx="16">
                  <c:v>840</c:v>
                </c:pt>
                <c:pt idx="17">
                  <c:v>888.5</c:v>
                </c:pt>
                <c:pt idx="18">
                  <c:v>914.5</c:v>
                </c:pt>
                <c:pt idx="19">
                  <c:v>1010.5</c:v>
                </c:pt>
                <c:pt idx="20">
                  <c:v>1076</c:v>
                </c:pt>
                <c:pt idx="21">
                  <c:v>1076.5</c:v>
                </c:pt>
                <c:pt idx="22">
                  <c:v>1493</c:v>
                </c:pt>
                <c:pt idx="23">
                  <c:v>1537</c:v>
                </c:pt>
                <c:pt idx="24">
                  <c:v>2547</c:v>
                </c:pt>
                <c:pt idx="25">
                  <c:v>2569</c:v>
                </c:pt>
                <c:pt idx="26">
                  <c:v>2709</c:v>
                </c:pt>
                <c:pt idx="27">
                  <c:v>2722</c:v>
                </c:pt>
                <c:pt idx="28">
                  <c:v>2726.5</c:v>
                </c:pt>
                <c:pt idx="29">
                  <c:v>2822.5</c:v>
                </c:pt>
                <c:pt idx="30">
                  <c:v>2823</c:v>
                </c:pt>
                <c:pt idx="31">
                  <c:v>4477</c:v>
                </c:pt>
                <c:pt idx="32">
                  <c:v>4640</c:v>
                </c:pt>
                <c:pt idx="33">
                  <c:v>4915.5</c:v>
                </c:pt>
                <c:pt idx="34">
                  <c:v>4916</c:v>
                </c:pt>
                <c:pt idx="35">
                  <c:v>6583</c:v>
                </c:pt>
                <c:pt idx="36">
                  <c:v>7535.5</c:v>
                </c:pt>
                <c:pt idx="37">
                  <c:v>7536</c:v>
                </c:pt>
                <c:pt idx="38">
                  <c:v>10844.5</c:v>
                </c:pt>
                <c:pt idx="39">
                  <c:v>10845</c:v>
                </c:pt>
                <c:pt idx="40">
                  <c:v>11265.5</c:v>
                </c:pt>
                <c:pt idx="41">
                  <c:v>11266</c:v>
                </c:pt>
                <c:pt idx="42">
                  <c:v>13920.5</c:v>
                </c:pt>
                <c:pt idx="43">
                  <c:v>13921</c:v>
                </c:pt>
                <c:pt idx="44">
                  <c:v>13921.5</c:v>
                </c:pt>
                <c:pt idx="45">
                  <c:v>13964.5</c:v>
                </c:pt>
                <c:pt idx="46">
                  <c:v>13965</c:v>
                </c:pt>
                <c:pt idx="47">
                  <c:v>14008.5</c:v>
                </c:pt>
                <c:pt idx="48">
                  <c:v>14009</c:v>
                </c:pt>
                <c:pt idx="49">
                  <c:v>14223.5</c:v>
                </c:pt>
                <c:pt idx="50">
                  <c:v>14224</c:v>
                </c:pt>
                <c:pt idx="51">
                  <c:v>14225</c:v>
                </c:pt>
                <c:pt idx="52">
                  <c:v>14225.5</c:v>
                </c:pt>
                <c:pt idx="53">
                  <c:v>20439</c:v>
                </c:pt>
                <c:pt idx="54">
                  <c:v>22021.5</c:v>
                </c:pt>
                <c:pt idx="55">
                  <c:v>22022</c:v>
                </c:pt>
                <c:pt idx="56">
                  <c:v>28582</c:v>
                </c:pt>
                <c:pt idx="57">
                  <c:v>28582.5</c:v>
                </c:pt>
                <c:pt idx="58">
                  <c:v>28666.5</c:v>
                </c:pt>
              </c:numCache>
            </c:numRef>
          </c:xVal>
          <c:yVal>
            <c:numRef>
              <c:f>Ative!$U$21:$U$979</c:f>
              <c:numCache>
                <c:formatCode>General</c:formatCode>
                <c:ptCount val="959"/>
                <c:pt idx="28">
                  <c:v>-2.329562499653548E-2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45-458A-B1A8-C4BE1AD1C0F4}"/>
            </c:ext>
          </c:extLst>
        </c:ser>
        <c:ser>
          <c:idx val="9"/>
          <c:order val="9"/>
          <c:tx>
            <c:strRef>
              <c:f>Ative!$W$1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Ative!$V$2:$V$31</c:f>
              <c:numCache>
                <c:formatCode>General</c:formatCode>
                <c:ptCount val="30"/>
                <c:pt idx="0">
                  <c:v>-6000</c:v>
                </c:pt>
                <c:pt idx="1">
                  <c:v>-5000</c:v>
                </c:pt>
                <c:pt idx="2">
                  <c:v>-4000</c:v>
                </c:pt>
                <c:pt idx="3">
                  <c:v>-3000</c:v>
                </c:pt>
                <c:pt idx="4">
                  <c:v>-2000</c:v>
                </c:pt>
                <c:pt idx="5">
                  <c:v>-1000</c:v>
                </c:pt>
                <c:pt idx="6">
                  <c:v>0</c:v>
                </c:pt>
                <c:pt idx="7">
                  <c:v>1000</c:v>
                </c:pt>
                <c:pt idx="8">
                  <c:v>2000</c:v>
                </c:pt>
                <c:pt idx="9">
                  <c:v>3000</c:v>
                </c:pt>
                <c:pt idx="10">
                  <c:v>4000</c:v>
                </c:pt>
                <c:pt idx="11">
                  <c:v>5000</c:v>
                </c:pt>
                <c:pt idx="12">
                  <c:v>6000</c:v>
                </c:pt>
                <c:pt idx="13">
                  <c:v>7000</c:v>
                </c:pt>
                <c:pt idx="14">
                  <c:v>8000</c:v>
                </c:pt>
                <c:pt idx="15">
                  <c:v>9000</c:v>
                </c:pt>
                <c:pt idx="16">
                  <c:v>10000</c:v>
                </c:pt>
                <c:pt idx="17">
                  <c:v>11000</c:v>
                </c:pt>
                <c:pt idx="18">
                  <c:v>12000</c:v>
                </c:pt>
                <c:pt idx="19">
                  <c:v>13000</c:v>
                </c:pt>
                <c:pt idx="20">
                  <c:v>14000</c:v>
                </c:pt>
                <c:pt idx="21">
                  <c:v>15000</c:v>
                </c:pt>
                <c:pt idx="22">
                  <c:v>16000</c:v>
                </c:pt>
                <c:pt idx="23">
                  <c:v>17000</c:v>
                </c:pt>
                <c:pt idx="24">
                  <c:v>18000</c:v>
                </c:pt>
                <c:pt idx="25">
                  <c:v>19000</c:v>
                </c:pt>
                <c:pt idx="26">
                  <c:v>20000</c:v>
                </c:pt>
                <c:pt idx="27">
                  <c:v>21000</c:v>
                </c:pt>
                <c:pt idx="28">
                  <c:v>22000</c:v>
                </c:pt>
                <c:pt idx="29">
                  <c:v>23000</c:v>
                </c:pt>
              </c:numCache>
            </c:numRef>
          </c:xVal>
          <c:yVal>
            <c:numRef>
              <c:f>Ative!$W$2:$W$31</c:f>
              <c:numCache>
                <c:formatCode>General</c:formatCode>
                <c:ptCount val="30"/>
                <c:pt idx="0">
                  <c:v>-1.0925010737082644E-3</c:v>
                </c:pt>
                <c:pt idx="1">
                  <c:v>-7.9678180445484767E-4</c:v>
                </c:pt>
                <c:pt idx="2">
                  <c:v>-5.3662437846694927E-4</c:v>
                </c:pt>
                <c:pt idx="3">
                  <c:v>-3.1202879574456931E-4</c:v>
                </c:pt>
                <c:pt idx="4">
                  <c:v>-1.2299505628770782E-4</c:v>
                </c:pt>
                <c:pt idx="5">
                  <c:v>3.0476839903635161E-5</c:v>
                </c:pt>
                <c:pt idx="6">
                  <c:v>1.483868928294597E-4</c:v>
                </c:pt>
                <c:pt idx="7">
                  <c:v>2.3073510248976576E-4</c:v>
                </c:pt>
                <c:pt idx="8">
                  <c:v>2.7752146888455339E-4</c:v>
                </c:pt>
                <c:pt idx="9">
                  <c:v>2.8874599201382252E-4</c:v>
                </c:pt>
                <c:pt idx="10">
                  <c:v>2.6440867187757321E-4</c:v>
                </c:pt>
                <c:pt idx="11">
                  <c:v>2.0450950847580542E-4</c:v>
                </c:pt>
                <c:pt idx="12">
                  <c:v>1.0904850180851915E-4</c:v>
                </c:pt>
                <c:pt idx="13">
                  <c:v>-2.19743481242856E-5</c:v>
                </c:pt>
                <c:pt idx="14">
                  <c:v>-1.8855904132260867E-4</c:v>
                </c:pt>
                <c:pt idx="15">
                  <c:v>-3.9070557778645028E-4</c:v>
                </c:pt>
                <c:pt idx="16">
                  <c:v>-6.2841395751581032E-4</c:v>
                </c:pt>
                <c:pt idx="17">
                  <c:v>-9.0168418051068868E-4</c:v>
                </c:pt>
                <c:pt idx="18">
                  <c:v>-1.2105162467710862E-3</c:v>
                </c:pt>
                <c:pt idx="19">
                  <c:v>-1.5549101562970014E-3</c:v>
                </c:pt>
                <c:pt idx="20">
                  <c:v>-1.9348659090884356E-3</c:v>
                </c:pt>
                <c:pt idx="21">
                  <c:v>-2.3503835051453879E-3</c:v>
                </c:pt>
                <c:pt idx="22">
                  <c:v>-2.8014629444678587E-3</c:v>
                </c:pt>
                <c:pt idx="23">
                  <c:v>-3.2881042270558481E-3</c:v>
                </c:pt>
                <c:pt idx="24">
                  <c:v>-3.8103073529093556E-3</c:v>
                </c:pt>
                <c:pt idx="25">
                  <c:v>-4.368072322028382E-3</c:v>
                </c:pt>
                <c:pt idx="26">
                  <c:v>-4.961399134412927E-3</c:v>
                </c:pt>
                <c:pt idx="27">
                  <c:v>-5.5902877900629901E-3</c:v>
                </c:pt>
                <c:pt idx="28">
                  <c:v>-6.2547382889785712E-3</c:v>
                </c:pt>
                <c:pt idx="29">
                  <c:v>-6.9547506311596731E-3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545-458A-B1A8-C4BE1AD1C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206888"/>
        <c:axId val="1"/>
      </c:scatterChart>
      <c:valAx>
        <c:axId val="942206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06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691729323308271"/>
          <c:y val="0.92441860465116277"/>
          <c:w val="0.80451127819548873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0</xdr:row>
      <xdr:rowOff>0</xdr:rowOff>
    </xdr:from>
    <xdr:to>
      <xdr:col>18</xdr:col>
      <xdr:colOff>285750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8F0A518-8FC7-47FD-5A29-CEDE7852AE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13" Type="http://schemas.openxmlformats.org/officeDocument/2006/relationships/hyperlink" Target="http://www.bav-astro.de/sfs/BAVM_link.php?BAVMnr=220" TargetMode="External"/><Relationship Id="rId18" Type="http://schemas.openxmlformats.org/officeDocument/2006/relationships/hyperlink" Target="http://www.konkoly.hu/cgi-bin/IBVS?5992" TargetMode="External"/><Relationship Id="rId3" Type="http://schemas.openxmlformats.org/officeDocument/2006/relationships/hyperlink" Target="http://www.konkoly.hu/cgi-bin/IBVS?5781" TargetMode="External"/><Relationship Id="rId7" Type="http://schemas.openxmlformats.org/officeDocument/2006/relationships/hyperlink" Target="http://www.konkoly.hu/cgi-bin/IBVS?5920" TargetMode="External"/><Relationship Id="rId12" Type="http://schemas.openxmlformats.org/officeDocument/2006/relationships/hyperlink" Target="http://www.bav-astro.de/sfs/BAVM_link.php?BAVMnr=220" TargetMode="External"/><Relationship Id="rId17" Type="http://schemas.openxmlformats.org/officeDocument/2006/relationships/hyperlink" Target="http://www.konkoly.hu/cgi-bin/IBVS?5992" TargetMode="External"/><Relationship Id="rId2" Type="http://schemas.openxmlformats.org/officeDocument/2006/relationships/hyperlink" Target="http://www.konkoly.hu/cgi-bin/IBVS?5781" TargetMode="External"/><Relationship Id="rId16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konkoly.hu/cgi-bin/IBVS?5781" TargetMode="External"/><Relationship Id="rId6" Type="http://schemas.openxmlformats.org/officeDocument/2006/relationships/hyperlink" Target="http://www.konkoly.hu/cgi-bin/IBVS?5920" TargetMode="External"/><Relationship Id="rId11" Type="http://schemas.openxmlformats.org/officeDocument/2006/relationships/hyperlink" Target="http://www.bav-astro.de/sfs/BAVM_link.php?BAVMnr=220" TargetMode="External"/><Relationship Id="rId5" Type="http://schemas.openxmlformats.org/officeDocument/2006/relationships/hyperlink" Target="http://www.bav-astro.de/sfs/BAVM_link.php?BAVMnr=209" TargetMode="External"/><Relationship Id="rId15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209" TargetMode="External"/><Relationship Id="rId9" Type="http://schemas.openxmlformats.org/officeDocument/2006/relationships/hyperlink" Target="http://www.bav-astro.de/sfs/BAVM_link.php?BAVMnr=220" TargetMode="External"/><Relationship Id="rId14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20"/>
  <sheetViews>
    <sheetView tabSelected="1" workbookViewId="0">
      <pane xSplit="14" ySplit="21" topLeftCell="O67" activePane="bottomRight" state="frozen"/>
      <selection pane="topRight" activeCell="O1" sqref="O1"/>
      <selection pane="bottomLeft" activeCell="A22" sqref="A22"/>
      <selection pane="bottomRight" activeCell="F7" sqref="F6: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425781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3" ht="21" thickBot="1" x14ac:dyDescent="0.35">
      <c r="A1" s="1" t="s">
        <v>38</v>
      </c>
      <c r="F1" s="3">
        <v>52500.222699999998</v>
      </c>
      <c r="G1" s="3">
        <v>0.22787625</v>
      </c>
      <c r="H1" s="3" t="s">
        <v>39</v>
      </c>
      <c r="V1" s="4" t="s">
        <v>10</v>
      </c>
      <c r="W1" s="6" t="s">
        <v>21</v>
      </c>
    </row>
    <row r="2" spans="1:23" x14ac:dyDescent="0.2">
      <c r="A2" t="s">
        <v>23</v>
      </c>
      <c r="B2" t="str">
        <f>H1</f>
        <v xml:space="preserve">EW        </v>
      </c>
      <c r="C2" s="3"/>
      <c r="D2" s="3"/>
      <c r="V2" s="49">
        <v>-6000</v>
      </c>
      <c r="W2" s="49">
        <f t="shared" ref="W2:W31" si="0">+D$11+D$12*V2+D$13*V2^2</f>
        <v>-1.0925010737082644E-3</v>
      </c>
    </row>
    <row r="3" spans="1:23" ht="13.5" thickBot="1" x14ac:dyDescent="0.25">
      <c r="V3" s="49">
        <v>-5000</v>
      </c>
      <c r="W3" s="49">
        <f t="shared" si="0"/>
        <v>-7.9678180445484767E-4</v>
      </c>
    </row>
    <row r="4" spans="1:23" ht="14.25" thickTop="1" thickBot="1" x14ac:dyDescent="0.25">
      <c r="A4" s="5" t="s">
        <v>37</v>
      </c>
      <c r="C4" s="8">
        <f>F1</f>
        <v>52500.222699999998</v>
      </c>
      <c r="D4" s="9">
        <f>G1</f>
        <v>0.22787625</v>
      </c>
      <c r="E4" s="26" t="s">
        <v>35</v>
      </c>
      <c r="V4" s="49">
        <v>-4000</v>
      </c>
      <c r="W4" s="49">
        <f t="shared" si="0"/>
        <v>-5.3662437846694927E-4</v>
      </c>
    </row>
    <row r="5" spans="1:23" ht="13.5" thickTop="1" x14ac:dyDescent="0.2">
      <c r="A5" s="11" t="s">
        <v>28</v>
      </c>
      <c r="B5" s="12"/>
      <c r="C5" s="13">
        <v>-9.5</v>
      </c>
      <c r="D5" s="12" t="s">
        <v>29</v>
      </c>
      <c r="V5" s="49">
        <v>-3000</v>
      </c>
      <c r="W5" s="49">
        <f t="shared" si="0"/>
        <v>-3.1202879574456931E-4</v>
      </c>
    </row>
    <row r="6" spans="1:23" x14ac:dyDescent="0.2">
      <c r="A6" s="5" t="s">
        <v>1</v>
      </c>
      <c r="V6" s="49">
        <v>-2000</v>
      </c>
      <c r="W6" s="49">
        <f t="shared" si="0"/>
        <v>-1.2299505628770782E-4</v>
      </c>
    </row>
    <row r="7" spans="1:23" x14ac:dyDescent="0.2">
      <c r="A7" t="s">
        <v>2</v>
      </c>
      <c r="C7">
        <f>C4</f>
        <v>52500.222699999998</v>
      </c>
      <c r="V7" s="49">
        <v>-1000</v>
      </c>
      <c r="W7" s="49">
        <f t="shared" si="0"/>
        <v>3.0476839903635161E-5</v>
      </c>
    </row>
    <row r="8" spans="1:23" x14ac:dyDescent="0.2">
      <c r="A8" t="s">
        <v>3</v>
      </c>
      <c r="C8">
        <f>D4</f>
        <v>0.22787625</v>
      </c>
      <c r="D8" s="25"/>
      <c r="V8" s="49">
        <v>0</v>
      </c>
      <c r="W8" s="49">
        <f t="shared" si="0"/>
        <v>1.483868928294597E-4</v>
      </c>
    </row>
    <row r="9" spans="1:23" x14ac:dyDescent="0.2">
      <c r="A9" s="24" t="s">
        <v>33</v>
      </c>
      <c r="B9" s="44">
        <v>70</v>
      </c>
      <c r="C9" s="22" t="str">
        <f>"F"&amp;B9</f>
        <v>F70</v>
      </c>
      <c r="D9" s="23" t="str">
        <f>"G"&amp;B9</f>
        <v>G70</v>
      </c>
      <c r="V9" s="49">
        <v>1000</v>
      </c>
      <c r="W9" s="49">
        <f t="shared" si="0"/>
        <v>2.3073510248976576E-4</v>
      </c>
    </row>
    <row r="10" spans="1:23" ht="13.5" thickBot="1" x14ac:dyDescent="0.25">
      <c r="A10" s="12"/>
      <c r="B10" s="12"/>
      <c r="C10" s="4" t="s">
        <v>19</v>
      </c>
      <c r="D10" s="4" t="s">
        <v>20</v>
      </c>
      <c r="E10" s="12"/>
      <c r="V10" s="49">
        <v>2000</v>
      </c>
      <c r="W10" s="49">
        <f t="shared" si="0"/>
        <v>2.7752146888455339E-4</v>
      </c>
    </row>
    <row r="11" spans="1:23" x14ac:dyDescent="0.2">
      <c r="A11" s="12" t="s">
        <v>15</v>
      </c>
      <c r="B11" s="12"/>
      <c r="C11" s="21">
        <f ca="1">INTERCEPT(INDIRECT($D$9):G989,INDIRECT($C$9):F989)</f>
        <v>-3.8586140320340202E-4</v>
      </c>
      <c r="D11" s="3">
        <f>+E11*F11</f>
        <v>1.483868928294597E-4</v>
      </c>
      <c r="E11" s="40">
        <v>1.483868928294597E-4</v>
      </c>
      <c r="F11">
        <v>1</v>
      </c>
      <c r="V11" s="49">
        <v>3000</v>
      </c>
      <c r="W11" s="49">
        <f t="shared" si="0"/>
        <v>2.8874599201382252E-4</v>
      </c>
    </row>
    <row r="12" spans="1:23" x14ac:dyDescent="0.2">
      <c r="A12" s="12" t="s">
        <v>16</v>
      </c>
      <c r="B12" s="12"/>
      <c r="C12" s="21">
        <f ca="1">SLOPE(INDIRECT($D$9):G989,INDIRECT($C$9):F989)</f>
        <v>-1.487285259541436E-7</v>
      </c>
      <c r="D12" s="3">
        <f>+E12*F12</f>
        <v>1.0012913129306531E-7</v>
      </c>
      <c r="E12" s="41">
        <v>1.001291312930653E-3</v>
      </c>
      <c r="F12" s="42">
        <v>1E-4</v>
      </c>
      <c r="V12" s="49">
        <v>4000</v>
      </c>
      <c r="W12" s="49">
        <f t="shared" si="0"/>
        <v>2.6440867187757321E-4</v>
      </c>
    </row>
    <row r="13" spans="1:23" ht="13.5" thickBot="1" x14ac:dyDescent="0.25">
      <c r="A13" s="12" t="s">
        <v>18</v>
      </c>
      <c r="B13" s="12"/>
      <c r="C13" s="3" t="s">
        <v>13</v>
      </c>
      <c r="D13" s="3">
        <f>+E13*F13</f>
        <v>-1.7780921632759232E-11</v>
      </c>
      <c r="E13" s="43">
        <v>-1.7780921632759232E-3</v>
      </c>
      <c r="F13" s="42">
        <v>1E-8</v>
      </c>
      <c r="V13" s="49">
        <v>5000</v>
      </c>
      <c r="W13" s="49">
        <f t="shared" si="0"/>
        <v>2.0450950847580542E-4</v>
      </c>
    </row>
    <row r="14" spans="1:23" x14ac:dyDescent="0.2">
      <c r="A14" s="12"/>
      <c r="B14" s="12"/>
      <c r="C14" s="12"/>
      <c r="E14">
        <f>SUM(T21:T950)</f>
        <v>2.789736157944718E-4</v>
      </c>
      <c r="V14" s="49">
        <v>6000</v>
      </c>
      <c r="W14" s="49">
        <f t="shared" si="0"/>
        <v>1.0904850180851915E-4</v>
      </c>
    </row>
    <row r="15" spans="1:23" x14ac:dyDescent="0.2">
      <c r="A15" s="14" t="s">
        <v>17</v>
      </c>
      <c r="B15" s="12"/>
      <c r="C15" s="15">
        <f ca="1">(C7+C11)+(C8+C12)*INT(MAX(F21:F3530))</f>
        <v>59032.518633186672</v>
      </c>
      <c r="D15" s="23">
        <f>+C7+INT(MAX(F21:F1588))*C8+D11+D12*INT(MAX(F21:F4023))+D13*INT(MAX(F21:F4050)^2)</f>
        <v>59032.511689392217</v>
      </c>
      <c r="E15" s="16" t="s">
        <v>46</v>
      </c>
      <c r="F15" s="13">
        <v>1</v>
      </c>
      <c r="V15" s="49">
        <v>7000</v>
      </c>
      <c r="W15" s="49">
        <f t="shared" si="0"/>
        <v>-2.19743481242856E-5</v>
      </c>
    </row>
    <row r="16" spans="1:23" x14ac:dyDescent="0.2">
      <c r="A16" s="18" t="s">
        <v>4</v>
      </c>
      <c r="B16" s="12"/>
      <c r="C16" s="19">
        <f ca="1">+C8+C12</f>
        <v>0.22787610127147404</v>
      </c>
      <c r="D16" s="23">
        <f>+C8+D12+2*D13*MAX(F21:F896)</f>
        <v>0.22787533069555133</v>
      </c>
      <c r="E16" s="16" t="s">
        <v>30</v>
      </c>
      <c r="F16" s="17">
        <f ca="1">NOW()+15018.5+$C$5/24</f>
        <v>60354.778757523149</v>
      </c>
      <c r="V16" s="49">
        <v>8000</v>
      </c>
      <c r="W16" s="49">
        <f t="shared" si="0"/>
        <v>-1.8855904132260867E-4</v>
      </c>
    </row>
    <row r="17" spans="1:23" ht="13.5" thickBot="1" x14ac:dyDescent="0.25">
      <c r="A17" s="16" t="s">
        <v>27</v>
      </c>
      <c r="B17" s="12"/>
      <c r="C17" s="12">
        <f>COUNT(C21:C2188)</f>
        <v>59</v>
      </c>
      <c r="E17" s="16" t="s">
        <v>47</v>
      </c>
      <c r="F17" s="17">
        <f ca="1">ROUND(2*(F16-$C$7)/$C$8,0)/2+F15</f>
        <v>34469.5</v>
      </c>
      <c r="V17" s="49">
        <v>9000</v>
      </c>
      <c r="W17" s="49">
        <f t="shared" si="0"/>
        <v>-3.9070557778645028E-4</v>
      </c>
    </row>
    <row r="18" spans="1:23" ht="14.25" thickTop="1" thickBot="1" x14ac:dyDescent="0.25">
      <c r="A18" s="18" t="s">
        <v>5</v>
      </c>
      <c r="B18" s="12"/>
      <c r="C18" s="38">
        <f ca="1">+C15</f>
        <v>59032.518633186672</v>
      </c>
      <c r="D18" s="39">
        <f ca="1">C16</f>
        <v>0.22787610127147404</v>
      </c>
      <c r="E18" s="16" t="s">
        <v>31</v>
      </c>
      <c r="F18" s="23">
        <f ca="1">ROUND(2*(F16-$C$15)/$C$16,0)/2+F15</f>
        <v>5803.5</v>
      </c>
      <c r="V18" s="49">
        <v>10000</v>
      </c>
      <c r="W18" s="49">
        <f t="shared" si="0"/>
        <v>-6.2841395751581032E-4</v>
      </c>
    </row>
    <row r="19" spans="1:23" ht="13.5" thickBot="1" x14ac:dyDescent="0.25">
      <c r="A19" s="5" t="s">
        <v>53</v>
      </c>
      <c r="C19" s="36">
        <f>+D15</f>
        <v>59032.511689392217</v>
      </c>
      <c r="D19" s="37">
        <f>+D16</f>
        <v>0.22787533069555133</v>
      </c>
      <c r="E19" s="16" t="s">
        <v>32</v>
      </c>
      <c r="F19" s="20">
        <f ca="1">+$C$15+$C$16*F18-15018.5-$C$5/24</f>
        <v>45336.893420249005</v>
      </c>
      <c r="V19" s="49">
        <v>11000</v>
      </c>
      <c r="W19" s="49">
        <f t="shared" si="0"/>
        <v>-9.0168418051068868E-4</v>
      </c>
    </row>
    <row r="20" spans="1:23" ht="1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65</v>
      </c>
      <c r="I20" s="7" t="s">
        <v>68</v>
      </c>
      <c r="J20" s="7" t="s">
        <v>62</v>
      </c>
      <c r="K20" s="7" t="s">
        <v>60</v>
      </c>
      <c r="L20" s="7" t="s">
        <v>24</v>
      </c>
      <c r="M20" s="7" t="s">
        <v>25</v>
      </c>
      <c r="N20" s="7" t="s">
        <v>26</v>
      </c>
      <c r="O20" s="7" t="s">
        <v>22</v>
      </c>
      <c r="P20" s="45" t="s">
        <v>21</v>
      </c>
      <c r="Q20" s="4" t="s">
        <v>14</v>
      </c>
      <c r="R20" s="7" t="s">
        <v>54</v>
      </c>
      <c r="S20" s="6" t="s">
        <v>55</v>
      </c>
      <c r="T20" s="7" t="s">
        <v>56</v>
      </c>
      <c r="U20" s="46" t="s">
        <v>57</v>
      </c>
      <c r="V20" s="49">
        <v>12000</v>
      </c>
      <c r="W20" s="49">
        <f t="shared" si="0"/>
        <v>-1.2105162467710862E-3</v>
      </c>
    </row>
    <row r="21" spans="1:23" x14ac:dyDescent="0.2">
      <c r="A21" s="33" t="s">
        <v>48</v>
      </c>
      <c r="B21" s="34" t="s">
        <v>34</v>
      </c>
      <c r="C21" s="33">
        <v>51275.842499999999</v>
      </c>
      <c r="D21" s="33">
        <v>4.0000000000000002E-4</v>
      </c>
      <c r="E21">
        <f t="shared" ref="E21:E52" si="1">+(C21-C$7)/C$8</f>
        <v>-5373.0048655794517</v>
      </c>
      <c r="F21">
        <f t="shared" ref="F21:F52" si="2">ROUND(2*E21,0)/2</f>
        <v>-5373</v>
      </c>
      <c r="G21">
        <f t="shared" ref="G21:G48" si="3">+C21-(C$7+F21*C$8)</f>
        <v>-1.1087500024586916E-3</v>
      </c>
      <c r="K21">
        <f t="shared" ref="K21:K36" si="4">+G21</f>
        <v>-1.1087500024586916E-3</v>
      </c>
      <c r="O21">
        <f t="shared" ref="O21:O52" ca="1" si="5">+C$11+C$12*$F21</f>
        <v>4.1325696674821152E-4</v>
      </c>
      <c r="P21" s="47">
        <f t="shared" ref="P21:P52" si="6">+D$11+D$12*F21+D$13*F21^2</f>
        <v>-9.0292664996319705E-4</v>
      </c>
      <c r="Q21" s="2">
        <f t="shared" ref="Q21:Q52" si="7">+C21-15018.5</f>
        <v>36257.342499999999</v>
      </c>
      <c r="R21" s="49">
        <f t="shared" ref="R21:R48" si="8">+(P21-G21)^2</f>
        <v>4.2363252432484602E-8</v>
      </c>
      <c r="S21" s="51">
        <v>1</v>
      </c>
      <c r="T21" s="49">
        <f t="shared" ref="T21:T52" si="9">+S21*R21</f>
        <v>4.2363252432484602E-8</v>
      </c>
      <c r="V21" s="49">
        <v>13000</v>
      </c>
      <c r="W21" s="49">
        <f t="shared" si="0"/>
        <v>-1.5549101562970014E-3</v>
      </c>
    </row>
    <row r="22" spans="1:23" x14ac:dyDescent="0.2">
      <c r="A22" s="33" t="s">
        <v>48</v>
      </c>
      <c r="B22" s="34" t="s">
        <v>41</v>
      </c>
      <c r="C22" s="33">
        <v>51312.872300000003</v>
      </c>
      <c r="D22" s="33">
        <v>1.1999999999999999E-3</v>
      </c>
      <c r="E22">
        <f t="shared" si="1"/>
        <v>-5210.5052632733587</v>
      </c>
      <c r="F22">
        <f t="shared" si="2"/>
        <v>-5210.5</v>
      </c>
      <c r="G22">
        <f t="shared" si="3"/>
        <v>-1.1993749940302223E-3</v>
      </c>
      <c r="K22">
        <f t="shared" si="4"/>
        <v>-1.1993749940302223E-3</v>
      </c>
      <c r="O22">
        <f t="shared" ca="1" si="5"/>
        <v>3.8908858128066325E-4</v>
      </c>
      <c r="P22" s="47">
        <f t="shared" si="6"/>
        <v>-8.5607570371177416E-4</v>
      </c>
      <c r="Q22" s="2">
        <f t="shared" si="7"/>
        <v>36294.372300000003</v>
      </c>
      <c r="R22" s="49">
        <f t="shared" si="8"/>
        <v>1.1785440273315014E-7</v>
      </c>
      <c r="S22" s="51">
        <v>1</v>
      </c>
      <c r="T22" s="49">
        <f t="shared" si="9"/>
        <v>1.1785440273315014E-7</v>
      </c>
      <c r="V22" s="49">
        <v>14000</v>
      </c>
      <c r="W22" s="49">
        <f t="shared" si="0"/>
        <v>-1.9348659090884356E-3</v>
      </c>
    </row>
    <row r="23" spans="1:23" x14ac:dyDescent="0.2">
      <c r="A23" s="28" t="s">
        <v>42</v>
      </c>
      <c r="B23" s="27" t="s">
        <v>34</v>
      </c>
      <c r="C23" s="28">
        <v>52495.437400000003</v>
      </c>
      <c r="D23" s="28">
        <v>5.0000000000000001E-4</v>
      </c>
      <c r="E23">
        <f t="shared" si="1"/>
        <v>-20.999555679874113</v>
      </c>
      <c r="F23">
        <f t="shared" si="2"/>
        <v>-21</v>
      </c>
      <c r="G23">
        <f t="shared" si="3"/>
        <v>1.0125000699190423E-4</v>
      </c>
      <c r="K23">
        <f t="shared" si="4"/>
        <v>1.0125000699190423E-4</v>
      </c>
      <c r="O23">
        <f t="shared" ca="1" si="5"/>
        <v>-3.8273810415836502E-4</v>
      </c>
      <c r="P23" s="47">
        <f t="shared" si="6"/>
        <v>1.4627633968586527E-4</v>
      </c>
      <c r="Q23" s="48">
        <f t="shared" si="7"/>
        <v>37476.937400000003</v>
      </c>
      <c r="R23" s="49">
        <f t="shared" si="8"/>
        <v>2.0273706358672652E-9</v>
      </c>
      <c r="S23" s="51">
        <v>1</v>
      </c>
      <c r="T23" s="49">
        <f t="shared" si="9"/>
        <v>2.0273706358672652E-9</v>
      </c>
      <c r="U23" s="50"/>
      <c r="V23" s="49">
        <v>15000</v>
      </c>
      <c r="W23" s="49">
        <f t="shared" si="0"/>
        <v>-2.3503835051453879E-3</v>
      </c>
    </row>
    <row r="24" spans="1:23" x14ac:dyDescent="0.2">
      <c r="A24" s="28" t="s">
        <v>36</v>
      </c>
      <c r="B24" s="27" t="s">
        <v>34</v>
      </c>
      <c r="C24" s="28">
        <v>52500.222699999998</v>
      </c>
      <c r="D24" s="28"/>
      <c r="E24">
        <f t="shared" si="1"/>
        <v>0</v>
      </c>
      <c r="F24">
        <f t="shared" si="2"/>
        <v>0</v>
      </c>
      <c r="G24">
        <f t="shared" si="3"/>
        <v>0</v>
      </c>
      <c r="K24">
        <f t="shared" si="4"/>
        <v>0</v>
      </c>
      <c r="O24">
        <f t="shared" ca="1" si="5"/>
        <v>-3.8586140320340202E-4</v>
      </c>
      <c r="P24" s="47">
        <f t="shared" si="6"/>
        <v>1.483868928294597E-4</v>
      </c>
      <c r="Q24" s="2">
        <f t="shared" si="7"/>
        <v>37481.722699999998</v>
      </c>
      <c r="R24" s="49">
        <f t="shared" si="8"/>
        <v>2.2018669963581558E-8</v>
      </c>
      <c r="S24" s="51">
        <v>1</v>
      </c>
      <c r="T24" s="49">
        <f t="shared" si="9"/>
        <v>2.2018669963581558E-8</v>
      </c>
      <c r="V24" s="49">
        <v>16000</v>
      </c>
      <c r="W24" s="49">
        <f t="shared" si="0"/>
        <v>-2.8014629444678587E-3</v>
      </c>
    </row>
    <row r="25" spans="1:23" x14ac:dyDescent="0.2">
      <c r="A25" s="28" t="s">
        <v>42</v>
      </c>
      <c r="B25" s="27" t="s">
        <v>41</v>
      </c>
      <c r="C25" s="28">
        <v>52502.387799999997</v>
      </c>
      <c r="D25" s="28">
        <v>8.0000000000000004E-4</v>
      </c>
      <c r="E25">
        <f t="shared" si="1"/>
        <v>9.5012095380643959</v>
      </c>
      <c r="F25">
        <f t="shared" si="2"/>
        <v>9.5</v>
      </c>
      <c r="G25">
        <f t="shared" si="3"/>
        <v>2.7562499599298462E-4</v>
      </c>
      <c r="K25">
        <f t="shared" si="4"/>
        <v>2.7562499599298462E-4</v>
      </c>
      <c r="O25">
        <f t="shared" ca="1" si="5"/>
        <v>-3.8727432419996636E-4</v>
      </c>
      <c r="P25" s="47">
        <f t="shared" si="6"/>
        <v>1.4933651484856647E-4</v>
      </c>
      <c r="Q25" s="2">
        <f t="shared" si="7"/>
        <v>37483.887799999997</v>
      </c>
      <c r="R25" s="49">
        <f t="shared" si="8"/>
        <v>1.5948780469764058E-8</v>
      </c>
      <c r="S25" s="51">
        <v>1</v>
      </c>
      <c r="T25" s="49">
        <f t="shared" si="9"/>
        <v>1.5948780469764058E-8</v>
      </c>
      <c r="V25" s="49">
        <v>17000</v>
      </c>
      <c r="W25" s="49">
        <f t="shared" si="0"/>
        <v>-3.2881042270558481E-3</v>
      </c>
    </row>
    <row r="26" spans="1:23" x14ac:dyDescent="0.2">
      <c r="A26" s="28" t="s">
        <v>42</v>
      </c>
      <c r="B26" s="27" t="s">
        <v>34</v>
      </c>
      <c r="C26" s="28">
        <v>52502.501499999998</v>
      </c>
      <c r="D26" s="28">
        <v>5.9999999999999995E-4</v>
      </c>
      <c r="E26">
        <f t="shared" si="1"/>
        <v>10.00016456300315</v>
      </c>
      <c r="F26">
        <f t="shared" si="2"/>
        <v>10</v>
      </c>
      <c r="G26">
        <f t="shared" si="3"/>
        <v>3.7500001781154424E-5</v>
      </c>
      <c r="K26">
        <f t="shared" si="4"/>
        <v>3.7500001781154424E-5</v>
      </c>
      <c r="O26">
        <f t="shared" ca="1" si="5"/>
        <v>-3.8734868846294348E-4</v>
      </c>
      <c r="P26" s="47">
        <f t="shared" si="6"/>
        <v>1.4938640605022707E-4</v>
      </c>
      <c r="Q26" s="2">
        <f t="shared" si="7"/>
        <v>37484.001499999998</v>
      </c>
      <c r="R26" s="49">
        <f t="shared" si="8"/>
        <v>1.2518567460262358E-8</v>
      </c>
      <c r="S26" s="51">
        <v>1</v>
      </c>
      <c r="T26" s="49">
        <f t="shared" si="9"/>
        <v>1.2518567460262358E-8</v>
      </c>
      <c r="V26" s="49">
        <v>18000</v>
      </c>
      <c r="W26" s="49">
        <f t="shared" si="0"/>
        <v>-3.8103073529093556E-3</v>
      </c>
    </row>
    <row r="27" spans="1:23" x14ac:dyDescent="0.2">
      <c r="A27" s="28" t="s">
        <v>42</v>
      </c>
      <c r="B27" s="27" t="s">
        <v>34</v>
      </c>
      <c r="C27" s="28">
        <v>52509.3367</v>
      </c>
      <c r="D27" s="28">
        <v>2.0000000000000001E-4</v>
      </c>
      <c r="E27">
        <f t="shared" si="1"/>
        <v>39.995392235923653</v>
      </c>
      <c r="F27">
        <f t="shared" si="2"/>
        <v>40</v>
      </c>
      <c r="G27">
        <f t="shared" si="3"/>
        <v>-1.0499999989406206E-3</v>
      </c>
      <c r="K27">
        <f t="shared" si="4"/>
        <v>-1.0499999989406206E-3</v>
      </c>
      <c r="O27">
        <f t="shared" ca="1" si="5"/>
        <v>-3.9181054424156775E-4</v>
      </c>
      <c r="P27" s="47">
        <f t="shared" si="6"/>
        <v>1.523636086065699E-4</v>
      </c>
      <c r="Q27" s="2">
        <f t="shared" si="7"/>
        <v>37490.8367</v>
      </c>
      <c r="R27" s="49">
        <f t="shared" si="8"/>
        <v>1.4456782447538941E-6</v>
      </c>
      <c r="S27" s="51">
        <v>1</v>
      </c>
      <c r="T27" s="49">
        <f t="shared" si="9"/>
        <v>1.4456782447538941E-6</v>
      </c>
      <c r="V27" s="49">
        <v>19000</v>
      </c>
      <c r="W27" s="49">
        <f t="shared" si="0"/>
        <v>-4.368072322028382E-3</v>
      </c>
    </row>
    <row r="28" spans="1:23" x14ac:dyDescent="0.2">
      <c r="A28" s="28" t="s">
        <v>42</v>
      </c>
      <c r="B28" s="27" t="s">
        <v>41</v>
      </c>
      <c r="C28" s="28">
        <v>52526.314899999998</v>
      </c>
      <c r="D28" s="28">
        <v>1.6999999999999999E-3</v>
      </c>
      <c r="E28">
        <f t="shared" si="1"/>
        <v>114.50162094557524</v>
      </c>
      <c r="F28">
        <f t="shared" si="2"/>
        <v>114.5</v>
      </c>
      <c r="G28">
        <f t="shared" si="3"/>
        <v>3.6937499680789188E-4</v>
      </c>
      <c r="K28">
        <f t="shared" si="4"/>
        <v>3.6937499680789188E-4</v>
      </c>
      <c r="O28">
        <f t="shared" ca="1" si="5"/>
        <v>-4.0289081942515147E-4</v>
      </c>
      <c r="P28" s="47">
        <f t="shared" si="6"/>
        <v>1.5961856603467981E-4</v>
      </c>
      <c r="Q28" s="2">
        <f t="shared" si="7"/>
        <v>37507.814899999998</v>
      </c>
      <c r="R28" s="49">
        <f t="shared" si="8"/>
        <v>4.3997760250717303E-8</v>
      </c>
      <c r="S28" s="51">
        <v>0.5</v>
      </c>
      <c r="T28" s="49">
        <f t="shared" si="9"/>
        <v>2.1998880125358652E-8</v>
      </c>
      <c r="V28" s="49">
        <v>20000</v>
      </c>
      <c r="W28" s="49">
        <f t="shared" si="0"/>
        <v>-4.961399134412927E-3</v>
      </c>
    </row>
    <row r="29" spans="1:23" x14ac:dyDescent="0.2">
      <c r="A29" s="28" t="s">
        <v>42</v>
      </c>
      <c r="B29" s="27" t="s">
        <v>34</v>
      </c>
      <c r="C29" s="28">
        <v>52526.428800000002</v>
      </c>
      <c r="D29" s="28">
        <v>1.4E-3</v>
      </c>
      <c r="E29">
        <f t="shared" si="1"/>
        <v>115.00145363987279</v>
      </c>
      <c r="F29">
        <f t="shared" si="2"/>
        <v>115</v>
      </c>
      <c r="G29">
        <f t="shared" si="3"/>
        <v>3.3125000481959432E-4</v>
      </c>
      <c r="K29">
        <f t="shared" si="4"/>
        <v>3.3125000481959432E-4</v>
      </c>
      <c r="O29">
        <f t="shared" ca="1" si="5"/>
        <v>-4.0296518368812854E-4</v>
      </c>
      <c r="P29" s="47">
        <f t="shared" si="6"/>
        <v>1.5966659023956898E-4</v>
      </c>
      <c r="Q29" s="2">
        <f t="shared" si="7"/>
        <v>37507.928800000002</v>
      </c>
      <c r="R29" s="49">
        <f t="shared" si="8"/>
        <v>2.9440868158940852E-8</v>
      </c>
      <c r="S29" s="51">
        <v>0.5</v>
      </c>
      <c r="T29" s="49">
        <f t="shared" si="9"/>
        <v>1.4720434079470426E-8</v>
      </c>
      <c r="V29" s="49">
        <v>21000</v>
      </c>
      <c r="W29" s="49">
        <f t="shared" si="0"/>
        <v>-5.5902877900629901E-3</v>
      </c>
    </row>
    <row r="30" spans="1:23" x14ac:dyDescent="0.2">
      <c r="A30" s="28" t="s">
        <v>42</v>
      </c>
      <c r="B30" s="27" t="s">
        <v>41</v>
      </c>
      <c r="C30" s="28">
        <v>52526.542399999998</v>
      </c>
      <c r="D30" s="28">
        <v>1.6999999999999999E-3</v>
      </c>
      <c r="E30">
        <f t="shared" si="1"/>
        <v>115.49996983011617</v>
      </c>
      <c r="F30">
        <f t="shared" si="2"/>
        <v>115.5</v>
      </c>
      <c r="G30">
        <f t="shared" si="3"/>
        <v>-6.8750014179386199E-6</v>
      </c>
      <c r="K30">
        <f t="shared" si="4"/>
        <v>-6.8750014179386199E-6</v>
      </c>
      <c r="O30">
        <f t="shared" ca="1" si="5"/>
        <v>-4.0303954795110561E-4</v>
      </c>
      <c r="P30" s="47">
        <f t="shared" si="6"/>
        <v>1.5971460555399734E-4</v>
      </c>
      <c r="Q30" s="2">
        <f t="shared" si="7"/>
        <v>37508.042399999998</v>
      </c>
      <c r="R30" s="49">
        <f t="shared" si="8"/>
        <v>2.7752097151064091E-8</v>
      </c>
      <c r="S30" s="51">
        <v>0.5</v>
      </c>
      <c r="T30" s="49">
        <f t="shared" si="9"/>
        <v>1.3876048575532046E-8</v>
      </c>
      <c r="V30" s="49">
        <v>22000</v>
      </c>
      <c r="W30" s="49">
        <f t="shared" si="0"/>
        <v>-6.2547382889785712E-3</v>
      </c>
    </row>
    <row r="31" spans="1:23" x14ac:dyDescent="0.2">
      <c r="A31" s="28" t="s">
        <v>42</v>
      </c>
      <c r="B31" s="27" t="s">
        <v>41</v>
      </c>
      <c r="C31" s="28">
        <v>52533.379399999998</v>
      </c>
      <c r="D31" s="28">
        <v>1.2999999999999999E-3</v>
      </c>
      <c r="E31">
        <f t="shared" si="1"/>
        <v>145.5030965271701</v>
      </c>
      <c r="F31">
        <f t="shared" si="2"/>
        <v>145.5</v>
      </c>
      <c r="G31">
        <f t="shared" si="3"/>
        <v>7.0562499604420736E-4</v>
      </c>
      <c r="K31">
        <f t="shared" si="4"/>
        <v>7.0562499604420736E-4</v>
      </c>
      <c r="O31">
        <f t="shared" ca="1" si="5"/>
        <v>-4.0750140372972993E-4</v>
      </c>
      <c r="P31" s="47">
        <f t="shared" si="6"/>
        <v>1.6257925487640477E-4</v>
      </c>
      <c r="Q31" s="2">
        <f t="shared" si="7"/>
        <v>37514.879399999998</v>
      </c>
      <c r="R31" s="49">
        <f t="shared" si="8"/>
        <v>2.9489867700048809E-7</v>
      </c>
      <c r="S31" s="51">
        <v>0.5</v>
      </c>
      <c r="T31" s="49">
        <f t="shared" si="9"/>
        <v>1.4744933850024405E-7</v>
      </c>
      <c r="V31" s="49">
        <v>23000</v>
      </c>
      <c r="W31" s="49">
        <f t="shared" si="0"/>
        <v>-6.9547506311596731E-3</v>
      </c>
    </row>
    <row r="32" spans="1:23" x14ac:dyDescent="0.2">
      <c r="A32" s="28" t="s">
        <v>42</v>
      </c>
      <c r="B32" s="27" t="s">
        <v>34</v>
      </c>
      <c r="C32" s="28">
        <v>52533.493600000002</v>
      </c>
      <c r="D32" s="28">
        <v>1.1000000000000001E-3</v>
      </c>
      <c r="E32">
        <f t="shared" si="1"/>
        <v>146.00424572548988</v>
      </c>
      <c r="F32">
        <f t="shared" si="2"/>
        <v>146</v>
      </c>
      <c r="G32">
        <f t="shared" si="3"/>
        <v>9.6750000375322998E-4</v>
      </c>
      <c r="K32">
        <f t="shared" si="4"/>
        <v>9.6750000375322998E-4</v>
      </c>
      <c r="O32">
        <f t="shared" ca="1" si="5"/>
        <v>-4.07575767992707E-4</v>
      </c>
      <c r="P32" s="47">
        <f t="shared" si="6"/>
        <v>1.6262672787272333E-4</v>
      </c>
      <c r="Q32" s="2">
        <f t="shared" si="7"/>
        <v>37514.993600000002</v>
      </c>
      <c r="R32" s="49">
        <f t="shared" si="8"/>
        <v>6.4782099022661803E-7</v>
      </c>
      <c r="S32" s="51">
        <v>1</v>
      </c>
      <c r="T32" s="49">
        <f t="shared" si="9"/>
        <v>6.4782099022661803E-7</v>
      </c>
    </row>
    <row r="33" spans="1:20" x14ac:dyDescent="0.2">
      <c r="A33" s="28" t="s">
        <v>42</v>
      </c>
      <c r="B33" s="27" t="s">
        <v>41</v>
      </c>
      <c r="C33" s="28">
        <v>52536.341899999999</v>
      </c>
      <c r="D33" s="28">
        <v>1.6000000000000001E-3</v>
      </c>
      <c r="E33">
        <f t="shared" si="1"/>
        <v>158.50357375988503</v>
      </c>
      <c r="F33">
        <f t="shared" si="2"/>
        <v>158.5</v>
      </c>
      <c r="G33">
        <f t="shared" si="3"/>
        <v>8.1437500193715096E-4</v>
      </c>
      <c r="K33">
        <f t="shared" si="4"/>
        <v>8.1437500193715096E-4</v>
      </c>
      <c r="O33">
        <f t="shared" ca="1" si="5"/>
        <v>-4.094348745671338E-4</v>
      </c>
      <c r="P33" s="47">
        <f t="shared" si="6"/>
        <v>1.6381066338092196E-4</v>
      </c>
      <c r="Q33" s="2">
        <f t="shared" si="7"/>
        <v>37517.841899999999</v>
      </c>
      <c r="R33" s="49">
        <f t="shared" si="8"/>
        <v>4.2323395860110378E-7</v>
      </c>
      <c r="S33" s="51">
        <v>0.5</v>
      </c>
      <c r="T33" s="49">
        <f t="shared" si="9"/>
        <v>2.1161697930055189E-7</v>
      </c>
    </row>
    <row r="34" spans="1:20" x14ac:dyDescent="0.2">
      <c r="A34" s="28" t="s">
        <v>42</v>
      </c>
      <c r="B34" s="27" t="s">
        <v>34</v>
      </c>
      <c r="C34" s="28">
        <v>52548.305099999998</v>
      </c>
      <c r="D34" s="28">
        <v>1.1999999999999999E-3</v>
      </c>
      <c r="E34">
        <f t="shared" si="1"/>
        <v>211.00224354227052</v>
      </c>
      <c r="F34">
        <f t="shared" si="2"/>
        <v>211</v>
      </c>
      <c r="G34">
        <f t="shared" si="3"/>
        <v>5.1125000027241185E-4</v>
      </c>
      <c r="K34">
        <f t="shared" si="4"/>
        <v>5.1125000027241185E-4</v>
      </c>
      <c r="O34">
        <f t="shared" ca="1" si="5"/>
        <v>-4.1724312217972633E-4</v>
      </c>
      <c r="P34" s="47">
        <f t="shared" si="6"/>
        <v>1.687225151202844E-4</v>
      </c>
      <c r="Q34" s="2">
        <f t="shared" si="7"/>
        <v>37529.805099999998</v>
      </c>
      <c r="R34" s="49">
        <f t="shared" si="8"/>
        <v>1.1732507808464091E-7</v>
      </c>
      <c r="S34" s="51">
        <v>0.5</v>
      </c>
      <c r="T34" s="49">
        <f t="shared" si="9"/>
        <v>5.8662539042320455E-8</v>
      </c>
    </row>
    <row r="35" spans="1:20" x14ac:dyDescent="0.2">
      <c r="A35" s="28" t="s">
        <v>42</v>
      </c>
      <c r="B35" s="27" t="s">
        <v>41</v>
      </c>
      <c r="C35" s="28">
        <v>52548.418700000002</v>
      </c>
      <c r="D35" s="28">
        <v>4.0000000000000002E-4</v>
      </c>
      <c r="E35">
        <f t="shared" si="1"/>
        <v>211.50075973254584</v>
      </c>
      <c r="F35">
        <f t="shared" si="2"/>
        <v>211.5</v>
      </c>
      <c r="G35">
        <f t="shared" si="3"/>
        <v>1.7312500131083652E-4</v>
      </c>
      <c r="K35">
        <f t="shared" si="4"/>
        <v>1.7312500131083652E-4</v>
      </c>
      <c r="O35">
        <f t="shared" ca="1" si="5"/>
        <v>-4.1731748644270339E-4</v>
      </c>
      <c r="P35" s="47">
        <f t="shared" si="6"/>
        <v>1.68768823466236E-4</v>
      </c>
      <c r="Q35" s="2">
        <f t="shared" si="7"/>
        <v>37529.918700000002</v>
      </c>
      <c r="R35" s="49">
        <f t="shared" si="8"/>
        <v>1.8976285413788438E-11</v>
      </c>
      <c r="S35" s="51">
        <v>1</v>
      </c>
      <c r="T35" s="49">
        <f t="shared" si="9"/>
        <v>1.8976285413788438E-11</v>
      </c>
    </row>
    <row r="36" spans="1:20" x14ac:dyDescent="0.2">
      <c r="A36" s="33" t="s">
        <v>48</v>
      </c>
      <c r="B36" s="34" t="s">
        <v>34</v>
      </c>
      <c r="C36" s="33">
        <v>52548.532399999996</v>
      </c>
      <c r="D36" s="33">
        <v>8.9999999999999998E-4</v>
      </c>
      <c r="E36">
        <f t="shared" si="1"/>
        <v>211.99971475745267</v>
      </c>
      <c r="F36">
        <f t="shared" si="2"/>
        <v>212</v>
      </c>
      <c r="G36">
        <f t="shared" si="3"/>
        <v>-6.5000000176951289E-5</v>
      </c>
      <c r="K36">
        <f t="shared" si="4"/>
        <v>-6.5000000176951289E-5</v>
      </c>
      <c r="O36">
        <f t="shared" ca="1" si="5"/>
        <v>-4.1739185070568046E-4</v>
      </c>
      <c r="P36" s="47">
        <f t="shared" si="6"/>
        <v>1.6881512292172681E-4</v>
      </c>
      <c r="Q36" s="2">
        <f t="shared" si="7"/>
        <v>37530.032399999996</v>
      </c>
      <c r="R36" s="49">
        <f t="shared" si="8"/>
        <v>5.4669511789649991E-8</v>
      </c>
      <c r="S36" s="51">
        <v>1</v>
      </c>
      <c r="T36" s="49">
        <f t="shared" si="9"/>
        <v>5.4669511789649991E-8</v>
      </c>
    </row>
    <row r="37" spans="1:20" x14ac:dyDescent="0.2">
      <c r="A37" s="28" t="s">
        <v>42</v>
      </c>
      <c r="B37" s="27" t="s">
        <v>34</v>
      </c>
      <c r="C37" s="28">
        <v>52691.64</v>
      </c>
      <c r="D37" s="28">
        <v>2E-3</v>
      </c>
      <c r="E37">
        <f t="shared" si="1"/>
        <v>840.00548543343575</v>
      </c>
      <c r="F37">
        <f t="shared" si="2"/>
        <v>840</v>
      </c>
      <c r="G37">
        <f t="shared" si="3"/>
        <v>1.2500000011641532E-3</v>
      </c>
      <c r="I37">
        <f t="shared" ref="I37:I42" si="10">+G37</f>
        <v>1.2500000011641532E-3</v>
      </c>
      <c r="O37">
        <f t="shared" ca="1" si="5"/>
        <v>-5.1079336500488271E-4</v>
      </c>
      <c r="P37" s="47">
        <f t="shared" si="6"/>
        <v>2.1994914481155965E-4</v>
      </c>
      <c r="Q37" s="2">
        <f t="shared" si="7"/>
        <v>37673.14</v>
      </c>
      <c r="R37" s="49">
        <f t="shared" si="8"/>
        <v>1.0610047666727115E-6</v>
      </c>
      <c r="S37" s="51">
        <v>0.1</v>
      </c>
      <c r="T37" s="49">
        <f t="shared" si="9"/>
        <v>1.0610047666727115E-7</v>
      </c>
    </row>
    <row r="38" spans="1:20" x14ac:dyDescent="0.2">
      <c r="A38" s="28" t="s">
        <v>42</v>
      </c>
      <c r="B38" s="27" t="s">
        <v>41</v>
      </c>
      <c r="C38" s="28">
        <v>52702.688000000002</v>
      </c>
      <c r="D38" s="28">
        <v>6.0000000000000001E-3</v>
      </c>
      <c r="E38">
        <f t="shared" si="1"/>
        <v>888.48794027461611</v>
      </c>
      <c r="F38">
        <f t="shared" si="2"/>
        <v>888.5</v>
      </c>
      <c r="G38">
        <f t="shared" si="3"/>
        <v>-2.7481249999254942E-3</v>
      </c>
      <c r="I38">
        <f t="shared" si="10"/>
        <v>-2.7481249999254942E-3</v>
      </c>
      <c r="O38">
        <f t="shared" ca="1" si="5"/>
        <v>-5.1800669851365859E-4</v>
      </c>
      <c r="P38" s="47">
        <f t="shared" si="6"/>
        <v>2.2331479301172544E-4</v>
      </c>
      <c r="Q38" s="2">
        <f t="shared" si="7"/>
        <v>37684.188000000002</v>
      </c>
      <c r="R38" s="49">
        <f t="shared" si="8"/>
        <v>8.8294544430507863E-6</v>
      </c>
      <c r="S38" s="51">
        <v>0.1</v>
      </c>
      <c r="T38" s="49">
        <f t="shared" si="9"/>
        <v>8.8294544430507865E-7</v>
      </c>
    </row>
    <row r="39" spans="1:20" x14ac:dyDescent="0.2">
      <c r="A39" s="28" t="s">
        <v>42</v>
      </c>
      <c r="B39" s="27" t="s">
        <v>41</v>
      </c>
      <c r="C39" s="28">
        <v>52708.625</v>
      </c>
      <c r="D39" s="28">
        <v>5.0000000000000001E-3</v>
      </c>
      <c r="E39">
        <f t="shared" si="1"/>
        <v>914.5415549009673</v>
      </c>
      <c r="F39">
        <f t="shared" si="2"/>
        <v>914.5</v>
      </c>
      <c r="G39">
        <f t="shared" si="3"/>
        <v>9.4693749997531995E-3</v>
      </c>
      <c r="I39">
        <f t="shared" si="10"/>
        <v>9.4693749997531995E-3</v>
      </c>
      <c r="O39">
        <f t="shared" ca="1" si="5"/>
        <v>-5.2187364018846632E-4</v>
      </c>
      <c r="P39" s="47">
        <f t="shared" si="6"/>
        <v>2.2508461638104464E-4</v>
      </c>
      <c r="Q39" s="2">
        <f t="shared" si="7"/>
        <v>37690.125</v>
      </c>
      <c r="R39" s="49">
        <f t="shared" si="8"/>
        <v>8.5456904692106917E-5</v>
      </c>
      <c r="S39" s="51">
        <v>0.1</v>
      </c>
      <c r="T39" s="49">
        <f t="shared" si="9"/>
        <v>8.5456904692106921E-6</v>
      </c>
    </row>
    <row r="40" spans="1:20" x14ac:dyDescent="0.2">
      <c r="A40" s="28" t="s">
        <v>42</v>
      </c>
      <c r="B40" s="27" t="s">
        <v>41</v>
      </c>
      <c r="C40" s="28">
        <v>52730.495999999999</v>
      </c>
      <c r="D40" s="28">
        <v>4.0000000000000001E-3</v>
      </c>
      <c r="E40">
        <f t="shared" si="1"/>
        <v>1010.5190865656282</v>
      </c>
      <c r="F40">
        <f t="shared" si="2"/>
        <v>1010.5</v>
      </c>
      <c r="G40">
        <f t="shared" si="3"/>
        <v>4.3493749981280416E-3</v>
      </c>
      <c r="I40">
        <f t="shared" si="10"/>
        <v>4.3493749981280416E-3</v>
      </c>
      <c r="O40">
        <f t="shared" ca="1" si="5"/>
        <v>-5.3615157868006416E-4</v>
      </c>
      <c r="P40" s="47">
        <f t="shared" si="6"/>
        <v>2.3141109866744503E-4</v>
      </c>
      <c r="Q40" s="2">
        <f t="shared" si="7"/>
        <v>37711.995999999999</v>
      </c>
      <c r="R40" s="49">
        <f t="shared" si="8"/>
        <v>1.6957626677260724E-5</v>
      </c>
      <c r="S40" s="51">
        <v>0.1</v>
      </c>
      <c r="T40" s="49">
        <f t="shared" si="9"/>
        <v>1.6957626677260725E-6</v>
      </c>
    </row>
    <row r="41" spans="1:20" x14ac:dyDescent="0.2">
      <c r="A41" s="28" t="s">
        <v>42</v>
      </c>
      <c r="B41" s="27" t="s">
        <v>34</v>
      </c>
      <c r="C41" s="28">
        <v>52745.419800000003</v>
      </c>
      <c r="D41" s="28">
        <v>2E-3</v>
      </c>
      <c r="E41">
        <f t="shared" si="1"/>
        <v>1076.0098957219318</v>
      </c>
      <c r="F41">
        <f t="shared" si="2"/>
        <v>1076</v>
      </c>
      <c r="G41">
        <f t="shared" si="3"/>
        <v>2.2550000066985376E-3</v>
      </c>
      <c r="I41">
        <f t="shared" si="10"/>
        <v>2.2550000066985376E-3</v>
      </c>
      <c r="O41">
        <f t="shared" ca="1" si="5"/>
        <v>-5.4589329713006056E-4</v>
      </c>
      <c r="P41" s="47">
        <f t="shared" si="6"/>
        <v>2.3553951377650853E-4</v>
      </c>
      <c r="Q41" s="2">
        <f t="shared" si="7"/>
        <v>37726.919800000003</v>
      </c>
      <c r="R41" s="49">
        <f t="shared" si="8"/>
        <v>4.0782206824728846E-6</v>
      </c>
      <c r="S41" s="51">
        <v>0.1</v>
      </c>
      <c r="T41" s="49">
        <f t="shared" si="9"/>
        <v>4.0782206824728846E-7</v>
      </c>
    </row>
    <row r="42" spans="1:20" x14ac:dyDescent="0.2">
      <c r="A42" s="28" t="s">
        <v>42</v>
      </c>
      <c r="B42" s="27" t="s">
        <v>41</v>
      </c>
      <c r="C42" s="28">
        <v>52745.5317</v>
      </c>
      <c r="D42" s="28">
        <v>2E-3</v>
      </c>
      <c r="E42">
        <f t="shared" si="1"/>
        <v>1076.5009517227052</v>
      </c>
      <c r="F42">
        <f t="shared" si="2"/>
        <v>1076.5</v>
      </c>
      <c r="G42">
        <f t="shared" si="3"/>
        <v>2.1687499975087121E-4</v>
      </c>
      <c r="I42">
        <f t="shared" si="10"/>
        <v>2.1687499975087121E-4</v>
      </c>
      <c r="O42">
        <f t="shared" ca="1" si="5"/>
        <v>-5.4596766139303763E-4</v>
      </c>
      <c r="P42" s="47">
        <f t="shared" si="6"/>
        <v>2.3557044162524779E-4</v>
      </c>
      <c r="Q42" s="2">
        <f t="shared" si="7"/>
        <v>37727.0317</v>
      </c>
      <c r="R42" s="49">
        <f t="shared" si="8"/>
        <v>3.4951954687819313E-10</v>
      </c>
      <c r="S42" s="51">
        <v>0.1</v>
      </c>
      <c r="T42" s="49">
        <f t="shared" si="9"/>
        <v>3.4951954687819313E-11</v>
      </c>
    </row>
    <row r="43" spans="1:20" x14ac:dyDescent="0.2">
      <c r="A43" s="30" t="s">
        <v>43</v>
      </c>
      <c r="B43" s="29" t="s">
        <v>34</v>
      </c>
      <c r="C43" s="30">
        <v>52840.446000000004</v>
      </c>
      <c r="D43" s="30">
        <v>5.0000000000000001E-3</v>
      </c>
      <c r="E43">
        <f t="shared" si="1"/>
        <v>1493.0178112023746</v>
      </c>
      <c r="F43">
        <f t="shared" si="2"/>
        <v>1493</v>
      </c>
      <c r="G43">
        <f t="shared" si="3"/>
        <v>4.0587500043329783E-3</v>
      </c>
      <c r="K43">
        <f t="shared" ref="K43:K48" si="11">+G43</f>
        <v>4.0587500043329783E-3</v>
      </c>
      <c r="O43">
        <f t="shared" ca="1" si="5"/>
        <v>-6.0791309245293839E-4</v>
      </c>
      <c r="P43" s="47">
        <f t="shared" si="6"/>
        <v>2.5824514026542589E-4</v>
      </c>
      <c r="Q43" s="2">
        <f t="shared" si="7"/>
        <v>37821.946000000004</v>
      </c>
      <c r="R43" s="49">
        <f t="shared" si="8"/>
        <v>1.4443837221801125E-5</v>
      </c>
      <c r="S43" s="51">
        <v>0.1</v>
      </c>
      <c r="T43" s="49">
        <f t="shared" si="9"/>
        <v>1.4443837221801126E-6</v>
      </c>
    </row>
    <row r="44" spans="1:20" x14ac:dyDescent="0.2">
      <c r="A44" s="30" t="s">
        <v>43</v>
      </c>
      <c r="B44" s="29" t="s">
        <v>34</v>
      </c>
      <c r="C44" s="30">
        <v>52850.457000000002</v>
      </c>
      <c r="D44" s="30">
        <v>4.0000000000000001E-3</v>
      </c>
      <c r="E44">
        <f t="shared" si="1"/>
        <v>1536.9495504687466</v>
      </c>
      <c r="F44">
        <f t="shared" si="2"/>
        <v>1537</v>
      </c>
      <c r="G44">
        <f t="shared" si="3"/>
        <v>-1.1496249993797392E-2</v>
      </c>
      <c r="K44">
        <f t="shared" si="11"/>
        <v>-1.1496249993797392E-2</v>
      </c>
      <c r="O44">
        <f t="shared" ca="1" si="5"/>
        <v>-6.1445714759492077E-4</v>
      </c>
      <c r="P44" s="47">
        <f t="shared" si="6"/>
        <v>2.6028026957024123E-4</v>
      </c>
      <c r="Q44" s="2">
        <f t="shared" si="7"/>
        <v>37831.957000000002</v>
      </c>
      <c r="R44" s="49">
        <f t="shared" si="8"/>
        <v>1.38216003833479E-4</v>
      </c>
      <c r="S44" s="51">
        <v>0.1</v>
      </c>
      <c r="T44" s="49">
        <f t="shared" si="9"/>
        <v>1.3821600383347901E-5</v>
      </c>
    </row>
    <row r="45" spans="1:20" x14ac:dyDescent="0.2">
      <c r="A45" s="30" t="s">
        <v>43</v>
      </c>
      <c r="B45" s="29" t="s">
        <v>34</v>
      </c>
      <c r="C45" s="30">
        <v>53080.625999999997</v>
      </c>
      <c r="D45" s="30">
        <v>4.0000000000000001E-3</v>
      </c>
      <c r="E45">
        <f t="shared" si="1"/>
        <v>2547.0109324688206</v>
      </c>
      <c r="F45">
        <f t="shared" si="2"/>
        <v>2547</v>
      </c>
      <c r="G45">
        <f t="shared" si="3"/>
        <v>2.491250001185108E-3</v>
      </c>
      <c r="K45">
        <f t="shared" si="11"/>
        <v>2.491250001185108E-3</v>
      </c>
      <c r="O45">
        <f t="shared" ca="1" si="5"/>
        <v>-7.6467295880860574E-4</v>
      </c>
      <c r="P45" s="47">
        <f t="shared" si="6"/>
        <v>2.8806723538856664E-4</v>
      </c>
      <c r="Q45" s="2">
        <f t="shared" si="7"/>
        <v>38062.125999999997</v>
      </c>
      <c r="R45" s="49">
        <f t="shared" si="8"/>
        <v>4.8540142995028978E-6</v>
      </c>
      <c r="S45" s="51">
        <v>0.1</v>
      </c>
      <c r="T45" s="49">
        <f t="shared" si="9"/>
        <v>4.854014299502898E-7</v>
      </c>
    </row>
    <row r="46" spans="1:20" x14ac:dyDescent="0.2">
      <c r="A46" s="30" t="s">
        <v>43</v>
      </c>
      <c r="B46" s="29" t="s">
        <v>34</v>
      </c>
      <c r="C46" s="30">
        <v>53085.635999999999</v>
      </c>
      <c r="D46" s="30">
        <v>7.0000000000000001E-3</v>
      </c>
      <c r="E46">
        <f t="shared" si="1"/>
        <v>2568.9965496623722</v>
      </c>
      <c r="F46">
        <f t="shared" si="2"/>
        <v>2569</v>
      </c>
      <c r="G46">
        <f t="shared" si="3"/>
        <v>-7.8624999878229573E-4</v>
      </c>
      <c r="K46">
        <f t="shared" si="11"/>
        <v>-7.8624999878229573E-4</v>
      </c>
      <c r="O46">
        <f t="shared" ca="1" si="5"/>
        <v>-7.6794498637959693E-4</v>
      </c>
      <c r="P46" s="47">
        <f t="shared" si="6"/>
        <v>2.8826879798540377E-4</v>
      </c>
      <c r="Q46" s="2">
        <f t="shared" si="7"/>
        <v>38067.135999999999</v>
      </c>
      <c r="R46" s="49">
        <f t="shared" si="8"/>
        <v>1.1545906446071048E-6</v>
      </c>
      <c r="S46" s="51">
        <v>0.1</v>
      </c>
      <c r="T46" s="49">
        <f t="shared" si="9"/>
        <v>1.1545906446071048E-7</v>
      </c>
    </row>
    <row r="47" spans="1:20" x14ac:dyDescent="0.2">
      <c r="A47" s="30" t="s">
        <v>43</v>
      </c>
      <c r="B47" s="29" t="s">
        <v>34</v>
      </c>
      <c r="C47" s="30">
        <v>53117.544999999998</v>
      </c>
      <c r="D47" s="30">
        <v>4.0000000000000001E-3</v>
      </c>
      <c r="E47">
        <f t="shared" si="1"/>
        <v>2709.0243059555341</v>
      </c>
      <c r="F47">
        <f t="shared" si="2"/>
        <v>2709</v>
      </c>
      <c r="G47">
        <f t="shared" si="3"/>
        <v>5.5387500033248216E-3</v>
      </c>
      <c r="K47">
        <f t="shared" si="11"/>
        <v>5.5387500033248216E-3</v>
      </c>
      <c r="O47">
        <f t="shared" ca="1" si="5"/>
        <v>-7.8876698001317704E-4</v>
      </c>
      <c r="P47" s="47">
        <f t="shared" si="6"/>
        <v>2.8914819775355445E-4</v>
      </c>
      <c r="Q47" s="2">
        <f t="shared" si="7"/>
        <v>38099.044999999998</v>
      </c>
      <c r="R47" s="49">
        <f t="shared" si="8"/>
        <v>2.7558319117057109E-5</v>
      </c>
      <c r="S47" s="51">
        <v>0.1</v>
      </c>
      <c r="T47" s="49">
        <f t="shared" si="9"/>
        <v>2.7558319117057112E-6</v>
      </c>
    </row>
    <row r="48" spans="1:20" x14ac:dyDescent="0.2">
      <c r="A48" s="30" t="s">
        <v>43</v>
      </c>
      <c r="B48" s="29" t="s">
        <v>34</v>
      </c>
      <c r="C48" s="30">
        <v>53120.514000000003</v>
      </c>
      <c r="D48" s="30">
        <v>3.0000000000000001E-3</v>
      </c>
      <c r="E48">
        <f t="shared" si="1"/>
        <v>2722.0533074421069</v>
      </c>
      <c r="F48">
        <f t="shared" si="2"/>
        <v>2722</v>
      </c>
      <c r="G48">
        <f t="shared" si="3"/>
        <v>1.2147500005085021E-2</v>
      </c>
      <c r="K48">
        <f t="shared" si="11"/>
        <v>1.2147500005085021E-2</v>
      </c>
      <c r="O48">
        <f t="shared" ca="1" si="5"/>
        <v>-7.9070045085058091E-4</v>
      </c>
      <c r="P48" s="47">
        <f t="shared" si="6"/>
        <v>2.8919449005032659E-4</v>
      </c>
      <c r="Q48" s="2">
        <f t="shared" si="7"/>
        <v>38102.014000000003</v>
      </c>
      <c r="R48" s="49">
        <f t="shared" si="8"/>
        <v>1.4061940968790226E-4</v>
      </c>
      <c r="S48" s="51">
        <v>0.1</v>
      </c>
      <c r="T48" s="49">
        <f t="shared" si="9"/>
        <v>1.4061940968790226E-5</v>
      </c>
    </row>
    <row r="49" spans="1:21" x14ac:dyDescent="0.2">
      <c r="A49" s="30" t="s">
        <v>43</v>
      </c>
      <c r="B49" s="29" t="s">
        <v>41</v>
      </c>
      <c r="C49" s="30">
        <v>53121.504000000001</v>
      </c>
      <c r="D49" s="30">
        <v>4.0000000000000001E-3</v>
      </c>
      <c r="E49">
        <f t="shared" si="1"/>
        <v>2726.3977707198637</v>
      </c>
      <c r="F49">
        <f t="shared" si="2"/>
        <v>2726.5</v>
      </c>
      <c r="O49">
        <f t="shared" ca="1" si="5"/>
        <v>-7.9136972921737452E-4</v>
      </c>
      <c r="P49" s="47">
        <f t="shared" si="6"/>
        <v>2.8920911405932298E-4</v>
      </c>
      <c r="Q49" s="2">
        <f t="shared" si="7"/>
        <v>38103.004000000001</v>
      </c>
      <c r="R49" s="49">
        <f>+(P49-U49)^2</f>
        <v>5.5624440002427619E-4</v>
      </c>
      <c r="S49" s="51">
        <v>0</v>
      </c>
      <c r="T49" s="49">
        <f t="shared" si="9"/>
        <v>0</v>
      </c>
      <c r="U49">
        <f>+C49-(C$7+F49*C$8)</f>
        <v>-2.329562499653548E-2</v>
      </c>
    </row>
    <row r="50" spans="1:21" x14ac:dyDescent="0.2">
      <c r="A50" s="30" t="s">
        <v>43</v>
      </c>
      <c r="B50" s="29" t="s">
        <v>41</v>
      </c>
      <c r="C50" s="30">
        <v>53143.404199999997</v>
      </c>
      <c r="D50" s="30">
        <v>4.0000000000000002E-4</v>
      </c>
      <c r="E50">
        <f t="shared" si="1"/>
        <v>2822.5034421094729</v>
      </c>
      <c r="F50">
        <f t="shared" si="2"/>
        <v>2822.5</v>
      </c>
      <c r="G50">
        <f t="shared" ref="G50:G76" si="12">+C50-(C$7+F50*C$8)</f>
        <v>7.8437499905703589E-4</v>
      </c>
      <c r="K50">
        <f>+G50</f>
        <v>7.8437499905703589E-4</v>
      </c>
      <c r="O50">
        <f t="shared" ca="1" si="5"/>
        <v>-8.0564766770897236E-4</v>
      </c>
      <c r="P50" s="47">
        <f t="shared" si="6"/>
        <v>2.8934954258599984E-4</v>
      </c>
      <c r="Q50" s="2">
        <f t="shared" si="7"/>
        <v>38124.904199999997</v>
      </c>
      <c r="R50" s="49">
        <f t="shared" ref="R50:R76" si="13">+(P50-G50)^2</f>
        <v>2.4505020255435763E-7</v>
      </c>
      <c r="S50" s="51">
        <v>1</v>
      </c>
      <c r="T50" s="49">
        <f t="shared" si="9"/>
        <v>2.4505020255435763E-7</v>
      </c>
    </row>
    <row r="51" spans="1:21" x14ac:dyDescent="0.2">
      <c r="A51" s="30" t="s">
        <v>43</v>
      </c>
      <c r="B51" s="29" t="s">
        <v>34</v>
      </c>
      <c r="C51" s="30">
        <v>53143.516000000003</v>
      </c>
      <c r="D51" s="30">
        <v>4.0000000000000001E-3</v>
      </c>
      <c r="E51">
        <f t="shared" si="1"/>
        <v>2822.9940592756147</v>
      </c>
      <c r="F51">
        <f t="shared" si="2"/>
        <v>2823</v>
      </c>
      <c r="G51">
        <f t="shared" si="12"/>
        <v>-1.3537499980884604E-3</v>
      </c>
      <c r="K51">
        <f>+G51</f>
        <v>-1.3537499980884604E-3</v>
      </c>
      <c r="O51">
        <f t="shared" ca="1" si="5"/>
        <v>-8.0572203197194943E-4</v>
      </c>
      <c r="P51" s="47">
        <f t="shared" si="6"/>
        <v>2.8934941605510763E-4</v>
      </c>
      <c r="Q51" s="2">
        <f t="shared" si="7"/>
        <v>38125.016000000003</v>
      </c>
      <c r="R51" s="49">
        <f t="shared" si="13"/>
        <v>2.6997756847589367E-6</v>
      </c>
      <c r="S51" s="51">
        <v>0.1</v>
      </c>
      <c r="T51" s="49">
        <f t="shared" si="9"/>
        <v>2.6997756847589366E-7</v>
      </c>
    </row>
    <row r="52" spans="1:21" x14ac:dyDescent="0.2">
      <c r="A52" s="33" t="s">
        <v>52</v>
      </c>
      <c r="B52" s="34" t="s">
        <v>34</v>
      </c>
      <c r="C52" s="33">
        <v>53520.425000000003</v>
      </c>
      <c r="D52" s="33">
        <v>4.0000000000000001E-3</v>
      </c>
      <c r="E52">
        <f t="shared" si="1"/>
        <v>4477.0014426690122</v>
      </c>
      <c r="F52">
        <f t="shared" si="2"/>
        <v>4477</v>
      </c>
      <c r="G52">
        <f t="shared" si="12"/>
        <v>3.2875000761123374E-4</v>
      </c>
      <c r="I52">
        <f>+G52</f>
        <v>3.2875000761123374E-4</v>
      </c>
      <c r="N52">
        <f>+G52</f>
        <v>3.2875000761123374E-4</v>
      </c>
      <c r="O52">
        <f t="shared" ca="1" si="5"/>
        <v>-1.0517190139001029E-3</v>
      </c>
      <c r="P52" s="47">
        <f t="shared" si="6"/>
        <v>2.4027259523557614E-4</v>
      </c>
      <c r="Q52" s="2">
        <f t="shared" si="7"/>
        <v>38501.925000000003</v>
      </c>
      <c r="R52" s="49">
        <f t="shared" si="13"/>
        <v>7.8282525006921683E-9</v>
      </c>
      <c r="S52" s="51">
        <v>0.1</v>
      </c>
      <c r="T52" s="49">
        <f t="shared" si="9"/>
        <v>7.8282525006921683E-10</v>
      </c>
    </row>
    <row r="53" spans="1:21" x14ac:dyDescent="0.2">
      <c r="A53" s="33" t="s">
        <v>52</v>
      </c>
      <c r="B53" s="34" t="s">
        <v>34</v>
      </c>
      <c r="C53" s="33">
        <v>53557.561999999998</v>
      </c>
      <c r="D53" s="33">
        <v>7.0000000000000001E-3</v>
      </c>
      <c r="E53">
        <f t="shared" ref="E53:E76" si="14">+(C53-C$7)/C$8</f>
        <v>4639.9714757461543</v>
      </c>
      <c r="F53">
        <f t="shared" ref="F53:F76" si="15">ROUND(2*E53,0)/2</f>
        <v>4640</v>
      </c>
      <c r="G53">
        <f t="shared" si="12"/>
        <v>-6.5000000031432137E-3</v>
      </c>
      <c r="I53">
        <f>+G53</f>
        <v>-6.5000000031432137E-3</v>
      </c>
      <c r="N53">
        <f>+G53</f>
        <v>-6.5000000031432137E-3</v>
      </c>
      <c r="O53">
        <f t="shared" ref="O53:O76" ca="1" si="16">+C$11+C$12*$F53</f>
        <v>-1.0759617636306282E-3</v>
      </c>
      <c r="P53" s="47">
        <f t="shared" ref="P53:P76" si="17">+D$11+D$12*F53+D$13*F53^2</f>
        <v>2.3016993164462962E-4</v>
      </c>
      <c r="Q53" s="2">
        <f t="shared" ref="Q53:Q76" si="18">+C53-15018.5</f>
        <v>38539.061999999998</v>
      </c>
      <c r="R53" s="49">
        <f t="shared" si="13"/>
        <v>4.5295187351122212E-5</v>
      </c>
      <c r="S53" s="51">
        <v>0.1</v>
      </c>
      <c r="T53" s="49">
        <f t="shared" ref="T53:T76" si="19">+S53*R53</f>
        <v>4.5295187351122212E-6</v>
      </c>
    </row>
    <row r="54" spans="1:21" x14ac:dyDescent="0.2">
      <c r="A54" s="28" t="s">
        <v>44</v>
      </c>
      <c r="B54" s="27" t="s">
        <v>41</v>
      </c>
      <c r="C54" s="28">
        <v>53620.349499999997</v>
      </c>
      <c r="D54" s="28">
        <v>1.2999999999999999E-3</v>
      </c>
      <c r="E54">
        <f t="shared" si="14"/>
        <v>4915.5047970115274</v>
      </c>
      <c r="F54">
        <f t="shared" si="15"/>
        <v>4915.5</v>
      </c>
      <c r="G54">
        <f t="shared" si="12"/>
        <v>1.0931249998975545E-3</v>
      </c>
      <c r="J54">
        <f>+G54</f>
        <v>1.0931249998975545E-3</v>
      </c>
      <c r="O54">
        <f t="shared" ca="1" si="16"/>
        <v>-1.116936472530995E-3</v>
      </c>
      <c r="P54" s="47">
        <f t="shared" si="17"/>
        <v>2.1094651543553464E-4</v>
      </c>
      <c r="Q54" s="2">
        <f t="shared" si="18"/>
        <v>38601.849499999997</v>
      </c>
      <c r="R54" s="49">
        <f t="shared" si="13"/>
        <v>7.7823887844770638E-7</v>
      </c>
      <c r="S54" s="51">
        <v>0.5</v>
      </c>
      <c r="T54" s="49">
        <f t="shared" si="19"/>
        <v>3.8911943922385319E-7</v>
      </c>
    </row>
    <row r="55" spans="1:21" x14ac:dyDescent="0.2">
      <c r="A55" s="28" t="s">
        <v>44</v>
      </c>
      <c r="B55" s="27" t="s">
        <v>34</v>
      </c>
      <c r="C55" s="28">
        <v>53620.4611</v>
      </c>
      <c r="D55" s="28">
        <v>1.6000000000000001E-3</v>
      </c>
      <c r="E55">
        <f t="shared" si="14"/>
        <v>4915.9945365083113</v>
      </c>
      <c r="F55">
        <f t="shared" si="15"/>
        <v>4916</v>
      </c>
      <c r="G55">
        <f t="shared" si="12"/>
        <v>-1.2449999994714744E-3</v>
      </c>
      <c r="J55">
        <f>+G55</f>
        <v>-1.2449999994714744E-3</v>
      </c>
      <c r="O55">
        <f t="shared" ca="1" si="16"/>
        <v>-1.1170108367939721E-3</v>
      </c>
      <c r="P55" s="47">
        <f t="shared" si="17"/>
        <v>2.1090917343566498E-4</v>
      </c>
      <c r="Q55" s="2">
        <f t="shared" si="18"/>
        <v>38601.9611</v>
      </c>
      <c r="R55" s="49">
        <f t="shared" si="13"/>
        <v>2.1196715197551506E-6</v>
      </c>
      <c r="S55" s="51">
        <v>0.5</v>
      </c>
      <c r="T55" s="49">
        <f t="shared" si="19"/>
        <v>1.0598357598775753E-6</v>
      </c>
    </row>
    <row r="56" spans="1:21" x14ac:dyDescent="0.2">
      <c r="A56" s="30" t="s">
        <v>40</v>
      </c>
      <c r="B56" s="27" t="s">
        <v>34</v>
      </c>
      <c r="C56" s="28">
        <v>54000.333299999998</v>
      </c>
      <c r="D56" s="28">
        <v>5.9999999999999995E-4</v>
      </c>
      <c r="E56">
        <f t="shared" si="14"/>
        <v>6583.0054689771314</v>
      </c>
      <c r="F56">
        <f t="shared" si="15"/>
        <v>6583</v>
      </c>
      <c r="G56">
        <f t="shared" si="12"/>
        <v>1.2462500017136335E-3</v>
      </c>
      <c r="K56">
        <f>+G56</f>
        <v>1.2462500017136335E-3</v>
      </c>
      <c r="O56">
        <f t="shared" ca="1" si="16"/>
        <v>-1.3649412895595293E-3</v>
      </c>
      <c r="P56" s="47">
        <f t="shared" si="17"/>
        <v>3.6984917936755683E-5</v>
      </c>
      <c r="Q56" s="2">
        <f t="shared" si="18"/>
        <v>38981.833299999998</v>
      </c>
      <c r="R56" s="49">
        <f t="shared" si="13"/>
        <v>1.4623220428418996E-6</v>
      </c>
      <c r="S56" s="51">
        <v>1</v>
      </c>
      <c r="T56" s="49">
        <f t="shared" si="19"/>
        <v>1.4623220428418996E-6</v>
      </c>
    </row>
    <row r="57" spans="1:21" x14ac:dyDescent="0.2">
      <c r="A57" s="30" t="s">
        <v>40</v>
      </c>
      <c r="B57" s="27" t="s">
        <v>41</v>
      </c>
      <c r="C57" s="28">
        <v>54217.383300000001</v>
      </c>
      <c r="D57" s="28">
        <v>5.9999999999999995E-4</v>
      </c>
      <c r="E57">
        <f t="shared" si="14"/>
        <v>7535.4961300267269</v>
      </c>
      <c r="F57">
        <f t="shared" si="15"/>
        <v>7535.5</v>
      </c>
      <c r="G57">
        <f t="shared" si="12"/>
        <v>-8.8187499932246283E-4</v>
      </c>
      <c r="K57">
        <f>+G57</f>
        <v>-8.8187499932246283E-4</v>
      </c>
      <c r="O57">
        <f t="shared" ca="1" si="16"/>
        <v>-1.5066052105308511E-3</v>
      </c>
      <c r="P57" s="47">
        <f t="shared" si="17"/>
        <v>-1.0675762933028555E-4</v>
      </c>
      <c r="Q57" s="2">
        <f t="shared" si="18"/>
        <v>39198.883300000001</v>
      </c>
      <c r="R57" s="49">
        <f t="shared" si="13"/>
        <v>6.0080693726358987E-7</v>
      </c>
      <c r="S57" s="51">
        <v>1</v>
      </c>
      <c r="T57" s="49">
        <f t="shared" si="19"/>
        <v>6.0080693726358987E-7</v>
      </c>
    </row>
    <row r="58" spans="1:21" x14ac:dyDescent="0.2">
      <c r="A58" s="30" t="s">
        <v>40</v>
      </c>
      <c r="B58" s="27" t="s">
        <v>34</v>
      </c>
      <c r="C58" s="28">
        <v>54217.496200000001</v>
      </c>
      <c r="D58" s="28">
        <v>1.1000000000000001E-3</v>
      </c>
      <c r="E58">
        <f t="shared" si="14"/>
        <v>7535.9915743742622</v>
      </c>
      <c r="F58">
        <f t="shared" si="15"/>
        <v>7536</v>
      </c>
      <c r="G58">
        <f t="shared" si="12"/>
        <v>-1.919999995152466E-3</v>
      </c>
      <c r="K58">
        <f>+G58</f>
        <v>-1.919999995152466E-3</v>
      </c>
      <c r="O58">
        <f t="shared" ca="1" si="16"/>
        <v>-1.5066795747938281E-3</v>
      </c>
      <c r="P58" s="47">
        <f t="shared" si="17"/>
        <v>-1.0684155734483303E-4</v>
      </c>
      <c r="Q58" s="2">
        <f t="shared" si="18"/>
        <v>39198.996200000001</v>
      </c>
      <c r="R58" s="49">
        <f t="shared" si="13"/>
        <v>3.2875435205930164E-6</v>
      </c>
      <c r="S58" s="51">
        <v>1</v>
      </c>
      <c r="T58" s="49">
        <f t="shared" si="19"/>
        <v>3.2875435205930164E-6</v>
      </c>
    </row>
    <row r="59" spans="1:21" x14ac:dyDescent="0.2">
      <c r="A59" s="33" t="s">
        <v>49</v>
      </c>
      <c r="B59" s="34" t="s">
        <v>41</v>
      </c>
      <c r="C59" s="33">
        <v>54971.426200000002</v>
      </c>
      <c r="D59" s="33">
        <v>8.0000000000000004E-4</v>
      </c>
      <c r="E59">
        <f t="shared" si="14"/>
        <v>10844.497835996526</v>
      </c>
      <c r="F59">
        <f t="shared" si="15"/>
        <v>10844.5</v>
      </c>
      <c r="G59">
        <f t="shared" si="12"/>
        <v>-4.9312500050291419E-4</v>
      </c>
      <c r="J59">
        <f>+G59</f>
        <v>-4.9312500050291419E-4</v>
      </c>
      <c r="O59">
        <f t="shared" ca="1" si="16"/>
        <v>-1.9987479029131123E-3</v>
      </c>
      <c r="P59" s="47">
        <f t="shared" si="17"/>
        <v>-8.5685567465140213E-4</v>
      </c>
      <c r="Q59" s="2">
        <f t="shared" si="18"/>
        <v>39952.926200000002</v>
      </c>
      <c r="R59" s="49">
        <f t="shared" si="13"/>
        <v>1.3230000331651353E-7</v>
      </c>
      <c r="S59" s="51">
        <v>1</v>
      </c>
      <c r="T59" s="49">
        <f t="shared" si="19"/>
        <v>1.3230000331651353E-7</v>
      </c>
    </row>
    <row r="60" spans="1:21" x14ac:dyDescent="0.2">
      <c r="A60" s="33" t="s">
        <v>49</v>
      </c>
      <c r="B60" s="34" t="s">
        <v>34</v>
      </c>
      <c r="C60" s="33">
        <v>54971.537700000001</v>
      </c>
      <c r="D60" s="33">
        <v>1.1000000000000001E-3</v>
      </c>
      <c r="E60">
        <f t="shared" si="14"/>
        <v>10844.987136658614</v>
      </c>
      <c r="F60">
        <f t="shared" si="15"/>
        <v>10845</v>
      </c>
      <c r="G60">
        <f t="shared" si="12"/>
        <v>-2.9312499973457307E-3</v>
      </c>
      <c r="J60">
        <f>+G60</f>
        <v>-2.9312499973457307E-3</v>
      </c>
      <c r="O60">
        <f t="shared" ca="1" si="16"/>
        <v>-1.9988222671760893E-3</v>
      </c>
      <c r="P60" s="47">
        <f t="shared" si="17"/>
        <v>-8.569984397356319E-4</v>
      </c>
      <c r="Q60" s="2">
        <f t="shared" si="18"/>
        <v>39953.037700000001</v>
      </c>
      <c r="R60" s="49">
        <f t="shared" si="13"/>
        <v>4.3025195242479206E-6</v>
      </c>
      <c r="S60" s="51">
        <v>1</v>
      </c>
      <c r="T60" s="49">
        <f t="shared" si="19"/>
        <v>4.3025195242479206E-6</v>
      </c>
    </row>
    <row r="61" spans="1:21" x14ac:dyDescent="0.2">
      <c r="A61" s="31" t="s">
        <v>45</v>
      </c>
      <c r="B61" s="32" t="s">
        <v>41</v>
      </c>
      <c r="C61" s="31">
        <v>55067.363499999999</v>
      </c>
      <c r="D61" s="31">
        <v>1.8E-3</v>
      </c>
      <c r="E61">
        <f t="shared" si="14"/>
        <v>11265.503974196525</v>
      </c>
      <c r="F61">
        <f t="shared" si="15"/>
        <v>11265.5</v>
      </c>
      <c r="G61">
        <f t="shared" si="12"/>
        <v>9.0562499826774001E-4</v>
      </c>
      <c r="K61">
        <f>+G61</f>
        <v>9.0562499826774001E-4</v>
      </c>
      <c r="O61">
        <f t="shared" ca="1" si="16"/>
        <v>-2.0613626123398071E-3</v>
      </c>
      <c r="P61" s="47">
        <f t="shared" si="17"/>
        <v>-9.8021164102045063E-4</v>
      </c>
      <c r="Q61" s="2">
        <f t="shared" si="18"/>
        <v>40048.863499999999</v>
      </c>
      <c r="R61" s="49">
        <f t="shared" si="13"/>
        <v>3.5563798300817771E-6</v>
      </c>
      <c r="S61" s="51">
        <v>0.5</v>
      </c>
      <c r="T61" s="49">
        <f t="shared" si="19"/>
        <v>1.7781899150408885E-6</v>
      </c>
    </row>
    <row r="62" spans="1:21" x14ac:dyDescent="0.2">
      <c r="A62" s="31" t="s">
        <v>45</v>
      </c>
      <c r="B62" s="32" t="s">
        <v>34</v>
      </c>
      <c r="C62" s="31">
        <v>55067.472900000001</v>
      </c>
      <c r="D62" s="31">
        <v>5.0000000000000001E-4</v>
      </c>
      <c r="E62">
        <f t="shared" si="14"/>
        <v>11265.984059330458</v>
      </c>
      <c r="F62">
        <f t="shared" si="15"/>
        <v>11266</v>
      </c>
      <c r="G62">
        <f t="shared" si="12"/>
        <v>-3.6324999964563176E-3</v>
      </c>
      <c r="K62">
        <f>+G62</f>
        <v>-3.6324999964563176E-3</v>
      </c>
      <c r="O62">
        <f t="shared" ca="1" si="16"/>
        <v>-2.0614369766027837E-3</v>
      </c>
      <c r="P62" s="47">
        <f t="shared" si="17"/>
        <v>-9.8036189187268846E-4</v>
      </c>
      <c r="Q62" s="2">
        <f t="shared" si="18"/>
        <v>40048.972900000001</v>
      </c>
      <c r="R62" s="49">
        <f t="shared" si="13"/>
        <v>7.0338365257844454E-6</v>
      </c>
      <c r="S62" s="51">
        <v>1</v>
      </c>
      <c r="T62" s="49">
        <f t="shared" si="19"/>
        <v>7.0338365257844454E-6</v>
      </c>
    </row>
    <row r="63" spans="1:21" x14ac:dyDescent="0.2">
      <c r="A63" s="33" t="s">
        <v>51</v>
      </c>
      <c r="B63" s="34" t="s">
        <v>41</v>
      </c>
      <c r="C63" s="33">
        <v>55672.3727</v>
      </c>
      <c r="D63" s="33">
        <v>8.9999999999999998E-4</v>
      </c>
      <c r="E63">
        <f t="shared" si="14"/>
        <v>13920.494127843518</v>
      </c>
      <c r="F63">
        <f t="shared" si="15"/>
        <v>13920.5</v>
      </c>
      <c r="G63">
        <f t="shared" si="12"/>
        <v>-1.3381249955273233E-3</v>
      </c>
      <c r="J63">
        <f t="shared" ref="J63:J71" si="20">+G63</f>
        <v>-1.3381249955273233E-3</v>
      </c>
      <c r="O63">
        <f t="shared" ca="1" si="16"/>
        <v>-2.456236848748058E-3</v>
      </c>
      <c r="P63" s="47">
        <f t="shared" si="17"/>
        <v>-1.9033582233416615E-3</v>
      </c>
      <c r="Q63" s="2">
        <f t="shared" si="18"/>
        <v>40653.8727</v>
      </c>
      <c r="R63" s="49">
        <f t="shared" si="13"/>
        <v>3.1948860182541552E-7</v>
      </c>
      <c r="S63" s="51">
        <v>1</v>
      </c>
      <c r="T63" s="49">
        <f t="shared" si="19"/>
        <v>3.1948860182541552E-7</v>
      </c>
    </row>
    <row r="64" spans="1:21" x14ac:dyDescent="0.2">
      <c r="A64" s="33" t="s">
        <v>51</v>
      </c>
      <c r="B64" s="34" t="s">
        <v>34</v>
      </c>
      <c r="C64" s="33">
        <v>55672.486400000002</v>
      </c>
      <c r="D64" s="33">
        <v>4.0000000000000002E-4</v>
      </c>
      <c r="E64">
        <f t="shared" si="14"/>
        <v>13920.993082868457</v>
      </c>
      <c r="F64">
        <f t="shared" si="15"/>
        <v>13921</v>
      </c>
      <c r="G64">
        <f t="shared" si="12"/>
        <v>-1.5762499970151111E-3</v>
      </c>
      <c r="J64">
        <f t="shared" si="20"/>
        <v>-1.5762499970151111E-3</v>
      </c>
      <c r="O64">
        <f t="shared" ca="1" si="16"/>
        <v>-2.4563112130110351E-3</v>
      </c>
      <c r="P64" s="47">
        <f t="shared" si="17"/>
        <v>-1.9035556825408345E-3</v>
      </c>
      <c r="Q64" s="2">
        <f t="shared" si="18"/>
        <v>40653.986400000002</v>
      </c>
      <c r="R64" s="49">
        <f t="shared" si="13"/>
        <v>1.0712901177746373E-7</v>
      </c>
      <c r="S64" s="51">
        <v>1</v>
      </c>
      <c r="T64" s="49">
        <f t="shared" si="19"/>
        <v>1.0712901177746373E-7</v>
      </c>
    </row>
    <row r="65" spans="1:20" x14ac:dyDescent="0.2">
      <c r="A65" s="33" t="s">
        <v>51</v>
      </c>
      <c r="B65" s="34" t="s">
        <v>41</v>
      </c>
      <c r="C65" s="33">
        <v>55672.599900000001</v>
      </c>
      <c r="D65" s="33">
        <v>5.0000000000000001E-4</v>
      </c>
      <c r="E65">
        <f t="shared" si="14"/>
        <v>13921.491160224037</v>
      </c>
      <c r="F65">
        <f t="shared" si="15"/>
        <v>13921.5</v>
      </c>
      <c r="G65">
        <f t="shared" si="12"/>
        <v>-2.0143750007264316E-3</v>
      </c>
      <c r="J65">
        <f t="shared" si="20"/>
        <v>-2.0143750007264316E-3</v>
      </c>
      <c r="O65">
        <f t="shared" ca="1" si="16"/>
        <v>-2.4563855772740122E-3</v>
      </c>
      <c r="P65" s="47">
        <f t="shared" si="17"/>
        <v>-1.9037531506304675E-3</v>
      </c>
      <c r="Q65" s="2">
        <f t="shared" si="18"/>
        <v>40654.099900000001</v>
      </c>
      <c r="R65" s="49">
        <f t="shared" si="13"/>
        <v>1.2237193718653951E-8</v>
      </c>
      <c r="S65" s="51">
        <v>1</v>
      </c>
      <c r="T65" s="49">
        <f t="shared" si="19"/>
        <v>1.2237193718653951E-8</v>
      </c>
    </row>
    <row r="66" spans="1:20" x14ac:dyDescent="0.2">
      <c r="A66" s="33" t="s">
        <v>51</v>
      </c>
      <c r="B66" s="34" t="s">
        <v>41</v>
      </c>
      <c r="C66" s="33">
        <v>55682.400000000001</v>
      </c>
      <c r="D66" s="33">
        <v>8.9999999999999998E-4</v>
      </c>
      <c r="E66">
        <f t="shared" si="14"/>
        <v>13964.497397161849</v>
      </c>
      <c r="F66">
        <f t="shared" si="15"/>
        <v>13964.5</v>
      </c>
      <c r="G66">
        <f t="shared" si="12"/>
        <v>-5.9312499797670171E-4</v>
      </c>
      <c r="J66">
        <f t="shared" si="20"/>
        <v>-5.9312499797670171E-4</v>
      </c>
      <c r="O66">
        <f t="shared" ca="1" si="16"/>
        <v>-2.4627809038900404E-3</v>
      </c>
      <c r="P66" s="47">
        <f t="shared" si="17"/>
        <v>-1.9207686655528643E-3</v>
      </c>
      <c r="Q66" s="2">
        <f t="shared" si="18"/>
        <v>40663.9</v>
      </c>
      <c r="R66" s="49">
        <f t="shared" si="13"/>
        <v>1.7626377080550843E-6</v>
      </c>
      <c r="S66" s="51">
        <v>1</v>
      </c>
      <c r="T66" s="49">
        <f t="shared" si="19"/>
        <v>1.7626377080550843E-6</v>
      </c>
    </row>
    <row r="67" spans="1:20" x14ac:dyDescent="0.2">
      <c r="A67" s="33" t="s">
        <v>51</v>
      </c>
      <c r="B67" s="34" t="s">
        <v>34</v>
      </c>
      <c r="C67" s="33">
        <v>55682.512699999999</v>
      </c>
      <c r="D67" s="33">
        <v>8.0000000000000004E-4</v>
      </c>
      <c r="E67">
        <f t="shared" si="14"/>
        <v>13964.991963840026</v>
      </c>
      <c r="F67">
        <f t="shared" si="15"/>
        <v>13965</v>
      </c>
      <c r="G67">
        <f t="shared" si="12"/>
        <v>-1.8312499960302375E-3</v>
      </c>
      <c r="J67">
        <f t="shared" si="20"/>
        <v>-1.8312499960302375E-3</v>
      </c>
      <c r="O67">
        <f t="shared" ca="1" si="16"/>
        <v>-2.4628552681530175E-3</v>
      </c>
      <c r="P67" s="47">
        <f t="shared" si="17"/>
        <v>-1.9209669071125891E-3</v>
      </c>
      <c r="Q67" s="2">
        <f t="shared" si="18"/>
        <v>40664.012699999999</v>
      </c>
      <c r="R67" s="49">
        <f t="shared" si="13"/>
        <v>8.0491241341585819E-9</v>
      </c>
      <c r="S67" s="51">
        <v>1</v>
      </c>
      <c r="T67" s="49">
        <f t="shared" si="19"/>
        <v>8.0491241341585819E-9</v>
      </c>
    </row>
    <row r="68" spans="1:20" x14ac:dyDescent="0.2">
      <c r="A68" s="33" t="s">
        <v>51</v>
      </c>
      <c r="B68" s="34" t="s">
        <v>41</v>
      </c>
      <c r="C68" s="33">
        <v>55692.427100000001</v>
      </c>
      <c r="D68" s="33">
        <v>2.5000000000000001E-3</v>
      </c>
      <c r="E68">
        <f t="shared" si="14"/>
        <v>14008.499788810823</v>
      </c>
      <c r="F68">
        <f t="shared" si="15"/>
        <v>14008.5</v>
      </c>
      <c r="G68">
        <f t="shared" si="12"/>
        <v>-4.8124995373655111E-5</v>
      </c>
      <c r="J68">
        <f t="shared" si="20"/>
        <v>-4.8124995373655111E-5</v>
      </c>
      <c r="O68">
        <f t="shared" ca="1" si="16"/>
        <v>-2.4693249590320228E-3</v>
      </c>
      <c r="P68" s="47">
        <f t="shared" si="17"/>
        <v>-1.9382479554926292E-3</v>
      </c>
      <c r="Q68" s="2">
        <f t="shared" si="18"/>
        <v>40673.927100000001</v>
      </c>
      <c r="R68" s="49">
        <f t="shared" si="13"/>
        <v>3.5725648043689126E-6</v>
      </c>
      <c r="S68" s="51">
        <v>0.1</v>
      </c>
      <c r="T68" s="49">
        <f t="shared" si="19"/>
        <v>3.5725648043689128E-7</v>
      </c>
    </row>
    <row r="69" spans="1:20" x14ac:dyDescent="0.2">
      <c r="A69" s="33" t="s">
        <v>51</v>
      </c>
      <c r="B69" s="34" t="s">
        <v>34</v>
      </c>
      <c r="C69" s="33">
        <v>55692.539900000003</v>
      </c>
      <c r="D69" s="33">
        <v>1.9E-3</v>
      </c>
      <c r="E69">
        <f t="shared" si="14"/>
        <v>14008.994794323695</v>
      </c>
      <c r="F69">
        <f t="shared" si="15"/>
        <v>14009</v>
      </c>
      <c r="G69">
        <f t="shared" si="12"/>
        <v>-1.1862499959534034E-3</v>
      </c>
      <c r="J69">
        <f t="shared" si="20"/>
        <v>-1.1862499959534034E-3</v>
      </c>
      <c r="O69">
        <f t="shared" ca="1" si="16"/>
        <v>-2.4693993232949999E-3</v>
      </c>
      <c r="P69" s="47">
        <f t="shared" si="17"/>
        <v>-1.9384469794129053E-3</v>
      </c>
      <c r="Q69" s="2">
        <f t="shared" si="18"/>
        <v>40674.039900000003</v>
      </c>
      <c r="R69" s="49">
        <f t="shared" si="13"/>
        <v>5.6580030192557416E-7</v>
      </c>
      <c r="S69" s="51">
        <v>0.5</v>
      </c>
      <c r="T69" s="49">
        <f t="shared" si="19"/>
        <v>2.8290015096278708E-7</v>
      </c>
    </row>
    <row r="70" spans="1:20" x14ac:dyDescent="0.2">
      <c r="A70" s="33" t="s">
        <v>51</v>
      </c>
      <c r="B70" s="34" t="s">
        <v>41</v>
      </c>
      <c r="C70" s="33">
        <v>55741.419300000001</v>
      </c>
      <c r="D70" s="33">
        <v>8.9999999999999998E-4</v>
      </c>
      <c r="E70">
        <f t="shared" si="14"/>
        <v>14223.494550221898</v>
      </c>
      <c r="F70">
        <f t="shared" si="15"/>
        <v>14223.5</v>
      </c>
      <c r="G70">
        <f t="shared" si="12"/>
        <v>-1.2418749975040555E-3</v>
      </c>
      <c r="J70">
        <f t="shared" si="20"/>
        <v>-1.2418749975040555E-3</v>
      </c>
      <c r="O70">
        <f t="shared" ca="1" si="16"/>
        <v>-2.5013015921121636E-3</v>
      </c>
      <c r="P70" s="47">
        <f t="shared" si="17"/>
        <v>-2.0246482528648727E-3</v>
      </c>
      <c r="Q70" s="2">
        <f t="shared" si="18"/>
        <v>40722.919300000001</v>
      </c>
      <c r="R70" s="49">
        <f t="shared" si="13"/>
        <v>6.1273396930817108E-7</v>
      </c>
      <c r="S70" s="51">
        <v>1</v>
      </c>
      <c r="T70" s="49">
        <f t="shared" si="19"/>
        <v>6.1273396930817108E-7</v>
      </c>
    </row>
    <row r="71" spans="1:20" x14ac:dyDescent="0.2">
      <c r="A71" s="33" t="s">
        <v>51</v>
      </c>
      <c r="B71" s="34" t="s">
        <v>34</v>
      </c>
      <c r="C71" s="33">
        <v>55741.533100000001</v>
      </c>
      <c r="D71" s="33">
        <v>1.1999999999999999E-3</v>
      </c>
      <c r="E71">
        <f t="shared" si="14"/>
        <v>14223.993944081501</v>
      </c>
      <c r="F71">
        <f t="shared" si="15"/>
        <v>14224</v>
      </c>
      <c r="G71">
        <f t="shared" si="12"/>
        <v>-1.3800000015180558E-3</v>
      </c>
      <c r="J71">
        <f t="shared" si="20"/>
        <v>-1.3800000015180558E-3</v>
      </c>
      <c r="O71">
        <f t="shared" ca="1" si="16"/>
        <v>-2.5013759563751407E-3</v>
      </c>
      <c r="P71" s="47">
        <f t="shared" si="17"/>
        <v>-2.0248510996833001E-3</v>
      </c>
      <c r="Q71" s="2">
        <f t="shared" si="18"/>
        <v>40723.033100000001</v>
      </c>
      <c r="R71" s="49">
        <f t="shared" si="13"/>
        <v>4.1583293880492149E-7</v>
      </c>
      <c r="S71" s="51">
        <v>0.5</v>
      </c>
      <c r="T71" s="49">
        <f t="shared" si="19"/>
        <v>2.0791646940246074E-7</v>
      </c>
    </row>
    <row r="72" spans="1:20" x14ac:dyDescent="0.2">
      <c r="A72" s="33" t="s">
        <v>50</v>
      </c>
      <c r="B72" s="34" t="s">
        <v>34</v>
      </c>
      <c r="C72" s="33">
        <v>55741.761500000001</v>
      </c>
      <c r="D72" s="33">
        <v>4.0000000000000002E-4</v>
      </c>
      <c r="E72">
        <f t="shared" si="14"/>
        <v>14224.996242478108</v>
      </c>
      <c r="F72">
        <f t="shared" si="15"/>
        <v>14225</v>
      </c>
      <c r="G72">
        <f t="shared" si="12"/>
        <v>-8.562500006519258E-4</v>
      </c>
      <c r="K72">
        <f>+G72</f>
        <v>-8.562500006519258E-4</v>
      </c>
      <c r="O72">
        <f t="shared" ca="1" si="16"/>
        <v>-2.5015246849010948E-3</v>
      </c>
      <c r="P72" s="47">
        <f t="shared" si="17"/>
        <v>-2.0252568199915374E-3</v>
      </c>
      <c r="Q72" s="2">
        <f t="shared" si="18"/>
        <v>40723.261500000001</v>
      </c>
      <c r="R72" s="49">
        <f t="shared" si="13"/>
        <v>1.3665769436625152E-6</v>
      </c>
      <c r="S72" s="51">
        <v>1</v>
      </c>
      <c r="T72" s="49">
        <f t="shared" si="19"/>
        <v>1.3665769436625152E-6</v>
      </c>
    </row>
    <row r="73" spans="1:20" x14ac:dyDescent="0.2">
      <c r="A73" s="33" t="s">
        <v>50</v>
      </c>
      <c r="B73" s="34" t="s">
        <v>41</v>
      </c>
      <c r="C73" s="33">
        <v>55741.873500000002</v>
      </c>
      <c r="D73" s="33">
        <v>5.0000000000000001E-4</v>
      </c>
      <c r="E73">
        <f t="shared" si="14"/>
        <v>14225.487737313577</v>
      </c>
      <c r="F73">
        <f t="shared" si="15"/>
        <v>14225.5</v>
      </c>
      <c r="G73">
        <f t="shared" si="12"/>
        <v>-2.7943749955738895E-3</v>
      </c>
      <c r="K73">
        <f>+G73</f>
        <v>-2.7943749955738895E-3</v>
      </c>
      <c r="O73">
        <f t="shared" ca="1" si="16"/>
        <v>-2.5015990491640719E-3</v>
      </c>
      <c r="P73" s="47">
        <f t="shared" si="17"/>
        <v>-2.0254596934813473E-3</v>
      </c>
      <c r="Q73" s="2">
        <f t="shared" si="18"/>
        <v>40723.373500000002</v>
      </c>
      <c r="R73" s="49">
        <f t="shared" si="13"/>
        <v>5.9123074179206535E-7</v>
      </c>
      <c r="S73" s="51">
        <v>1</v>
      </c>
      <c r="T73" s="49">
        <f t="shared" si="19"/>
        <v>5.9123074179206535E-7</v>
      </c>
    </row>
    <row r="74" spans="1:20" x14ac:dyDescent="0.2">
      <c r="A74" s="35" t="s">
        <v>147</v>
      </c>
      <c r="C74" s="10">
        <v>57157.779399999999</v>
      </c>
      <c r="D74" s="10">
        <v>2.0000000000000001E-4</v>
      </c>
      <c r="E74">
        <f t="shared" si="14"/>
        <v>20438.973785113634</v>
      </c>
      <c r="F74">
        <f t="shared" si="15"/>
        <v>20439</v>
      </c>
      <c r="G74">
        <f t="shared" si="12"/>
        <v>-5.9737499977927655E-3</v>
      </c>
      <c r="K74">
        <f>+G74</f>
        <v>-5.9737499977927655E-3</v>
      </c>
      <c r="O74">
        <f t="shared" ca="1" si="16"/>
        <v>-3.4257237451801432E-3</v>
      </c>
      <c r="P74" s="47">
        <f t="shared" si="17"/>
        <v>-5.2331021866445105E-3</v>
      </c>
      <c r="Q74" s="2">
        <f t="shared" si="18"/>
        <v>42139.279399999999</v>
      </c>
      <c r="R74" s="49">
        <f t="shared" si="13"/>
        <v>5.4855918015870123E-7</v>
      </c>
      <c r="S74" s="51">
        <v>1</v>
      </c>
      <c r="T74" s="49">
        <f t="shared" si="19"/>
        <v>5.4855918015870123E-7</v>
      </c>
    </row>
    <row r="75" spans="1:20" x14ac:dyDescent="0.2">
      <c r="A75" s="65" t="s">
        <v>0</v>
      </c>
      <c r="B75" s="66" t="s">
        <v>34</v>
      </c>
      <c r="C75" s="67">
        <v>57518.393199999999</v>
      </c>
      <c r="D75" s="67">
        <v>2E-3</v>
      </c>
      <c r="E75">
        <f t="shared" si="14"/>
        <v>22021.472180624354</v>
      </c>
      <c r="F75">
        <f t="shared" si="15"/>
        <v>22021.5</v>
      </c>
      <c r="G75">
        <f t="shared" si="12"/>
        <v>-6.3393750024260953E-3</v>
      </c>
      <c r="K75">
        <f>+G75</f>
        <v>-6.3393750024260953E-3</v>
      </c>
      <c r="O75">
        <f t="shared" ca="1" si="16"/>
        <v>-3.6610866375025755E-3</v>
      </c>
      <c r="P75" s="47">
        <f t="shared" si="17"/>
        <v>-6.2694144837513854E-3</v>
      </c>
      <c r="Q75" s="2">
        <f t="shared" si="18"/>
        <v>42499.893199999999</v>
      </c>
      <c r="R75" s="49">
        <f t="shared" si="13"/>
        <v>4.8944741732344384E-9</v>
      </c>
      <c r="S75" s="51">
        <v>1</v>
      </c>
      <c r="T75" s="49">
        <f t="shared" si="19"/>
        <v>4.8944741732344384E-9</v>
      </c>
    </row>
    <row r="76" spans="1:20" x14ac:dyDescent="0.2">
      <c r="A76" s="65" t="s">
        <v>0</v>
      </c>
      <c r="B76" s="66" t="s">
        <v>34</v>
      </c>
      <c r="C76" s="67">
        <v>57518.5075</v>
      </c>
      <c r="D76" s="67">
        <v>2.9999999999999997E-4</v>
      </c>
      <c r="E76">
        <f t="shared" si="14"/>
        <v>22021.973768657335</v>
      </c>
      <c r="F76">
        <f t="shared" si="15"/>
        <v>22022</v>
      </c>
      <c r="G76">
        <f t="shared" si="12"/>
        <v>-5.9774999972432852E-3</v>
      </c>
      <c r="K76">
        <f>+G76</f>
        <v>-5.9774999972432852E-3</v>
      </c>
      <c r="O76">
        <f t="shared" ca="1" si="16"/>
        <v>-3.6611610017655526E-3</v>
      </c>
      <c r="P76" s="47">
        <f t="shared" si="17"/>
        <v>-6.269755986196706E-3</v>
      </c>
      <c r="Q76" s="2">
        <f t="shared" si="18"/>
        <v>42500.0075</v>
      </c>
      <c r="R76" s="49">
        <f t="shared" si="13"/>
        <v>8.5413563079142036E-8</v>
      </c>
      <c r="S76" s="51">
        <v>1</v>
      </c>
      <c r="T76" s="49">
        <f t="shared" si="19"/>
        <v>8.5413563079142036E-8</v>
      </c>
    </row>
    <row r="77" spans="1:20" x14ac:dyDescent="0.2">
      <c r="A77" s="68" t="s">
        <v>148</v>
      </c>
      <c r="B77" s="69" t="s">
        <v>34</v>
      </c>
      <c r="C77" s="70">
        <v>59013.378700000001</v>
      </c>
      <c r="D77" s="71">
        <v>3.5000000000000001E-3</v>
      </c>
      <c r="E77">
        <f t="shared" ref="E77:E79" si="21">+(C77-C$7)/C$8</f>
        <v>28581.986933697579</v>
      </c>
      <c r="F77">
        <f t="shared" ref="F77:F79" si="22">ROUND(2*E77,0)/2</f>
        <v>28582</v>
      </c>
      <c r="G77">
        <f t="shared" ref="G77:G79" si="23">+C77-(C$7+F77*C$8)</f>
        <v>-2.9775000002700835E-3</v>
      </c>
      <c r="K77">
        <f t="shared" ref="K77:K79" si="24">+G77</f>
        <v>-2.9775000002700835E-3</v>
      </c>
      <c r="O77">
        <f t="shared" ref="O77:O79" ca="1" si="25">+C$11+C$12*$F77</f>
        <v>-4.6368201320247347E-3</v>
      </c>
      <c r="P77" s="47">
        <f t="shared" ref="P77:P79" si="26">+D$11+D$12*F77+D$13*F77^2</f>
        <v>-1.151550345938941E-2</v>
      </c>
      <c r="Q77" s="2">
        <f t="shared" ref="Q77:Q79" si="27">+C77-15018.5</f>
        <v>43994.878700000001</v>
      </c>
      <c r="R77" s="49">
        <f t="shared" ref="R77:R79" si="28">+(P77-G77)^2</f>
        <v>7.2897503067933587E-5</v>
      </c>
      <c r="S77" s="51">
        <v>1</v>
      </c>
      <c r="T77" s="49">
        <f t="shared" ref="T77:T79" si="29">+S77*R77</f>
        <v>7.2897503067933587E-5</v>
      </c>
    </row>
    <row r="78" spans="1:20" x14ac:dyDescent="0.2">
      <c r="A78" s="68" t="s">
        <v>148</v>
      </c>
      <c r="B78" s="69" t="s">
        <v>34</v>
      </c>
      <c r="C78" s="70">
        <v>59013.492100000003</v>
      </c>
      <c r="D78" s="71">
        <v>3.5000000000000001E-3</v>
      </c>
      <c r="E78">
        <f t="shared" si="21"/>
        <v>28582.484572218495</v>
      </c>
      <c r="F78">
        <f t="shared" si="22"/>
        <v>28582.5</v>
      </c>
      <c r="G78">
        <f t="shared" si="23"/>
        <v>-3.5156249941792339E-3</v>
      </c>
      <c r="K78">
        <f t="shared" si="24"/>
        <v>-3.5156249941792339E-3</v>
      </c>
      <c r="O78">
        <f t="shared" ca="1" si="25"/>
        <v>-4.6368944962877114E-3</v>
      </c>
      <c r="P78" s="47">
        <f t="shared" si="26"/>
        <v>-1.1515961613571102E-2</v>
      </c>
      <c r="Q78" s="2">
        <f t="shared" si="27"/>
        <v>43994.992100000003</v>
      </c>
      <c r="R78" s="49">
        <f t="shared" si="28"/>
        <v>6.4005386023582506E-5</v>
      </c>
      <c r="S78" s="51">
        <v>1</v>
      </c>
      <c r="T78" s="49">
        <f t="shared" si="29"/>
        <v>6.4005386023582506E-5</v>
      </c>
    </row>
    <row r="79" spans="1:20" x14ac:dyDescent="0.2">
      <c r="A79" s="68" t="s">
        <v>148</v>
      </c>
      <c r="B79" s="69" t="s">
        <v>34</v>
      </c>
      <c r="C79" s="70">
        <v>59032.633600000001</v>
      </c>
      <c r="D79" s="71">
        <v>3.5000000000000001E-3</v>
      </c>
      <c r="E79">
        <f t="shared" si="21"/>
        <v>28666.484111442078</v>
      </c>
      <c r="F79">
        <f t="shared" si="22"/>
        <v>28666.5</v>
      </c>
      <c r="G79">
        <f t="shared" si="23"/>
        <v>-3.6206250006216578E-3</v>
      </c>
      <c r="K79">
        <f t="shared" si="24"/>
        <v>-3.6206250006216578E-3</v>
      </c>
      <c r="O79">
        <f t="shared" ca="1" si="25"/>
        <v>-4.6493876924678604E-3</v>
      </c>
      <c r="P79" s="47">
        <f t="shared" si="26"/>
        <v>-1.1593057725077006E-2</v>
      </c>
      <c r="Q79" s="2">
        <f t="shared" si="27"/>
        <v>44014.133600000001</v>
      </c>
      <c r="R79" s="49">
        <f t="shared" si="28"/>
        <v>6.3559683545966525E-5</v>
      </c>
      <c r="S79" s="51">
        <v>1</v>
      </c>
      <c r="T79" s="49">
        <f t="shared" si="29"/>
        <v>6.3559683545966525E-5</v>
      </c>
    </row>
    <row r="80" spans="1:20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0"/>
  <sheetViews>
    <sheetView topLeftCell="A5" workbookViewId="0">
      <selection activeCell="A11" sqref="A11:IV448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52" t="s">
        <v>58</v>
      </c>
      <c r="I1" s="53" t="s">
        <v>59</v>
      </c>
      <c r="J1" s="54" t="s">
        <v>60</v>
      </c>
    </row>
    <row r="2" spans="1:16" x14ac:dyDescent="0.2">
      <c r="I2" s="55" t="s">
        <v>61</v>
      </c>
      <c r="J2" s="56" t="s">
        <v>62</v>
      </c>
    </row>
    <row r="3" spans="1:16" x14ac:dyDescent="0.2">
      <c r="A3" s="57" t="s">
        <v>63</v>
      </c>
      <c r="I3" s="55" t="s">
        <v>64</v>
      </c>
      <c r="J3" s="56" t="s">
        <v>65</v>
      </c>
    </row>
    <row r="4" spans="1:16" x14ac:dyDescent="0.2">
      <c r="I4" s="55" t="s">
        <v>66</v>
      </c>
      <c r="J4" s="56" t="s">
        <v>65</v>
      </c>
    </row>
    <row r="5" spans="1:16" ht="13.5" thickBot="1" x14ac:dyDescent="0.25">
      <c r="I5" s="58" t="s">
        <v>67</v>
      </c>
      <c r="J5" s="59" t="s">
        <v>68</v>
      </c>
    </row>
    <row r="10" spans="1:16" ht="13.5" thickBot="1" x14ac:dyDescent="0.25"/>
    <row r="11" spans="1:16" ht="12.75" customHeight="1" thickBot="1" x14ac:dyDescent="0.25">
      <c r="A11" s="10" t="str">
        <f t="shared" ref="A11:A28" si="0">P11</f>
        <v>IBVS 5781 </v>
      </c>
      <c r="B11" s="3" t="str">
        <f t="shared" ref="B11:B28" si="1">IF(H11=INT(H11),"I","II")</f>
        <v>I</v>
      </c>
      <c r="C11" s="10">
        <f t="shared" ref="C11:C28" si="2">1*G11</f>
        <v>54000.333299999998</v>
      </c>
      <c r="D11" s="12" t="str">
        <f t="shared" ref="D11:D28" si="3">VLOOKUP(F11,I$1:J$5,2,FALSE)</f>
        <v>vis</v>
      </c>
      <c r="E11" s="60">
        <f>VLOOKUP(C11,Ative!C$21:E$973,3,FALSE)</f>
        <v>6583.0054689771314</v>
      </c>
      <c r="F11" s="3" t="s">
        <v>67</v>
      </c>
      <c r="G11" s="12" t="str">
        <f t="shared" ref="G11:G28" si="4">MID(I11,3,LEN(I11)-3)</f>
        <v>54000.3333</v>
      </c>
      <c r="H11" s="10">
        <f t="shared" ref="H11:H28" si="5">1*K11</f>
        <v>6468</v>
      </c>
      <c r="I11" s="61" t="s">
        <v>69</v>
      </c>
      <c r="J11" s="62" t="s">
        <v>70</v>
      </c>
      <c r="K11" s="61">
        <v>6468</v>
      </c>
      <c r="L11" s="61" t="s">
        <v>71</v>
      </c>
      <c r="M11" s="62" t="s">
        <v>72</v>
      </c>
      <c r="N11" s="62" t="s">
        <v>73</v>
      </c>
      <c r="O11" s="63" t="s">
        <v>74</v>
      </c>
      <c r="P11" s="64" t="s">
        <v>75</v>
      </c>
    </row>
    <row r="12" spans="1:16" ht="12.75" customHeight="1" thickBot="1" x14ac:dyDescent="0.25">
      <c r="A12" s="10" t="str">
        <f t="shared" si="0"/>
        <v>IBVS 5781 </v>
      </c>
      <c r="B12" s="3" t="str">
        <f t="shared" si="1"/>
        <v>II</v>
      </c>
      <c r="C12" s="10">
        <f t="shared" si="2"/>
        <v>54217.383300000001</v>
      </c>
      <c r="D12" s="12" t="str">
        <f t="shared" si="3"/>
        <v>vis</v>
      </c>
      <c r="E12" s="60">
        <f>VLOOKUP(C12,Ative!C$21:E$973,3,FALSE)</f>
        <v>7535.4961300267269</v>
      </c>
      <c r="F12" s="3" t="s">
        <v>67</v>
      </c>
      <c r="G12" s="12" t="str">
        <f t="shared" si="4"/>
        <v>54217.3833</v>
      </c>
      <c r="H12" s="10">
        <f t="shared" si="5"/>
        <v>7420.5</v>
      </c>
      <c r="I12" s="61" t="s">
        <v>76</v>
      </c>
      <c r="J12" s="62" t="s">
        <v>77</v>
      </c>
      <c r="K12" s="61">
        <v>7420.5</v>
      </c>
      <c r="L12" s="61" t="s">
        <v>78</v>
      </c>
      <c r="M12" s="62" t="s">
        <v>72</v>
      </c>
      <c r="N12" s="62" t="s">
        <v>59</v>
      </c>
      <c r="O12" s="63" t="s">
        <v>74</v>
      </c>
      <c r="P12" s="64" t="s">
        <v>75</v>
      </c>
    </row>
    <row r="13" spans="1:16" ht="12.75" customHeight="1" thickBot="1" x14ac:dyDescent="0.25">
      <c r="A13" s="10" t="str">
        <f t="shared" si="0"/>
        <v>IBVS 5781 </v>
      </c>
      <c r="B13" s="3" t="str">
        <f t="shared" si="1"/>
        <v>I</v>
      </c>
      <c r="C13" s="10">
        <f t="shared" si="2"/>
        <v>54217.496200000001</v>
      </c>
      <c r="D13" s="12" t="str">
        <f t="shared" si="3"/>
        <v>vis</v>
      </c>
      <c r="E13" s="60">
        <f>VLOOKUP(C13,Ative!C$21:E$973,3,FALSE)</f>
        <v>7535.9915743742622</v>
      </c>
      <c r="F13" s="3" t="s">
        <v>67</v>
      </c>
      <c r="G13" s="12" t="str">
        <f t="shared" si="4"/>
        <v>54217.4962</v>
      </c>
      <c r="H13" s="10">
        <f t="shared" si="5"/>
        <v>7421</v>
      </c>
      <c r="I13" s="61" t="s">
        <v>79</v>
      </c>
      <c r="J13" s="62" t="s">
        <v>80</v>
      </c>
      <c r="K13" s="61">
        <v>7421</v>
      </c>
      <c r="L13" s="61" t="s">
        <v>81</v>
      </c>
      <c r="M13" s="62" t="s">
        <v>72</v>
      </c>
      <c r="N13" s="62" t="s">
        <v>59</v>
      </c>
      <c r="O13" s="63" t="s">
        <v>74</v>
      </c>
      <c r="P13" s="64" t="s">
        <v>75</v>
      </c>
    </row>
    <row r="14" spans="1:16" ht="12.75" customHeight="1" thickBot="1" x14ac:dyDescent="0.25">
      <c r="A14" s="10" t="str">
        <f t="shared" si="0"/>
        <v>BAVM 209 </v>
      </c>
      <c r="B14" s="3" t="str">
        <f t="shared" si="1"/>
        <v>II</v>
      </c>
      <c r="C14" s="10">
        <f t="shared" si="2"/>
        <v>54971.426200000002</v>
      </c>
      <c r="D14" s="12" t="str">
        <f t="shared" si="3"/>
        <v>vis</v>
      </c>
      <c r="E14" s="60">
        <f>VLOOKUP(C14,Ative!C$21:E$973,3,FALSE)</f>
        <v>10844.497835996526</v>
      </c>
      <c r="F14" s="3" t="s">
        <v>67</v>
      </c>
      <c r="G14" s="12" t="str">
        <f t="shared" si="4"/>
        <v>54971.4262</v>
      </c>
      <c r="H14" s="10">
        <f t="shared" si="5"/>
        <v>10729.5</v>
      </c>
      <c r="I14" s="61" t="s">
        <v>82</v>
      </c>
      <c r="J14" s="62" t="s">
        <v>83</v>
      </c>
      <c r="K14" s="61">
        <v>10729.5</v>
      </c>
      <c r="L14" s="61" t="s">
        <v>84</v>
      </c>
      <c r="M14" s="62" t="s">
        <v>72</v>
      </c>
      <c r="N14" s="62" t="s">
        <v>85</v>
      </c>
      <c r="O14" s="63" t="s">
        <v>86</v>
      </c>
      <c r="P14" s="64" t="s">
        <v>87</v>
      </c>
    </row>
    <row r="15" spans="1:16" ht="12.75" customHeight="1" thickBot="1" x14ac:dyDescent="0.25">
      <c r="A15" s="10" t="str">
        <f t="shared" si="0"/>
        <v>BAVM 209 </v>
      </c>
      <c r="B15" s="3" t="str">
        <f t="shared" si="1"/>
        <v>I</v>
      </c>
      <c r="C15" s="10">
        <f t="shared" si="2"/>
        <v>54971.537700000001</v>
      </c>
      <c r="D15" s="12" t="str">
        <f t="shared" si="3"/>
        <v>vis</v>
      </c>
      <c r="E15" s="60">
        <f>VLOOKUP(C15,Ative!C$21:E$973,3,FALSE)</f>
        <v>10844.987136658614</v>
      </c>
      <c r="F15" s="3" t="s">
        <v>67</v>
      </c>
      <c r="G15" s="12" t="str">
        <f t="shared" si="4"/>
        <v>54971.5377</v>
      </c>
      <c r="H15" s="10">
        <f t="shared" si="5"/>
        <v>10730</v>
      </c>
      <c r="I15" s="61" t="s">
        <v>88</v>
      </c>
      <c r="J15" s="62" t="s">
        <v>89</v>
      </c>
      <c r="K15" s="61" t="s">
        <v>90</v>
      </c>
      <c r="L15" s="61" t="s">
        <v>91</v>
      </c>
      <c r="M15" s="62" t="s">
        <v>72</v>
      </c>
      <c r="N15" s="62" t="s">
        <v>85</v>
      </c>
      <c r="O15" s="63" t="s">
        <v>86</v>
      </c>
      <c r="P15" s="64" t="s">
        <v>87</v>
      </c>
    </row>
    <row r="16" spans="1:16" ht="12.75" customHeight="1" thickBot="1" x14ac:dyDescent="0.25">
      <c r="A16" s="10" t="str">
        <f t="shared" si="0"/>
        <v>IBVS 5920 </v>
      </c>
      <c r="B16" s="3" t="str">
        <f t="shared" si="1"/>
        <v>II</v>
      </c>
      <c r="C16" s="10">
        <f t="shared" si="2"/>
        <v>55067.363499999999</v>
      </c>
      <c r="D16" s="12" t="str">
        <f t="shared" si="3"/>
        <v>vis</v>
      </c>
      <c r="E16" s="60">
        <f>VLOOKUP(C16,Ative!C$21:E$973,3,FALSE)</f>
        <v>11265.503974196525</v>
      </c>
      <c r="F16" s="3" t="s">
        <v>67</v>
      </c>
      <c r="G16" s="12" t="str">
        <f t="shared" si="4"/>
        <v>55067.3635</v>
      </c>
      <c r="H16" s="10">
        <f t="shared" si="5"/>
        <v>11150.5</v>
      </c>
      <c r="I16" s="61" t="s">
        <v>92</v>
      </c>
      <c r="J16" s="62" t="s">
        <v>93</v>
      </c>
      <c r="K16" s="61" t="s">
        <v>94</v>
      </c>
      <c r="L16" s="61" t="s">
        <v>95</v>
      </c>
      <c r="M16" s="62" t="s">
        <v>72</v>
      </c>
      <c r="N16" s="62" t="s">
        <v>59</v>
      </c>
      <c r="O16" s="63" t="s">
        <v>74</v>
      </c>
      <c r="P16" s="64" t="s">
        <v>96</v>
      </c>
    </row>
    <row r="17" spans="1:16" ht="12.75" customHeight="1" thickBot="1" x14ac:dyDescent="0.25">
      <c r="A17" s="10" t="str">
        <f t="shared" si="0"/>
        <v>IBVS 5920 </v>
      </c>
      <c r="B17" s="3" t="str">
        <f t="shared" si="1"/>
        <v>I</v>
      </c>
      <c r="C17" s="10">
        <f t="shared" si="2"/>
        <v>55067.472900000001</v>
      </c>
      <c r="D17" s="12" t="str">
        <f t="shared" si="3"/>
        <v>vis</v>
      </c>
      <c r="E17" s="60">
        <f>VLOOKUP(C17,Ative!C$21:E$973,3,FALSE)</f>
        <v>11265.984059330458</v>
      </c>
      <c r="F17" s="3" t="s">
        <v>67</v>
      </c>
      <c r="G17" s="12" t="str">
        <f t="shared" si="4"/>
        <v>55067.4729</v>
      </c>
      <c r="H17" s="10">
        <f t="shared" si="5"/>
        <v>11151</v>
      </c>
      <c r="I17" s="61" t="s">
        <v>97</v>
      </c>
      <c r="J17" s="62" t="s">
        <v>98</v>
      </c>
      <c r="K17" s="61" t="s">
        <v>99</v>
      </c>
      <c r="L17" s="61" t="s">
        <v>100</v>
      </c>
      <c r="M17" s="62" t="s">
        <v>72</v>
      </c>
      <c r="N17" s="62" t="s">
        <v>59</v>
      </c>
      <c r="O17" s="63" t="s">
        <v>74</v>
      </c>
      <c r="P17" s="64" t="s">
        <v>96</v>
      </c>
    </row>
    <row r="18" spans="1:16" ht="12.75" customHeight="1" thickBot="1" x14ac:dyDescent="0.25">
      <c r="A18" s="10" t="str">
        <f t="shared" si="0"/>
        <v>BAVM 220 </v>
      </c>
      <c r="B18" s="3" t="str">
        <f t="shared" si="1"/>
        <v>II</v>
      </c>
      <c r="C18" s="10">
        <f t="shared" si="2"/>
        <v>55672.3727</v>
      </c>
      <c r="D18" s="12" t="str">
        <f t="shared" si="3"/>
        <v>vis</v>
      </c>
      <c r="E18" s="60">
        <f>VLOOKUP(C18,Ative!C$21:E$973,3,FALSE)</f>
        <v>13920.494127843518</v>
      </c>
      <c r="F18" s="3" t="s">
        <v>67</v>
      </c>
      <c r="G18" s="12" t="str">
        <f t="shared" si="4"/>
        <v>55672.3727</v>
      </c>
      <c r="H18" s="10">
        <f t="shared" si="5"/>
        <v>13805.5</v>
      </c>
      <c r="I18" s="61" t="s">
        <v>101</v>
      </c>
      <c r="J18" s="62" t="s">
        <v>102</v>
      </c>
      <c r="K18" s="61" t="s">
        <v>103</v>
      </c>
      <c r="L18" s="61" t="s">
        <v>104</v>
      </c>
      <c r="M18" s="62" t="s">
        <v>72</v>
      </c>
      <c r="N18" s="62" t="s">
        <v>85</v>
      </c>
      <c r="O18" s="63" t="s">
        <v>86</v>
      </c>
      <c r="P18" s="64" t="s">
        <v>105</v>
      </c>
    </row>
    <row r="19" spans="1:16" ht="12.75" customHeight="1" thickBot="1" x14ac:dyDescent="0.25">
      <c r="A19" s="10" t="str">
        <f t="shared" si="0"/>
        <v>BAVM 220 </v>
      </c>
      <c r="B19" s="3" t="str">
        <f t="shared" si="1"/>
        <v>I</v>
      </c>
      <c r="C19" s="10">
        <f t="shared" si="2"/>
        <v>55672.486400000002</v>
      </c>
      <c r="D19" s="12" t="str">
        <f t="shared" si="3"/>
        <v>vis</v>
      </c>
      <c r="E19" s="60">
        <f>VLOOKUP(C19,Ative!C$21:E$973,3,FALSE)</f>
        <v>13920.993082868457</v>
      </c>
      <c r="F19" s="3" t="s">
        <v>67</v>
      </c>
      <c r="G19" s="12" t="str">
        <f t="shared" si="4"/>
        <v>55672.4864</v>
      </c>
      <c r="H19" s="10">
        <f t="shared" si="5"/>
        <v>13806</v>
      </c>
      <c r="I19" s="61" t="s">
        <v>106</v>
      </c>
      <c r="J19" s="62" t="s">
        <v>107</v>
      </c>
      <c r="K19" s="61" t="s">
        <v>108</v>
      </c>
      <c r="L19" s="61" t="s">
        <v>109</v>
      </c>
      <c r="M19" s="62" t="s">
        <v>72</v>
      </c>
      <c r="N19" s="62" t="s">
        <v>85</v>
      </c>
      <c r="O19" s="63" t="s">
        <v>86</v>
      </c>
      <c r="P19" s="64" t="s">
        <v>105</v>
      </c>
    </row>
    <row r="20" spans="1:16" ht="12.75" customHeight="1" thickBot="1" x14ac:dyDescent="0.25">
      <c r="A20" s="10" t="str">
        <f t="shared" si="0"/>
        <v>BAVM 220 </v>
      </c>
      <c r="B20" s="3" t="str">
        <f t="shared" si="1"/>
        <v>II</v>
      </c>
      <c r="C20" s="10">
        <f t="shared" si="2"/>
        <v>55672.599900000001</v>
      </c>
      <c r="D20" s="12" t="str">
        <f t="shared" si="3"/>
        <v>vis</v>
      </c>
      <c r="E20" s="60">
        <f>VLOOKUP(C20,Ative!C$21:E$973,3,FALSE)</f>
        <v>13921.491160224037</v>
      </c>
      <c r="F20" s="3" t="s">
        <v>67</v>
      </c>
      <c r="G20" s="12" t="str">
        <f t="shared" si="4"/>
        <v>55672.5999</v>
      </c>
      <c r="H20" s="10">
        <f t="shared" si="5"/>
        <v>13806.5</v>
      </c>
      <c r="I20" s="61" t="s">
        <v>110</v>
      </c>
      <c r="J20" s="62" t="s">
        <v>111</v>
      </c>
      <c r="K20" s="61" t="s">
        <v>112</v>
      </c>
      <c r="L20" s="61" t="s">
        <v>113</v>
      </c>
      <c r="M20" s="62" t="s">
        <v>72</v>
      </c>
      <c r="N20" s="62" t="s">
        <v>85</v>
      </c>
      <c r="O20" s="63" t="s">
        <v>86</v>
      </c>
      <c r="P20" s="64" t="s">
        <v>105</v>
      </c>
    </row>
    <row r="21" spans="1:16" ht="12.75" customHeight="1" thickBot="1" x14ac:dyDescent="0.25">
      <c r="A21" s="10" t="str">
        <f t="shared" si="0"/>
        <v>BAVM 220 </v>
      </c>
      <c r="B21" s="3" t="str">
        <f t="shared" si="1"/>
        <v>II</v>
      </c>
      <c r="C21" s="10">
        <f t="shared" si="2"/>
        <v>55682.400000000001</v>
      </c>
      <c r="D21" s="12" t="str">
        <f t="shared" si="3"/>
        <v>vis</v>
      </c>
      <c r="E21" s="60">
        <f>VLOOKUP(C21,Ative!C$21:E$973,3,FALSE)</f>
        <v>13964.497397161849</v>
      </c>
      <c r="F21" s="3" t="s">
        <v>67</v>
      </c>
      <c r="G21" s="12" t="str">
        <f t="shared" si="4"/>
        <v>55682.4000</v>
      </c>
      <c r="H21" s="10">
        <f t="shared" si="5"/>
        <v>13849.5</v>
      </c>
      <c r="I21" s="61" t="s">
        <v>114</v>
      </c>
      <c r="J21" s="62" t="s">
        <v>115</v>
      </c>
      <c r="K21" s="61" t="s">
        <v>116</v>
      </c>
      <c r="L21" s="61" t="s">
        <v>117</v>
      </c>
      <c r="M21" s="62" t="s">
        <v>72</v>
      </c>
      <c r="N21" s="62" t="s">
        <v>85</v>
      </c>
      <c r="O21" s="63" t="s">
        <v>86</v>
      </c>
      <c r="P21" s="64" t="s">
        <v>105</v>
      </c>
    </row>
    <row r="22" spans="1:16" ht="12.75" customHeight="1" thickBot="1" x14ac:dyDescent="0.25">
      <c r="A22" s="10" t="str">
        <f t="shared" si="0"/>
        <v>BAVM 220 </v>
      </c>
      <c r="B22" s="3" t="str">
        <f t="shared" si="1"/>
        <v>I</v>
      </c>
      <c r="C22" s="10">
        <f t="shared" si="2"/>
        <v>55682.512699999999</v>
      </c>
      <c r="D22" s="12" t="str">
        <f t="shared" si="3"/>
        <v>vis</v>
      </c>
      <c r="E22" s="60">
        <f>VLOOKUP(C22,Ative!C$21:E$973,3,FALSE)</f>
        <v>13964.991963840026</v>
      </c>
      <c r="F22" s="3" t="s">
        <v>67</v>
      </c>
      <c r="G22" s="12" t="str">
        <f t="shared" si="4"/>
        <v>55682.5127</v>
      </c>
      <c r="H22" s="10">
        <f t="shared" si="5"/>
        <v>13850</v>
      </c>
      <c r="I22" s="61" t="s">
        <v>118</v>
      </c>
      <c r="J22" s="62" t="s">
        <v>119</v>
      </c>
      <c r="K22" s="61" t="s">
        <v>120</v>
      </c>
      <c r="L22" s="61" t="s">
        <v>121</v>
      </c>
      <c r="M22" s="62" t="s">
        <v>72</v>
      </c>
      <c r="N22" s="62" t="s">
        <v>85</v>
      </c>
      <c r="O22" s="63" t="s">
        <v>86</v>
      </c>
      <c r="P22" s="64" t="s">
        <v>105</v>
      </c>
    </row>
    <row r="23" spans="1:16" ht="12.75" customHeight="1" thickBot="1" x14ac:dyDescent="0.25">
      <c r="A23" s="10" t="str">
        <f t="shared" si="0"/>
        <v>BAVM 220 </v>
      </c>
      <c r="B23" s="3" t="str">
        <f t="shared" si="1"/>
        <v>II</v>
      </c>
      <c r="C23" s="10">
        <f t="shared" si="2"/>
        <v>55692.427100000001</v>
      </c>
      <c r="D23" s="12" t="str">
        <f t="shared" si="3"/>
        <v>vis</v>
      </c>
      <c r="E23" s="60">
        <f>VLOOKUP(C23,Ative!C$21:E$973,3,FALSE)</f>
        <v>14008.499788810823</v>
      </c>
      <c r="F23" s="3" t="s">
        <v>67</v>
      </c>
      <c r="G23" s="12" t="str">
        <f t="shared" si="4"/>
        <v>55692.4271</v>
      </c>
      <c r="H23" s="10">
        <f t="shared" si="5"/>
        <v>13893.5</v>
      </c>
      <c r="I23" s="61" t="s">
        <v>122</v>
      </c>
      <c r="J23" s="62" t="s">
        <v>123</v>
      </c>
      <c r="K23" s="61" t="s">
        <v>124</v>
      </c>
      <c r="L23" s="61" t="s">
        <v>125</v>
      </c>
      <c r="M23" s="62" t="s">
        <v>72</v>
      </c>
      <c r="N23" s="62" t="s">
        <v>85</v>
      </c>
      <c r="O23" s="63" t="s">
        <v>86</v>
      </c>
      <c r="P23" s="64" t="s">
        <v>105</v>
      </c>
    </row>
    <row r="24" spans="1:16" ht="12.75" customHeight="1" thickBot="1" x14ac:dyDescent="0.25">
      <c r="A24" s="10" t="str">
        <f t="shared" si="0"/>
        <v>BAVM 220 </v>
      </c>
      <c r="B24" s="3" t="str">
        <f t="shared" si="1"/>
        <v>I</v>
      </c>
      <c r="C24" s="10">
        <f t="shared" si="2"/>
        <v>55692.539900000003</v>
      </c>
      <c r="D24" s="12" t="str">
        <f t="shared" si="3"/>
        <v>vis</v>
      </c>
      <c r="E24" s="60">
        <f>VLOOKUP(C24,Ative!C$21:E$973,3,FALSE)</f>
        <v>14008.994794323695</v>
      </c>
      <c r="F24" s="3" t="s">
        <v>67</v>
      </c>
      <c r="G24" s="12" t="str">
        <f t="shared" si="4"/>
        <v>55692.5399</v>
      </c>
      <c r="H24" s="10">
        <f t="shared" si="5"/>
        <v>13894</v>
      </c>
      <c r="I24" s="61" t="s">
        <v>126</v>
      </c>
      <c r="J24" s="62" t="s">
        <v>127</v>
      </c>
      <c r="K24" s="61" t="s">
        <v>128</v>
      </c>
      <c r="L24" s="61" t="s">
        <v>129</v>
      </c>
      <c r="M24" s="62" t="s">
        <v>72</v>
      </c>
      <c r="N24" s="62" t="s">
        <v>85</v>
      </c>
      <c r="O24" s="63" t="s">
        <v>86</v>
      </c>
      <c r="P24" s="64" t="s">
        <v>105</v>
      </c>
    </row>
    <row r="25" spans="1:16" ht="12.75" customHeight="1" thickBot="1" x14ac:dyDescent="0.25">
      <c r="A25" s="10" t="str">
        <f t="shared" si="0"/>
        <v>BAVM 220 </v>
      </c>
      <c r="B25" s="3" t="str">
        <f t="shared" si="1"/>
        <v>II</v>
      </c>
      <c r="C25" s="10">
        <f t="shared" si="2"/>
        <v>55741.419300000001</v>
      </c>
      <c r="D25" s="12" t="str">
        <f t="shared" si="3"/>
        <v>vis</v>
      </c>
      <c r="E25" s="60">
        <f>VLOOKUP(C25,Ative!C$21:E$973,3,FALSE)</f>
        <v>14223.494550221898</v>
      </c>
      <c r="F25" s="3" t="s">
        <v>67</v>
      </c>
      <c r="G25" s="12" t="str">
        <f t="shared" si="4"/>
        <v>55741.4193</v>
      </c>
      <c r="H25" s="10">
        <f t="shared" si="5"/>
        <v>14108.5</v>
      </c>
      <c r="I25" s="61" t="s">
        <v>130</v>
      </c>
      <c r="J25" s="62" t="s">
        <v>131</v>
      </c>
      <c r="K25" s="61" t="s">
        <v>132</v>
      </c>
      <c r="L25" s="61" t="s">
        <v>104</v>
      </c>
      <c r="M25" s="62" t="s">
        <v>72</v>
      </c>
      <c r="N25" s="62" t="s">
        <v>85</v>
      </c>
      <c r="O25" s="63" t="s">
        <v>86</v>
      </c>
      <c r="P25" s="64" t="s">
        <v>105</v>
      </c>
    </row>
    <row r="26" spans="1:16" ht="12.75" customHeight="1" thickBot="1" x14ac:dyDescent="0.25">
      <c r="A26" s="10" t="str">
        <f t="shared" si="0"/>
        <v>BAVM 220 </v>
      </c>
      <c r="B26" s="3" t="str">
        <f t="shared" si="1"/>
        <v>I</v>
      </c>
      <c r="C26" s="10">
        <f t="shared" si="2"/>
        <v>55741.533100000001</v>
      </c>
      <c r="D26" s="12" t="str">
        <f t="shared" si="3"/>
        <v>vis</v>
      </c>
      <c r="E26" s="60">
        <f>VLOOKUP(C26,Ative!C$21:E$973,3,FALSE)</f>
        <v>14223.993944081501</v>
      </c>
      <c r="F26" s="3" t="s">
        <v>67</v>
      </c>
      <c r="G26" s="12" t="str">
        <f t="shared" si="4"/>
        <v>55741.5331</v>
      </c>
      <c r="H26" s="10">
        <f t="shared" si="5"/>
        <v>14109</v>
      </c>
      <c r="I26" s="61" t="s">
        <v>133</v>
      </c>
      <c r="J26" s="62" t="s">
        <v>134</v>
      </c>
      <c r="K26" s="61" t="s">
        <v>135</v>
      </c>
      <c r="L26" s="61" t="s">
        <v>136</v>
      </c>
      <c r="M26" s="62" t="s">
        <v>72</v>
      </c>
      <c r="N26" s="62" t="s">
        <v>85</v>
      </c>
      <c r="O26" s="63" t="s">
        <v>86</v>
      </c>
      <c r="P26" s="64" t="s">
        <v>105</v>
      </c>
    </row>
    <row r="27" spans="1:16" ht="12.75" customHeight="1" thickBot="1" x14ac:dyDescent="0.25">
      <c r="A27" s="10" t="str">
        <f t="shared" si="0"/>
        <v>IBVS 5992 </v>
      </c>
      <c r="B27" s="3" t="str">
        <f t="shared" si="1"/>
        <v>I</v>
      </c>
      <c r="C27" s="10">
        <f t="shared" si="2"/>
        <v>55741.761500000001</v>
      </c>
      <c r="D27" s="12" t="str">
        <f t="shared" si="3"/>
        <v>vis</v>
      </c>
      <c r="E27" s="60">
        <f>VLOOKUP(C27,Ative!C$21:E$973,3,FALSE)</f>
        <v>14224.996242478108</v>
      </c>
      <c r="F27" s="3" t="s">
        <v>67</v>
      </c>
      <c r="G27" s="12" t="str">
        <f t="shared" si="4"/>
        <v>55741.7615</v>
      </c>
      <c r="H27" s="10">
        <f t="shared" si="5"/>
        <v>14110</v>
      </c>
      <c r="I27" s="61" t="s">
        <v>137</v>
      </c>
      <c r="J27" s="62" t="s">
        <v>138</v>
      </c>
      <c r="K27" s="61" t="s">
        <v>139</v>
      </c>
      <c r="L27" s="61" t="s">
        <v>140</v>
      </c>
      <c r="M27" s="62" t="s">
        <v>72</v>
      </c>
      <c r="N27" s="62" t="s">
        <v>67</v>
      </c>
      <c r="O27" s="63" t="s">
        <v>141</v>
      </c>
      <c r="P27" s="64" t="s">
        <v>142</v>
      </c>
    </row>
    <row r="28" spans="1:16" ht="12.75" customHeight="1" thickBot="1" x14ac:dyDescent="0.25">
      <c r="A28" s="10" t="str">
        <f t="shared" si="0"/>
        <v>IBVS 5992 </v>
      </c>
      <c r="B28" s="3" t="str">
        <f t="shared" si="1"/>
        <v>II</v>
      </c>
      <c r="C28" s="10">
        <f t="shared" si="2"/>
        <v>55741.873500000002</v>
      </c>
      <c r="D28" s="12" t="str">
        <f t="shared" si="3"/>
        <v>vis</v>
      </c>
      <c r="E28" s="60">
        <f>VLOOKUP(C28,Ative!C$21:E$973,3,FALSE)</f>
        <v>14225.487737313577</v>
      </c>
      <c r="F28" s="3" t="s">
        <v>67</v>
      </c>
      <c r="G28" s="12" t="str">
        <f t="shared" si="4"/>
        <v>55741.8735</v>
      </c>
      <c r="H28" s="10">
        <f t="shared" si="5"/>
        <v>14110.5</v>
      </c>
      <c r="I28" s="61" t="s">
        <v>143</v>
      </c>
      <c r="J28" s="62" t="s">
        <v>144</v>
      </c>
      <c r="K28" s="61" t="s">
        <v>145</v>
      </c>
      <c r="L28" s="61" t="s">
        <v>146</v>
      </c>
      <c r="M28" s="62" t="s">
        <v>72</v>
      </c>
      <c r="N28" s="62" t="s">
        <v>67</v>
      </c>
      <c r="O28" s="63" t="s">
        <v>141</v>
      </c>
      <c r="P28" s="64" t="s">
        <v>142</v>
      </c>
    </row>
    <row r="29" spans="1:16" x14ac:dyDescent="0.2">
      <c r="B29" s="3"/>
      <c r="E29" s="60"/>
      <c r="F29" s="3"/>
    </row>
    <row r="30" spans="1:16" x14ac:dyDescent="0.2">
      <c r="B30" s="3"/>
      <c r="E30" s="60"/>
      <c r="F30" s="3"/>
    </row>
    <row r="31" spans="1:16" x14ac:dyDescent="0.2">
      <c r="B31" s="3"/>
      <c r="E31" s="60"/>
      <c r="F31" s="3"/>
    </row>
    <row r="32" spans="1:16" x14ac:dyDescent="0.2">
      <c r="B32" s="3"/>
      <c r="E32" s="60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</sheetData>
  <phoneticPr fontId="8" type="noConversion"/>
  <hyperlinks>
    <hyperlink ref="P11" r:id="rId1" display="http://www.konkoly.hu/cgi-bin/IBVS?5781" xr:uid="{00000000-0004-0000-0100-000000000000}"/>
    <hyperlink ref="P12" r:id="rId2" display="http://www.konkoly.hu/cgi-bin/IBVS?5781" xr:uid="{00000000-0004-0000-0100-000001000000}"/>
    <hyperlink ref="P13" r:id="rId3" display="http://www.konkoly.hu/cgi-bin/IBVS?5781" xr:uid="{00000000-0004-0000-0100-000002000000}"/>
    <hyperlink ref="P14" r:id="rId4" display="http://www.bav-astro.de/sfs/BAVM_link.php?BAVMnr=209" xr:uid="{00000000-0004-0000-0100-000003000000}"/>
    <hyperlink ref="P15" r:id="rId5" display="http://www.bav-astro.de/sfs/BAVM_link.php?BAVMnr=209" xr:uid="{00000000-0004-0000-0100-000004000000}"/>
    <hyperlink ref="P16" r:id="rId6" display="http://www.konkoly.hu/cgi-bin/IBVS?5920" xr:uid="{00000000-0004-0000-0100-000005000000}"/>
    <hyperlink ref="P17" r:id="rId7" display="http://www.konkoly.hu/cgi-bin/IBVS?5920" xr:uid="{00000000-0004-0000-0100-000006000000}"/>
    <hyperlink ref="P18" r:id="rId8" display="http://www.bav-astro.de/sfs/BAVM_link.php?BAVMnr=220" xr:uid="{00000000-0004-0000-0100-000007000000}"/>
    <hyperlink ref="P19" r:id="rId9" display="http://www.bav-astro.de/sfs/BAVM_link.php?BAVMnr=220" xr:uid="{00000000-0004-0000-0100-000008000000}"/>
    <hyperlink ref="P20" r:id="rId10" display="http://www.bav-astro.de/sfs/BAVM_link.php?BAVMnr=220" xr:uid="{00000000-0004-0000-0100-000009000000}"/>
    <hyperlink ref="P21" r:id="rId11" display="http://www.bav-astro.de/sfs/BAVM_link.php?BAVMnr=220" xr:uid="{00000000-0004-0000-0100-00000A000000}"/>
    <hyperlink ref="P22" r:id="rId12" display="http://www.bav-astro.de/sfs/BAVM_link.php?BAVMnr=220" xr:uid="{00000000-0004-0000-0100-00000B000000}"/>
    <hyperlink ref="P23" r:id="rId13" display="http://www.bav-astro.de/sfs/BAVM_link.php?BAVMnr=220" xr:uid="{00000000-0004-0000-0100-00000C000000}"/>
    <hyperlink ref="P24" r:id="rId14" display="http://www.bav-astro.de/sfs/BAVM_link.php?BAVMnr=220" xr:uid="{00000000-0004-0000-0100-00000D000000}"/>
    <hyperlink ref="P25" r:id="rId15" display="http://www.bav-astro.de/sfs/BAVM_link.php?BAVMnr=220" xr:uid="{00000000-0004-0000-0100-00000E000000}"/>
    <hyperlink ref="P26" r:id="rId16" display="http://www.bav-astro.de/sfs/BAVM_link.php?BAVMnr=220" xr:uid="{00000000-0004-0000-0100-00000F000000}"/>
    <hyperlink ref="P27" r:id="rId17" display="http://www.konkoly.hu/cgi-bin/IBVS?5992" xr:uid="{00000000-0004-0000-0100-000010000000}"/>
    <hyperlink ref="P28" r:id="rId18" display="http://www.konkoly.hu/cgi-bin/IBVS?5992" xr:uid="{00000000-0004-0000-0100-00001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2024-02-14T05:41:24Z</dcterms:modified>
</cp:coreProperties>
</file>