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27DB7C-478E-4C0D-A503-57EF3A8C417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31" i="1"/>
  <c r="Q32" i="1"/>
  <c r="Q38" i="1"/>
  <c r="G18" i="2"/>
  <c r="C18" i="2"/>
  <c r="G17" i="2"/>
  <c r="C17" i="2"/>
  <c r="G16" i="2"/>
  <c r="C16" i="2"/>
  <c r="G30" i="2"/>
  <c r="C30" i="2"/>
  <c r="G15" i="2"/>
  <c r="C15" i="2"/>
  <c r="G14" i="2"/>
  <c r="C14" i="2"/>
  <c r="G13" i="2"/>
  <c r="C13" i="2"/>
  <c r="G12" i="2"/>
  <c r="C12" i="2"/>
  <c r="G11" i="2"/>
  <c r="C11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H18" i="2"/>
  <c r="B18" i="2"/>
  <c r="D18" i="2"/>
  <c r="A18" i="2"/>
  <c r="H17" i="2"/>
  <c r="B17" i="2"/>
  <c r="D17" i="2"/>
  <c r="A17" i="2"/>
  <c r="H16" i="2"/>
  <c r="B16" i="2"/>
  <c r="D16" i="2"/>
  <c r="A16" i="2"/>
  <c r="H30" i="2"/>
  <c r="B30" i="2"/>
  <c r="D30" i="2"/>
  <c r="A30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C7" i="1"/>
  <c r="E22" i="1"/>
  <c r="F22" i="1"/>
  <c r="C8" i="1"/>
  <c r="G11" i="1"/>
  <c r="F11" i="1"/>
  <c r="Q39" i="1"/>
  <c r="Q41" i="1"/>
  <c r="Q40" i="1"/>
  <c r="E14" i="1"/>
  <c r="C17" i="1"/>
  <c r="Q33" i="1"/>
  <c r="Q34" i="1"/>
  <c r="Q35" i="1"/>
  <c r="Q36" i="1"/>
  <c r="Q37" i="1"/>
  <c r="Q21" i="1"/>
  <c r="E25" i="2"/>
  <c r="E26" i="2"/>
  <c r="E14" i="2"/>
  <c r="E29" i="2"/>
  <c r="E23" i="2"/>
  <c r="E24" i="2"/>
  <c r="E39" i="1"/>
  <c r="F39" i="1"/>
  <c r="G39" i="1"/>
  <c r="I39" i="1"/>
  <c r="E32" i="1"/>
  <c r="F32" i="1"/>
  <c r="G26" i="1"/>
  <c r="J26" i="1"/>
  <c r="E24" i="1"/>
  <c r="F24" i="1"/>
  <c r="G24" i="1"/>
  <c r="J24" i="1"/>
  <c r="E35" i="1"/>
  <c r="F35" i="1"/>
  <c r="E29" i="1"/>
  <c r="F29" i="1"/>
  <c r="E41" i="1"/>
  <c r="F41" i="1"/>
  <c r="G41" i="1"/>
  <c r="I41" i="1"/>
  <c r="G34" i="1"/>
  <c r="I34" i="1"/>
  <c r="E21" i="1"/>
  <c r="F21" i="1"/>
  <c r="G21" i="1"/>
  <c r="G28" i="1"/>
  <c r="J28" i="1"/>
  <c r="E26" i="1"/>
  <c r="F26" i="1"/>
  <c r="G40" i="1"/>
  <c r="I40" i="1"/>
  <c r="E37" i="1"/>
  <c r="F37" i="1"/>
  <c r="G37" i="1"/>
  <c r="I37" i="1"/>
  <c r="E31" i="1"/>
  <c r="F31" i="1"/>
  <c r="G31" i="1"/>
  <c r="J31" i="1"/>
  <c r="G25" i="1"/>
  <c r="J25" i="1"/>
  <c r="E23" i="1"/>
  <c r="F23" i="1"/>
  <c r="G23" i="1"/>
  <c r="J23" i="1"/>
  <c r="E34" i="1"/>
  <c r="F34" i="1"/>
  <c r="E28" i="1"/>
  <c r="F28" i="1"/>
  <c r="E40" i="1"/>
  <c r="F40" i="1"/>
  <c r="G33" i="1"/>
  <c r="I33" i="1"/>
  <c r="E38" i="1"/>
  <c r="F38" i="1"/>
  <c r="G38" i="1"/>
  <c r="J38" i="1"/>
  <c r="E25" i="1"/>
  <c r="F25" i="1"/>
  <c r="G22" i="1"/>
  <c r="J22" i="1"/>
  <c r="E36" i="1"/>
  <c r="F36" i="1"/>
  <c r="G36" i="1"/>
  <c r="I36" i="1"/>
  <c r="G32" i="1"/>
  <c r="J32" i="1"/>
  <c r="E30" i="1"/>
  <c r="F30" i="1"/>
  <c r="G30" i="1"/>
  <c r="J30" i="1"/>
  <c r="G35" i="1"/>
  <c r="I35" i="1"/>
  <c r="E33" i="1"/>
  <c r="F33" i="1"/>
  <c r="G29" i="1"/>
  <c r="J29" i="1"/>
  <c r="E27" i="1"/>
  <c r="F27" i="1"/>
  <c r="G27" i="1"/>
  <c r="J27" i="1"/>
  <c r="H21" i="1"/>
  <c r="E18" i="2"/>
  <c r="E16" i="2"/>
  <c r="E11" i="2"/>
  <c r="E28" i="2"/>
  <c r="E12" i="2"/>
  <c r="E15" i="2"/>
  <c r="E22" i="2"/>
  <c r="E27" i="2"/>
  <c r="E30" i="2"/>
  <c r="E13" i="2"/>
  <c r="E17" i="2"/>
  <c r="E20" i="2"/>
  <c r="E21" i="2"/>
  <c r="C12" i="1"/>
  <c r="C11" i="1"/>
  <c r="O24" i="1" l="1"/>
  <c r="O25" i="1"/>
  <c r="O21" i="1"/>
  <c r="O34" i="1"/>
  <c r="O39" i="1"/>
  <c r="O32" i="1"/>
  <c r="O38" i="1"/>
  <c r="O26" i="1"/>
  <c r="C15" i="1"/>
  <c r="E16" i="1" s="1"/>
  <c r="O31" i="1"/>
  <c r="O27" i="1"/>
  <c r="O40" i="1"/>
  <c r="O35" i="1"/>
  <c r="O37" i="1"/>
  <c r="O28" i="1"/>
  <c r="O33" i="1"/>
  <c r="O23" i="1"/>
  <c r="O30" i="1"/>
  <c r="O41" i="1"/>
  <c r="O29" i="1"/>
  <c r="O36" i="1"/>
  <c r="O22" i="1"/>
  <c r="C16" i="1"/>
  <c r="D18" i="1" s="1"/>
  <c r="E15" i="1"/>
  <c r="E17" i="1" l="1"/>
  <c r="C18" i="1"/>
</calcChain>
</file>

<file path=xl/sharedStrings.xml><?xml version="1.0" encoding="utf-8"?>
<sst xmlns="http://schemas.openxmlformats.org/spreadsheetml/2006/main" count="255" uniqueCount="138">
  <si>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</si>
  <si>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</si>
  <si>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</si>
  <si>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</si>
  <si>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</si>
  <si>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</si>
  <si>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</si>
  <si>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</si>
  <si>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</si>
  <si>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</si>
  <si>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</si>
  <si>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</si>
  <si>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</si>
  <si>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</si>
  <si>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</si>
  <si>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</si>
  <si>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</si>
  <si>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</si>
  <si>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</si>
  <si>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</si>
  <si>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</si>
  <si>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</si>
  <si>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</si>
  <si>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</si>
  <si>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</si>
  <si>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</si>
  <si>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</si>
  <si>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</si>
  <si>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</si>
  <si>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Bull.91</t>
  </si>
  <si>
    <t>B</t>
  </si>
  <si>
    <t>BBSAG Bull.95</t>
  </si>
  <si>
    <t>BBSAG Bull.103</t>
  </si>
  <si>
    <t>BBSAG Bull.114</t>
  </si>
  <si>
    <t>BBSAG Bull.117</t>
  </si>
  <si>
    <t>BBSAG</t>
  </si>
  <si>
    <t># of data points:</t>
  </si>
  <si>
    <t>AL Hya / gsc 0230-0016</t>
  </si>
  <si>
    <t>IBVS 5438</t>
  </si>
  <si>
    <t>I</t>
  </si>
  <si>
    <t>E/SD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</si>
  <si>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</si>
  <si>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</si>
  <si>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</si>
  <si>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</si>
  <si>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</si>
  <si>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</si>
  <si>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</si>
  <si>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</si>
  <si>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</si>
  <si>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IBVS 5992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</si>
  <si>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</si>
  <si>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</si>
  <si>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</si>
  <si>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</si>
  <si>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</si>
  <si>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</si>
  <si>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</si>
  <si>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</si>
  <si>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</si>
  <si>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</si>
  <si>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</si>
  <si>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</si>
  <si>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</si>
  <si>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2428544.92 </t>
  </si>
  <si>
    <t> 11.01.1937 10:04 </t>
  </si>
  <si>
    <t> 0.02 </t>
  </si>
  <si>
    <t> B.S.Whitney </t>
  </si>
  <si>
    <t> AJ 59.455 </t>
  </si>
  <si>
    <t>2428653.67 </t>
  </si>
  <si>
    <t> 30.04.1937 04:04 </t>
  </si>
  <si>
    <t> 0.06 </t>
  </si>
  <si>
    <t>2428866.98 </t>
  </si>
  <si>
    <t> 29.11.1937 11:31 </t>
  </si>
  <si>
    <t> -0.02 </t>
  </si>
  <si>
    <t>2429172.96 </t>
  </si>
  <si>
    <t> 01.10.1938 11:02 </t>
  </si>
  <si>
    <t> -0.04 </t>
  </si>
  <si>
    <t>2429176.96 </t>
  </si>
  <si>
    <t> 05.10.1938 11:02 </t>
  </si>
  <si>
    <t> -0.07 </t>
  </si>
  <si>
    <t>2430493.67 </t>
  </si>
  <si>
    <t> 14.05.1942 04:04 </t>
  </si>
  <si>
    <t> 0.04 </t>
  </si>
  <si>
    <t>2431552.60 </t>
  </si>
  <si>
    <t> 07.04.1945 02:24 </t>
  </si>
  <si>
    <t> 0.05 </t>
  </si>
  <si>
    <t>2432224.89 </t>
  </si>
  <si>
    <t> 08.02.1947 09:21 </t>
  </si>
  <si>
    <t> -0.05 </t>
  </si>
  <si>
    <t>2434459.58 </t>
  </si>
  <si>
    <t> 23.03.1953 01:55 </t>
  </si>
  <si>
    <t>2434483.66 </t>
  </si>
  <si>
    <t> 16.04.1953 03:50 </t>
  </si>
  <si>
    <t> -0.03 </t>
  </si>
  <si>
    <t>2434781.64 </t>
  </si>
  <si>
    <t> 08.02.1954 03:21 </t>
  </si>
  <si>
    <t> 0.00 </t>
  </si>
  <si>
    <t>2447565.456 </t>
  </si>
  <si>
    <t> 07.02.1989 22:56 </t>
  </si>
  <si>
    <t> 0.315 </t>
  </si>
  <si>
    <t>V </t>
  </si>
  <si>
    <t> K.Locher </t>
  </si>
  <si>
    <t> BBS 91 </t>
  </si>
  <si>
    <t>2448012.386 </t>
  </si>
  <si>
    <t> 30.04.1990 21:15 </t>
  </si>
  <si>
    <t> 0.326 </t>
  </si>
  <si>
    <t> BBS 95 </t>
  </si>
  <si>
    <t>2449075.346 </t>
  </si>
  <si>
    <t> 28.03.1993 20:18 </t>
  </si>
  <si>
    <t> 0.342 </t>
  </si>
  <si>
    <t> BBS 103 </t>
  </si>
  <si>
    <t>2450488.590 </t>
  </si>
  <si>
    <t> 09.02.1997 02:09 </t>
  </si>
  <si>
    <t> 0.355 </t>
  </si>
  <si>
    <t> BBS 114 </t>
  </si>
  <si>
    <t>2450923.426 </t>
  </si>
  <si>
    <t> 19.04.1998 22:13 </t>
  </si>
  <si>
    <t> 0.351 </t>
  </si>
  <si>
    <t> BBS 117 </t>
  </si>
  <si>
    <t>2452308.547 </t>
  </si>
  <si>
    <t> 03.02.2002 01:07 </t>
  </si>
  <si>
    <t> 0.424 </t>
  </si>
  <si>
    <t> BBS 127 </t>
  </si>
  <si>
    <t>2452618.598 </t>
  </si>
  <si>
    <t> 10.12.2002 02:21 </t>
  </si>
  <si>
    <t> 0.450 </t>
  </si>
  <si>
    <t> BBS 129 </t>
  </si>
  <si>
    <t>2453375.558 </t>
  </si>
  <si>
    <t> 05.01.2005 01:23 </t>
  </si>
  <si>
    <t> 0.466 </t>
  </si>
  <si>
    <t>OEJV 0003 </t>
  </si>
  <si>
    <t>2455577.9830 </t>
  </si>
  <si>
    <t> 16.01.2011 11:35 </t>
  </si>
  <si>
    <t> 0.5048 </t>
  </si>
  <si>
    <t>C </t>
  </si>
  <si>
    <t> R.Diethelm </t>
  </si>
  <si>
    <t>IBVS 5992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</si>
</sst>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Hya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0C-4234-9C95-829D38F4BA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2">
                  <c:v>0.31480000000010477</c:v>
                </c:pt>
                <c:pt idx="13">
                  <c:v>0.32549999999901047</c:v>
                </c:pt>
                <c:pt idx="14">
                  <c:v>0.34229999999661231</c:v>
                </c:pt>
                <c:pt idx="15">
                  <c:v>0.35499999999592546</c:v>
                </c:pt>
                <c:pt idx="16">
                  <c:v>0.35059999999793945</c:v>
                </c:pt>
                <c:pt idx="18">
                  <c:v>0.45029999999678694</c:v>
                </c:pt>
                <c:pt idx="19">
                  <c:v>0.4658999999955995</c:v>
                </c:pt>
                <c:pt idx="20">
                  <c:v>0.50480000000243308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C-4234-9C95-829D38F4BA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1.9999999996798579E-2</c:v>
                </c:pt>
                <c:pt idx="2">
                  <c:v>5.9899999996559927E-2</c:v>
                </c:pt>
                <c:pt idx="3">
                  <c:v>-2.4000000001251465E-2</c:v>
                </c:pt>
                <c:pt idx="4">
                  <c:v>-4.2800000002898742E-2</c:v>
                </c:pt>
                <c:pt idx="5">
                  <c:v>-6.9100000000617001E-2</c:v>
                </c:pt>
                <c:pt idx="6">
                  <c:v>4.079999999521533E-2</c:v>
                </c:pt>
                <c:pt idx="7">
                  <c:v>5.3899999998975545E-2</c:v>
                </c:pt>
                <c:pt idx="8">
                  <c:v>-4.8200000001088483E-2</c:v>
                </c:pt>
                <c:pt idx="9">
                  <c:v>4.529999999795109E-2</c:v>
                </c:pt>
                <c:pt idx="10">
                  <c:v>-3.2500000001164153E-2</c:v>
                </c:pt>
                <c:pt idx="11">
                  <c:v>1.2999999962630682E-3</c:v>
                </c:pt>
                <c:pt idx="17">
                  <c:v>0.42439999999623979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0C-4234-9C95-829D38F4BA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C-4234-9C95-829D38F4BA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0C-4234-9C95-829D38F4BA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C-4234-9C95-829D38F4BA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0C-4234-9C95-829D38F4BA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-4.0917918419622334E-2</c:v>
                </c:pt>
                <c:pt idx="1">
                  <c:v>-4.0917918419622334E-2</c:v>
                </c:pt>
                <c:pt idx="2">
                  <c:v>-3.8852513629887064E-2</c:v>
                </c:pt>
                <c:pt idx="3">
                  <c:v>-3.479820052411043E-2</c:v>
                </c:pt>
                <c:pt idx="4">
                  <c:v>-2.8984468523374128E-2</c:v>
                </c:pt>
                <c:pt idx="5">
                  <c:v>-2.8907972049680229E-2</c:v>
                </c:pt>
                <c:pt idx="6">
                  <c:v>-3.8936251517753331E-3</c:v>
                </c:pt>
                <c:pt idx="7">
                  <c:v>1.6224947429720048E-2</c:v>
                </c:pt>
                <c:pt idx="8">
                  <c:v>2.8999858536601142E-2</c:v>
                </c:pt>
                <c:pt idx="9">
                  <c:v>7.1455401436714958E-2</c:v>
                </c:pt>
                <c:pt idx="10">
                  <c:v>7.1914380278878351E-2</c:v>
                </c:pt>
                <c:pt idx="11">
                  <c:v>7.7575119332226855E-2</c:v>
                </c:pt>
                <c:pt idx="12">
                  <c:v>0.32045142331035548</c:v>
                </c:pt>
                <c:pt idx="13">
                  <c:v>0.3289425318903782</c:v>
                </c:pt>
                <c:pt idx="14">
                  <c:v>0.34913760094556751</c:v>
                </c:pt>
                <c:pt idx="15">
                  <c:v>0.37598786321212596</c:v>
                </c:pt>
                <c:pt idx="16">
                  <c:v>0.38424948237106704</c:v>
                </c:pt>
                <c:pt idx="17">
                  <c:v>0.4105642693217682</c:v>
                </c:pt>
                <c:pt idx="18">
                  <c:v>0.41645449779619842</c:v>
                </c:pt>
                <c:pt idx="19">
                  <c:v>0.43083583485065136</c:v>
                </c:pt>
                <c:pt idx="20">
                  <c:v>0.47267940596121405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C-4234-9C95-829D38F4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09232"/>
        <c:axId val="1"/>
      </c:scatterChart>
      <c:valAx>
        <c:axId val="592709232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0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Hya - O-C Diagr.</a:t>
            </a:r>
          </a:p>
        </c:rich>
      </c:tx>
      <c:layout>
        <c:manualLayout>
          <c:xMode val="edge"/>
          <c:yMode val="edge"/>
          <c:x val="0.3443298969072164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953316519776211"/>
          <c:w val="0.7814432989690721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8D-428C-8F17-E171C63590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2">
                  <c:v>0.31480000000010477</c:v>
                </c:pt>
                <c:pt idx="13">
                  <c:v>0.32549999999901047</c:v>
                </c:pt>
                <c:pt idx="14">
                  <c:v>0.34229999999661231</c:v>
                </c:pt>
                <c:pt idx="15">
                  <c:v>0.35499999999592546</c:v>
                </c:pt>
                <c:pt idx="16">
                  <c:v>0.35059999999793945</c:v>
                </c:pt>
                <c:pt idx="18">
                  <c:v>0.45029999999678694</c:v>
                </c:pt>
                <c:pt idx="19">
                  <c:v>0.4658999999955995</c:v>
                </c:pt>
                <c:pt idx="20">
                  <c:v>0.50480000000243308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8D-428C-8F17-E171C63590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1.9999999996798579E-2</c:v>
                </c:pt>
                <c:pt idx="2">
                  <c:v>5.9899999996559927E-2</c:v>
                </c:pt>
                <c:pt idx="3">
                  <c:v>-2.4000000001251465E-2</c:v>
                </c:pt>
                <c:pt idx="4">
                  <c:v>-4.2800000002898742E-2</c:v>
                </c:pt>
                <c:pt idx="5">
                  <c:v>-6.9100000000617001E-2</c:v>
                </c:pt>
                <c:pt idx="6">
                  <c:v>4.079999999521533E-2</c:v>
                </c:pt>
                <c:pt idx="7">
                  <c:v>5.3899999998975545E-2</c:v>
                </c:pt>
                <c:pt idx="8">
                  <c:v>-4.8200000001088483E-2</c:v>
                </c:pt>
                <c:pt idx="9">
                  <c:v>4.529999999795109E-2</c:v>
                </c:pt>
                <c:pt idx="10">
                  <c:v>-3.2500000001164153E-2</c:v>
                </c:pt>
                <c:pt idx="11">
                  <c:v>1.2999999962630682E-3</c:v>
                </c:pt>
                <c:pt idx="17">
                  <c:v>0.42439999999623979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8D-428C-8F17-E171C63590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8D-428C-8F17-E171C63590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8D-428C-8F17-E171C63590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8D-428C-8F17-E171C63590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4">
                    <c:v>0.02</c:v>
                  </c:pt>
                  <c:pt idx="15">
                    <c:v>8.9999999999999993E-3</c:v>
                  </c:pt>
                  <c:pt idx="16">
                    <c:v>8.0000000000000002E-3</c:v>
                  </c:pt>
                  <c:pt idx="17">
                    <c:v>0</c:v>
                  </c:pt>
                  <c:pt idx="18">
                    <c:v>5.0000000000000001E-3</c:v>
                  </c:pt>
                  <c:pt idx="19">
                    <c:v>6.0000000000000001E-3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8D-428C-8F17-E171C63590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80</c:v>
                </c:pt>
                <c:pt idx="4">
                  <c:v>156</c:v>
                </c:pt>
                <c:pt idx="5">
                  <c:v>157</c:v>
                </c:pt>
                <c:pt idx="6">
                  <c:v>484</c:v>
                </c:pt>
                <c:pt idx="7">
                  <c:v>747</c:v>
                </c:pt>
                <c:pt idx="8">
                  <c:v>914</c:v>
                </c:pt>
                <c:pt idx="9">
                  <c:v>1469</c:v>
                </c:pt>
                <c:pt idx="10">
                  <c:v>1475</c:v>
                </c:pt>
                <c:pt idx="11">
                  <c:v>1549</c:v>
                </c:pt>
                <c:pt idx="12">
                  <c:v>4724</c:v>
                </c:pt>
                <c:pt idx="13">
                  <c:v>4835</c:v>
                </c:pt>
                <c:pt idx="14">
                  <c:v>5099</c:v>
                </c:pt>
                <c:pt idx="15">
                  <c:v>5450</c:v>
                </c:pt>
                <c:pt idx="16">
                  <c:v>5558</c:v>
                </c:pt>
                <c:pt idx="17">
                  <c:v>5902</c:v>
                </c:pt>
                <c:pt idx="18">
                  <c:v>5979</c:v>
                </c:pt>
                <c:pt idx="19">
                  <c:v>6167</c:v>
                </c:pt>
                <c:pt idx="20">
                  <c:v>6714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-4.0917918419622334E-2</c:v>
                </c:pt>
                <c:pt idx="1">
                  <c:v>-4.0917918419622334E-2</c:v>
                </c:pt>
                <c:pt idx="2">
                  <c:v>-3.8852513629887064E-2</c:v>
                </c:pt>
                <c:pt idx="3">
                  <c:v>-3.479820052411043E-2</c:v>
                </c:pt>
                <c:pt idx="4">
                  <c:v>-2.8984468523374128E-2</c:v>
                </c:pt>
                <c:pt idx="5">
                  <c:v>-2.8907972049680229E-2</c:v>
                </c:pt>
                <c:pt idx="6">
                  <c:v>-3.8936251517753331E-3</c:v>
                </c:pt>
                <c:pt idx="7">
                  <c:v>1.6224947429720048E-2</c:v>
                </c:pt>
                <c:pt idx="8">
                  <c:v>2.8999858536601142E-2</c:v>
                </c:pt>
                <c:pt idx="9">
                  <c:v>7.1455401436714958E-2</c:v>
                </c:pt>
                <c:pt idx="10">
                  <c:v>7.1914380278878351E-2</c:v>
                </c:pt>
                <c:pt idx="11">
                  <c:v>7.7575119332226855E-2</c:v>
                </c:pt>
                <c:pt idx="12">
                  <c:v>0.32045142331035548</c:v>
                </c:pt>
                <c:pt idx="13">
                  <c:v>0.3289425318903782</c:v>
                </c:pt>
                <c:pt idx="14">
                  <c:v>0.34913760094556751</c:v>
                </c:pt>
                <c:pt idx="15">
                  <c:v>0.37598786321212596</c:v>
                </c:pt>
                <c:pt idx="16">
                  <c:v>0.38424948237106704</c:v>
                </c:pt>
                <c:pt idx="17">
                  <c:v>0.4105642693217682</c:v>
                </c:pt>
                <c:pt idx="18">
                  <c:v>0.41645449779619842</c:v>
                </c:pt>
                <c:pt idx="19">
                  <c:v>0.43083583485065136</c:v>
                </c:pt>
                <c:pt idx="20">
                  <c:v>0.47267940596121405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8D-428C-8F17-E171C635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834624"/>
        <c:axId val="1"/>
      </c:scatterChart>
      <c:valAx>
        <c:axId val="59183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83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237113402061855E-2"/>
          <c:y val="0.91900605882208652"/>
          <c:w val="0.950515463917525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0</xdr:rowOff>
    </xdr:from>
    <xdr:to>
      <xdr:col>17</xdr:col>
      <xdr:colOff>228599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7343C22-522C-D490-301F-9C1234409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428625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6964F0B-8792-5B8D-E21E-E6803DE9B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10" t="s">
        <v>40</v>
      </c>
    </row>
    <row r="4" spans="1:7" x14ac:dyDescent="0.2">
      <c r="A4" s="6" t="s">
        <v>0</v>
      </c>
      <c r="C4" s="3">
        <v>28544.9</v>
      </c>
      <c r="D4" s="4">
        <v>4.0263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28544.9</v>
      </c>
    </row>
    <row r="8" spans="1:7" x14ac:dyDescent="0.2">
      <c r="A8" t="s">
        <v>3</v>
      </c>
      <c r="C8">
        <f>+D4</f>
        <v>4.0263</v>
      </c>
    </row>
    <row r="9" spans="1:7" x14ac:dyDescent="0.2">
      <c r="A9" s="11" t="s">
        <v>41</v>
      </c>
      <c r="B9" s="12"/>
      <c r="C9" s="13">
        <v>-9.5</v>
      </c>
      <c r="D9" s="12" t="s">
        <v>42</v>
      </c>
      <c r="E9" s="12"/>
    </row>
    <row r="10" spans="1:7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7" x14ac:dyDescent="0.2">
      <c r="A11" s="12" t="s">
        <v>16</v>
      </c>
      <c r="B11" s="12"/>
      <c r="C11" s="26">
        <f ca="1">INTERCEPT(INDIRECT($G$11):G991,INDIRECT($F$11):F991)</f>
        <v>-4.0917918419622334E-2</v>
      </c>
      <c r="D11" s="14"/>
      <c r="E11" s="12"/>
      <c r="F11" s="27" t="str">
        <f>"F"&amp;E19</f>
        <v>F21</v>
      </c>
      <c r="G11" s="28" t="str">
        <f>"G"&amp;E19</f>
        <v>G21</v>
      </c>
    </row>
    <row r="12" spans="1:7" x14ac:dyDescent="0.2">
      <c r="A12" s="12" t="s">
        <v>17</v>
      </c>
      <c r="B12" s="12"/>
      <c r="C12" s="26">
        <f ca="1">SLOPE(INDIRECT($G$11):G991,INDIRECT($F$11):F991)</f>
        <v>7.649647369389877E-5</v>
      </c>
      <c r="D12" s="14"/>
      <c r="E12" s="12"/>
    </row>
    <row r="13" spans="1:7" x14ac:dyDescent="0.2">
      <c r="A13" s="12" t="s">
        <v>19</v>
      </c>
      <c r="B13" s="12"/>
      <c r="C13" s="14" t="s">
        <v>14</v>
      </c>
      <c r="D13" s="17" t="s">
        <v>47</v>
      </c>
      <c r="E13" s="13">
        <v>1</v>
      </c>
    </row>
    <row r="14" spans="1:7" x14ac:dyDescent="0.2">
      <c r="A14" s="12"/>
      <c r="B14" s="12"/>
      <c r="C14" s="12"/>
      <c r="D14" s="17" t="s">
        <v>43</v>
      </c>
      <c r="E14" s="18">
        <f ca="1">NOW()+15018.5+$C$9/24</f>
        <v>60355.719606828701</v>
      </c>
    </row>
    <row r="15" spans="1:7" x14ac:dyDescent="0.2">
      <c r="A15" s="15" t="s">
        <v>18</v>
      </c>
      <c r="B15" s="12"/>
      <c r="C15" s="16">
        <f ca="1">(C7+C11)+(C8+C12)*INT(MAX(F21:F3532))</f>
        <v>55577.950879405966</v>
      </c>
      <c r="D15" s="17" t="s">
        <v>48</v>
      </c>
      <c r="E15" s="18">
        <f ca="1">ROUND(2*(E14-$C$7)/$C$8,0)/2+E13</f>
        <v>7902</v>
      </c>
    </row>
    <row r="16" spans="1:7" x14ac:dyDescent="0.2">
      <c r="A16" s="19" t="s">
        <v>4</v>
      </c>
      <c r="B16" s="12"/>
      <c r="C16" s="20">
        <f ca="1">+C8+C12</f>
        <v>4.0263764964736941</v>
      </c>
      <c r="D16" s="17" t="s">
        <v>44</v>
      </c>
      <c r="E16" s="28">
        <f ca="1">ROUND(2*(E14-$C$15)/$C$16,0)/2+E13</f>
        <v>1187.5</v>
      </c>
    </row>
    <row r="17" spans="1:17" ht="13.5" thickBot="1" x14ac:dyDescent="0.25">
      <c r="A17" s="17" t="s">
        <v>36</v>
      </c>
      <c r="B17" s="12"/>
      <c r="C17" s="12">
        <f>COUNT(C21:C2190)</f>
        <v>21</v>
      </c>
      <c r="D17" s="17" t="s">
        <v>45</v>
      </c>
      <c r="E17" s="21">
        <f ca="1">+$C$15+$C$16*E16-15018.5-$C$9/24</f>
        <v>45341.168802301814</v>
      </c>
    </row>
    <row r="18" spans="1:17" x14ac:dyDescent="0.2">
      <c r="A18" s="19" t="s">
        <v>5</v>
      </c>
      <c r="B18" s="12"/>
      <c r="C18" s="22">
        <f ca="1">+C15</f>
        <v>55577.950879405966</v>
      </c>
      <c r="D18" s="23">
        <f ca="1">+C16</f>
        <v>4.0263764964736941</v>
      </c>
      <c r="E18" s="24" t="s">
        <v>46</v>
      </c>
    </row>
    <row r="19" spans="1:17" ht="13.5" thickTop="1" x14ac:dyDescent="0.2">
      <c r="A19" s="29" t="s">
        <v>49</v>
      </c>
      <c r="E19" s="30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35</v>
      </c>
      <c r="J20" s="8" t="s">
        <v>62</v>
      </c>
      <c r="K20" s="8" t="s">
        <v>54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25">
        <v>28544.9</v>
      </c>
      <c r="D21" s="25" t="s">
        <v>14</v>
      </c>
      <c r="E21">
        <f t="shared" ref="E21:E41" si="0">+(C21-C$7)/C$8</f>
        <v>0</v>
      </c>
      <c r="F21">
        <f t="shared" ref="F21:F41" si="1">ROUND(2*E21,0)/2</f>
        <v>0</v>
      </c>
      <c r="G21">
        <f t="shared" ref="G21:G41" si="2">+C21-(C$7+F21*C$8)</f>
        <v>0</v>
      </c>
      <c r="H21">
        <f>+G21</f>
        <v>0</v>
      </c>
      <c r="O21">
        <f t="shared" ref="O21:O41" ca="1" si="3">+C$11+C$12*$F21</f>
        <v>-4.0917918419622334E-2</v>
      </c>
      <c r="Q21" s="2">
        <f t="shared" ref="Q21:Q41" si="4">+C21-15018.5</f>
        <v>13526.400000000001</v>
      </c>
    </row>
    <row r="22" spans="1:17" x14ac:dyDescent="0.2">
      <c r="A22" s="46" t="s">
        <v>68</v>
      </c>
      <c r="B22" s="48" t="s">
        <v>39</v>
      </c>
      <c r="C22" s="47">
        <v>28544.92</v>
      </c>
      <c r="D22" s="47" t="s">
        <v>62</v>
      </c>
      <c r="E22">
        <f t="shared" si="0"/>
        <v>4.9673397404064725E-3</v>
      </c>
      <c r="F22">
        <f t="shared" si="1"/>
        <v>0</v>
      </c>
      <c r="G22">
        <f t="shared" si="2"/>
        <v>1.9999999996798579E-2</v>
      </c>
      <c r="J22">
        <f t="shared" ref="J22:J32" si="5">+G22</f>
        <v>1.9999999996798579E-2</v>
      </c>
      <c r="O22">
        <f t="shared" ca="1" si="3"/>
        <v>-4.0917918419622334E-2</v>
      </c>
      <c r="Q22" s="2">
        <f t="shared" si="4"/>
        <v>13526.419999999998</v>
      </c>
    </row>
    <row r="23" spans="1:17" x14ac:dyDescent="0.2">
      <c r="A23" s="46" t="s">
        <v>68</v>
      </c>
      <c r="B23" s="48" t="s">
        <v>39</v>
      </c>
      <c r="C23" s="47">
        <v>28653.67</v>
      </c>
      <c r="D23" s="47" t="s">
        <v>62</v>
      </c>
      <c r="E23">
        <f t="shared" si="0"/>
        <v>27.014877182524103</v>
      </c>
      <c r="F23">
        <f t="shared" si="1"/>
        <v>27</v>
      </c>
      <c r="G23">
        <f t="shared" si="2"/>
        <v>5.9899999996559927E-2</v>
      </c>
      <c r="J23">
        <f t="shared" si="5"/>
        <v>5.9899999996559927E-2</v>
      </c>
      <c r="O23">
        <f t="shared" ca="1" si="3"/>
        <v>-3.8852513629887064E-2</v>
      </c>
      <c r="Q23" s="2">
        <f t="shared" si="4"/>
        <v>13635.169999999998</v>
      </c>
    </row>
    <row r="24" spans="1:17" x14ac:dyDescent="0.2">
      <c r="A24" s="46" t="s">
        <v>68</v>
      </c>
      <c r="B24" s="48" t="s">
        <v>39</v>
      </c>
      <c r="C24" s="47">
        <v>28866.98</v>
      </c>
      <c r="D24" s="47" t="s">
        <v>62</v>
      </c>
      <c r="E24">
        <f t="shared" si="0"/>
        <v>79.994039192310083</v>
      </c>
      <c r="F24">
        <f t="shared" si="1"/>
        <v>80</v>
      </c>
      <c r="G24">
        <f t="shared" si="2"/>
        <v>-2.4000000001251465E-2</v>
      </c>
      <c r="J24">
        <f t="shared" si="5"/>
        <v>-2.4000000001251465E-2</v>
      </c>
      <c r="O24">
        <f t="shared" ca="1" si="3"/>
        <v>-3.479820052411043E-2</v>
      </c>
      <c r="Q24" s="2">
        <f t="shared" si="4"/>
        <v>13848.48</v>
      </c>
    </row>
    <row r="25" spans="1:17" x14ac:dyDescent="0.2">
      <c r="A25" s="46" t="s">
        <v>68</v>
      </c>
      <c r="B25" s="48" t="s">
        <v>39</v>
      </c>
      <c r="C25" s="47">
        <v>29172.959999999999</v>
      </c>
      <c r="D25" s="47" t="s">
        <v>62</v>
      </c>
      <c r="E25">
        <f t="shared" si="0"/>
        <v>155.98936989295325</v>
      </c>
      <c r="F25">
        <f t="shared" si="1"/>
        <v>156</v>
      </c>
      <c r="G25">
        <f t="shared" si="2"/>
        <v>-4.2800000002898742E-2</v>
      </c>
      <c r="J25">
        <f t="shared" si="5"/>
        <v>-4.2800000002898742E-2</v>
      </c>
      <c r="O25">
        <f t="shared" ca="1" si="3"/>
        <v>-2.8984468523374128E-2</v>
      </c>
      <c r="Q25" s="2">
        <f t="shared" si="4"/>
        <v>14154.46</v>
      </c>
    </row>
    <row r="26" spans="1:17" x14ac:dyDescent="0.2">
      <c r="A26" s="46" t="s">
        <v>68</v>
      </c>
      <c r="B26" s="48" t="s">
        <v>39</v>
      </c>
      <c r="C26" s="47">
        <v>29176.959999999999</v>
      </c>
      <c r="D26" s="47" t="s">
        <v>62</v>
      </c>
      <c r="E26">
        <f t="shared" si="0"/>
        <v>156.98283784119357</v>
      </c>
      <c r="F26">
        <f t="shared" si="1"/>
        <v>157</v>
      </c>
      <c r="G26">
        <f t="shared" si="2"/>
        <v>-6.9100000000617001E-2</v>
      </c>
      <c r="J26">
        <f t="shared" si="5"/>
        <v>-6.9100000000617001E-2</v>
      </c>
      <c r="O26">
        <f t="shared" ca="1" si="3"/>
        <v>-2.8907972049680229E-2</v>
      </c>
      <c r="Q26" s="2">
        <f t="shared" si="4"/>
        <v>14158.46</v>
      </c>
    </row>
    <row r="27" spans="1:17" x14ac:dyDescent="0.2">
      <c r="A27" s="46" t="s">
        <v>68</v>
      </c>
      <c r="B27" s="48" t="s">
        <v>39</v>
      </c>
      <c r="C27" s="47">
        <v>30493.67</v>
      </c>
      <c r="D27" s="47" t="s">
        <v>62</v>
      </c>
      <c r="E27">
        <f t="shared" si="0"/>
        <v>484.01013337307126</v>
      </c>
      <c r="F27">
        <f t="shared" si="1"/>
        <v>484</v>
      </c>
      <c r="G27">
        <f t="shared" si="2"/>
        <v>4.079999999521533E-2</v>
      </c>
      <c r="J27">
        <f t="shared" si="5"/>
        <v>4.079999999521533E-2</v>
      </c>
      <c r="O27">
        <f t="shared" ca="1" si="3"/>
        <v>-3.8936251517753331E-3</v>
      </c>
      <c r="Q27" s="2">
        <f t="shared" si="4"/>
        <v>15475.169999999998</v>
      </c>
    </row>
    <row r="28" spans="1:17" x14ac:dyDescent="0.2">
      <c r="A28" s="46" t="s">
        <v>68</v>
      </c>
      <c r="B28" s="48" t="s">
        <v>39</v>
      </c>
      <c r="C28" s="47">
        <v>31552.6</v>
      </c>
      <c r="D28" s="47" t="s">
        <v>62</v>
      </c>
      <c r="E28">
        <f t="shared" si="0"/>
        <v>747.01338698060181</v>
      </c>
      <c r="F28">
        <f t="shared" si="1"/>
        <v>747</v>
      </c>
      <c r="G28">
        <f t="shared" si="2"/>
        <v>5.3899999998975545E-2</v>
      </c>
      <c r="J28">
        <f t="shared" si="5"/>
        <v>5.3899999998975545E-2</v>
      </c>
      <c r="O28">
        <f t="shared" ca="1" si="3"/>
        <v>1.6224947429720048E-2</v>
      </c>
      <c r="Q28" s="2">
        <f t="shared" si="4"/>
        <v>16534.099999999999</v>
      </c>
    </row>
    <row r="29" spans="1:17" x14ac:dyDescent="0.2">
      <c r="A29" s="46" t="s">
        <v>68</v>
      </c>
      <c r="B29" s="48" t="s">
        <v>39</v>
      </c>
      <c r="C29" s="47">
        <v>32224.89</v>
      </c>
      <c r="D29" s="47" t="s">
        <v>62</v>
      </c>
      <c r="E29">
        <f t="shared" si="0"/>
        <v>913.98802871122325</v>
      </c>
      <c r="F29">
        <f t="shared" si="1"/>
        <v>914</v>
      </c>
      <c r="G29">
        <f t="shared" si="2"/>
        <v>-4.8200000001088483E-2</v>
      </c>
      <c r="J29">
        <f t="shared" si="5"/>
        <v>-4.8200000001088483E-2</v>
      </c>
      <c r="O29">
        <f t="shared" ca="1" si="3"/>
        <v>2.8999858536601142E-2</v>
      </c>
      <c r="Q29" s="2">
        <f t="shared" si="4"/>
        <v>17206.39</v>
      </c>
    </row>
    <row r="30" spans="1:17" x14ac:dyDescent="0.2">
      <c r="A30" s="46" t="s">
        <v>68</v>
      </c>
      <c r="B30" s="48" t="s">
        <v>39</v>
      </c>
      <c r="C30" s="47">
        <v>34459.58</v>
      </c>
      <c r="D30" s="47" t="s">
        <v>62</v>
      </c>
      <c r="E30">
        <f t="shared" si="0"/>
        <v>1469.011251024514</v>
      </c>
      <c r="F30">
        <f t="shared" si="1"/>
        <v>1469</v>
      </c>
      <c r="G30">
        <f t="shared" si="2"/>
        <v>4.529999999795109E-2</v>
      </c>
      <c r="J30">
        <f t="shared" si="5"/>
        <v>4.529999999795109E-2</v>
      </c>
      <c r="O30">
        <f t="shared" ca="1" si="3"/>
        <v>7.1455401436714958E-2</v>
      </c>
      <c r="Q30" s="2">
        <f t="shared" si="4"/>
        <v>19441.080000000002</v>
      </c>
    </row>
    <row r="31" spans="1:17" x14ac:dyDescent="0.2">
      <c r="A31" s="46" t="s">
        <v>68</v>
      </c>
      <c r="B31" s="48" t="s">
        <v>39</v>
      </c>
      <c r="C31" s="47">
        <v>34483.660000000003</v>
      </c>
      <c r="D31" s="47" t="s">
        <v>62</v>
      </c>
      <c r="E31">
        <f t="shared" si="0"/>
        <v>1474.9919280729212</v>
      </c>
      <c r="F31">
        <f t="shared" si="1"/>
        <v>1475</v>
      </c>
      <c r="G31">
        <f t="shared" si="2"/>
        <v>-3.2500000001164153E-2</v>
      </c>
      <c r="J31">
        <f t="shared" si="5"/>
        <v>-3.2500000001164153E-2</v>
      </c>
      <c r="O31">
        <f t="shared" ca="1" si="3"/>
        <v>7.1914380278878351E-2</v>
      </c>
      <c r="Q31" s="2">
        <f t="shared" si="4"/>
        <v>19465.160000000003</v>
      </c>
    </row>
    <row r="32" spans="1:17" x14ac:dyDescent="0.2">
      <c r="A32" s="46" t="s">
        <v>68</v>
      </c>
      <c r="B32" s="48" t="s">
        <v>39</v>
      </c>
      <c r="C32" s="47">
        <v>34781.64</v>
      </c>
      <c r="D32" s="47" t="s">
        <v>62</v>
      </c>
      <c r="E32">
        <f t="shared" si="0"/>
        <v>1549.0003228770827</v>
      </c>
      <c r="F32">
        <f t="shared" si="1"/>
        <v>1549</v>
      </c>
      <c r="G32">
        <f t="shared" si="2"/>
        <v>1.2999999962630682E-3</v>
      </c>
      <c r="J32">
        <f t="shared" si="5"/>
        <v>1.2999999962630682E-3</v>
      </c>
      <c r="O32">
        <f t="shared" ca="1" si="3"/>
        <v>7.7575119332226855E-2</v>
      </c>
      <c r="Q32" s="2">
        <f t="shared" si="4"/>
        <v>19763.14</v>
      </c>
    </row>
    <row r="33" spans="1:31" x14ac:dyDescent="0.2">
      <c r="A33" t="s">
        <v>29</v>
      </c>
      <c r="C33" s="25">
        <v>47565.455999999998</v>
      </c>
      <c r="D33" s="25"/>
      <c r="E33">
        <f t="shared" si="0"/>
        <v>4724.0781859275257</v>
      </c>
      <c r="F33">
        <f t="shared" si="1"/>
        <v>4724</v>
      </c>
      <c r="G33">
        <f t="shared" si="2"/>
        <v>0.31480000000010477</v>
      </c>
      <c r="I33">
        <f>+G33</f>
        <v>0.31480000000010477</v>
      </c>
      <c r="O33">
        <f t="shared" ca="1" si="3"/>
        <v>0.32045142331035548</v>
      </c>
      <c r="Q33" s="2">
        <f t="shared" si="4"/>
        <v>32546.955999999998</v>
      </c>
      <c r="AA33">
        <v>9</v>
      </c>
      <c r="AC33" t="s">
        <v>28</v>
      </c>
      <c r="AE33" t="s">
        <v>30</v>
      </c>
    </row>
    <row r="34" spans="1:31" x14ac:dyDescent="0.2">
      <c r="A34" t="s">
        <v>31</v>
      </c>
      <c r="C34" s="25">
        <v>48012.385999999999</v>
      </c>
      <c r="D34" s="25"/>
      <c r="E34">
        <f t="shared" si="0"/>
        <v>4835.0808434542878</v>
      </c>
      <c r="F34">
        <f t="shared" si="1"/>
        <v>4835</v>
      </c>
      <c r="G34">
        <f t="shared" si="2"/>
        <v>0.32549999999901047</v>
      </c>
      <c r="I34">
        <f>+G34</f>
        <v>0.32549999999901047</v>
      </c>
      <c r="O34">
        <f t="shared" ca="1" si="3"/>
        <v>0.3289425318903782</v>
      </c>
      <c r="Q34" s="2">
        <f t="shared" si="4"/>
        <v>32993.885999999999</v>
      </c>
      <c r="AA34">
        <v>6</v>
      </c>
      <c r="AC34" t="s">
        <v>28</v>
      </c>
      <c r="AE34" t="s">
        <v>30</v>
      </c>
    </row>
    <row r="35" spans="1:31" x14ac:dyDescent="0.2">
      <c r="A35" t="s">
        <v>32</v>
      </c>
      <c r="C35" s="25">
        <v>49075.345999999998</v>
      </c>
      <c r="D35" s="25">
        <v>0.02</v>
      </c>
      <c r="E35">
        <f t="shared" si="0"/>
        <v>5099.0850160196696</v>
      </c>
      <c r="F35">
        <f t="shared" si="1"/>
        <v>5099</v>
      </c>
      <c r="G35">
        <f t="shared" si="2"/>
        <v>0.34229999999661231</v>
      </c>
      <c r="I35">
        <f>+G35</f>
        <v>0.34229999999661231</v>
      </c>
      <c r="O35">
        <f t="shared" ca="1" si="3"/>
        <v>0.34913760094556751</v>
      </c>
      <c r="Q35" s="2">
        <f t="shared" si="4"/>
        <v>34056.845999999998</v>
      </c>
      <c r="AA35">
        <v>6</v>
      </c>
      <c r="AC35" t="s">
        <v>28</v>
      </c>
      <c r="AE35" t="s">
        <v>30</v>
      </c>
    </row>
    <row r="36" spans="1:31" x14ac:dyDescent="0.2">
      <c r="A36" t="s">
        <v>33</v>
      </c>
      <c r="C36" s="25">
        <v>50488.59</v>
      </c>
      <c r="D36" s="25">
        <v>8.9999999999999993E-3</v>
      </c>
      <c r="E36">
        <f t="shared" si="0"/>
        <v>5450.0881702804054</v>
      </c>
      <c r="F36">
        <f t="shared" si="1"/>
        <v>5450</v>
      </c>
      <c r="G36">
        <f t="shared" si="2"/>
        <v>0.35499999999592546</v>
      </c>
      <c r="I36">
        <f>+G36</f>
        <v>0.35499999999592546</v>
      </c>
      <c r="O36">
        <f t="shared" ca="1" si="3"/>
        <v>0.37598786321212596</v>
      </c>
      <c r="Q36" s="2">
        <f t="shared" si="4"/>
        <v>35470.089999999997</v>
      </c>
      <c r="AA36">
        <v>8</v>
      </c>
      <c r="AC36" t="s">
        <v>28</v>
      </c>
      <c r="AE36" t="s">
        <v>30</v>
      </c>
    </row>
    <row r="37" spans="1:31" x14ac:dyDescent="0.2">
      <c r="A37" t="s">
        <v>34</v>
      </c>
      <c r="C37" s="25">
        <v>50923.425999999999</v>
      </c>
      <c r="D37" s="25">
        <v>8.0000000000000002E-3</v>
      </c>
      <c r="E37">
        <f t="shared" si="0"/>
        <v>5558.0870774656623</v>
      </c>
      <c r="F37">
        <f t="shared" si="1"/>
        <v>5558</v>
      </c>
      <c r="G37">
        <f t="shared" si="2"/>
        <v>0.35059999999793945</v>
      </c>
      <c r="I37">
        <f>+G37</f>
        <v>0.35059999999793945</v>
      </c>
      <c r="O37">
        <f t="shared" ca="1" si="3"/>
        <v>0.38424948237106704</v>
      </c>
      <c r="Q37" s="2">
        <f t="shared" si="4"/>
        <v>35904.925999999999</v>
      </c>
      <c r="AA37">
        <v>5</v>
      </c>
      <c r="AC37" t="s">
        <v>28</v>
      </c>
      <c r="AE37" t="s">
        <v>30</v>
      </c>
    </row>
    <row r="38" spans="1:31" x14ac:dyDescent="0.2">
      <c r="A38" s="46" t="s">
        <v>123</v>
      </c>
      <c r="B38" s="48" t="s">
        <v>39</v>
      </c>
      <c r="C38" s="47">
        <v>52308.546999999999</v>
      </c>
      <c r="D38" s="47" t="s">
        <v>62</v>
      </c>
      <c r="E38">
        <f t="shared" si="0"/>
        <v>5902.1054069493075</v>
      </c>
      <c r="F38">
        <f t="shared" si="1"/>
        <v>5902</v>
      </c>
      <c r="G38">
        <f t="shared" si="2"/>
        <v>0.42439999999623979</v>
      </c>
      <c r="J38">
        <f>+G38</f>
        <v>0.42439999999623979</v>
      </c>
      <c r="O38">
        <f t="shared" ca="1" si="3"/>
        <v>0.4105642693217682</v>
      </c>
      <c r="Q38" s="2">
        <f t="shared" si="4"/>
        <v>37290.046999999999</v>
      </c>
    </row>
    <row r="39" spans="1:31" x14ac:dyDescent="0.2">
      <c r="A39" s="31" t="s">
        <v>38</v>
      </c>
      <c r="B39" s="32" t="s">
        <v>39</v>
      </c>
      <c r="C39" s="31">
        <v>52618.597999999998</v>
      </c>
      <c r="D39" s="31">
        <v>5.0000000000000001E-3</v>
      </c>
      <c r="E39">
        <f t="shared" si="0"/>
        <v>5979.1118396542724</v>
      </c>
      <c r="F39">
        <f t="shared" si="1"/>
        <v>5979</v>
      </c>
      <c r="G39">
        <f t="shared" si="2"/>
        <v>0.45029999999678694</v>
      </c>
      <c r="I39">
        <f>+G39</f>
        <v>0.45029999999678694</v>
      </c>
      <c r="O39">
        <f t="shared" ca="1" si="3"/>
        <v>0.41645449779619842</v>
      </c>
      <c r="Q39" s="2">
        <f t="shared" si="4"/>
        <v>37600.097999999998</v>
      </c>
    </row>
    <row r="40" spans="1:31" x14ac:dyDescent="0.2">
      <c r="A40" s="31" t="s">
        <v>51</v>
      </c>
      <c r="B40" s="32" t="s">
        <v>39</v>
      </c>
      <c r="C40" s="31">
        <v>53375.557999999997</v>
      </c>
      <c r="D40" s="31">
        <v>6.0000000000000001E-3</v>
      </c>
      <c r="E40">
        <f t="shared" si="0"/>
        <v>6167.1157141792701</v>
      </c>
      <c r="F40">
        <f t="shared" si="1"/>
        <v>6167</v>
      </c>
      <c r="G40">
        <f t="shared" si="2"/>
        <v>0.4658999999955995</v>
      </c>
      <c r="I40">
        <f>+G40</f>
        <v>0.4658999999955995</v>
      </c>
      <c r="O40">
        <f t="shared" ca="1" si="3"/>
        <v>0.43083583485065136</v>
      </c>
      <c r="Q40" s="2">
        <f t="shared" si="4"/>
        <v>38357.057999999997</v>
      </c>
    </row>
    <row r="41" spans="1:31" x14ac:dyDescent="0.2">
      <c r="A41" s="31" t="s">
        <v>50</v>
      </c>
      <c r="B41" s="32" t="s">
        <v>39</v>
      </c>
      <c r="C41" s="31">
        <v>55577.983</v>
      </c>
      <c r="D41" s="31">
        <v>8.0000000000000004E-4</v>
      </c>
      <c r="E41">
        <f t="shared" si="0"/>
        <v>6714.1253756550677</v>
      </c>
      <c r="F41">
        <f t="shared" si="1"/>
        <v>6714</v>
      </c>
      <c r="G41">
        <f t="shared" si="2"/>
        <v>0.50480000000243308</v>
      </c>
      <c r="I41">
        <f>+G41</f>
        <v>0.50480000000243308</v>
      </c>
      <c r="O41">
        <f t="shared" ca="1" si="3"/>
        <v>0.47267940596121405</v>
      </c>
      <c r="Q41" s="2">
        <f t="shared" si="4"/>
        <v>40559.483</v>
      </c>
    </row>
    <row r="42" spans="1:31" x14ac:dyDescent="0.2">
      <c r="B42" s="14"/>
      <c r="C42" s="9"/>
      <c r="D42" s="9"/>
    </row>
    <row r="43" spans="1:31" x14ac:dyDescent="0.2">
      <c r="C43" s="9"/>
      <c r="D43" s="9"/>
    </row>
    <row r="44" spans="1:31" x14ac:dyDescent="0.2">
      <c r="C44" s="9"/>
      <c r="D44" s="9"/>
    </row>
    <row r="45" spans="1:31" x14ac:dyDescent="0.2">
      <c r="C45" s="9"/>
      <c r="D45" s="9"/>
    </row>
    <row r="46" spans="1:31" x14ac:dyDescent="0.2">
      <c r="C46" s="9"/>
      <c r="D46" s="9"/>
    </row>
    <row r="47" spans="1:31" x14ac:dyDescent="0.2">
      <c r="C47" s="9"/>
      <c r="D47" s="9"/>
    </row>
    <row r="48" spans="1:31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7"/>
  <sheetViews>
    <sheetView topLeftCell="A7" workbookViewId="0">
      <selection activeCell="A19" sqref="A19:D30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52</v>
      </c>
      <c r="I1" s="34" t="s">
        <v>53</v>
      </c>
      <c r="J1" s="35" t="s">
        <v>54</v>
      </c>
    </row>
    <row r="2" spans="1:16" x14ac:dyDescent="0.2">
      <c r="I2" s="36" t="s">
        <v>55</v>
      </c>
      <c r="J2" s="37" t="s">
        <v>56</v>
      </c>
    </row>
    <row r="3" spans="1:16" x14ac:dyDescent="0.2">
      <c r="A3" s="38" t="s">
        <v>57</v>
      </c>
      <c r="I3" s="36" t="s">
        <v>58</v>
      </c>
      <c r="J3" s="37" t="s">
        <v>59</v>
      </c>
    </row>
    <row r="4" spans="1:16" x14ac:dyDescent="0.2">
      <c r="I4" s="36" t="s">
        <v>60</v>
      </c>
      <c r="J4" s="37" t="s">
        <v>59</v>
      </c>
    </row>
    <row r="5" spans="1:16" ht="13.5" thickBot="1" x14ac:dyDescent="0.25">
      <c r="I5" s="39" t="s">
        <v>61</v>
      </c>
      <c r="J5" s="40" t="s">
        <v>62</v>
      </c>
    </row>
    <row r="10" spans="1:16" ht="13.5" thickBot="1" x14ac:dyDescent="0.25"/>
    <row r="11" spans="1:16" ht="12.75" customHeight="1" thickBot="1" x14ac:dyDescent="0.25">
      <c r="A11" s="9" t="str">
        <f t="shared" ref="A11:A30" si="0">P11</f>
        <v> BBS 91 </v>
      </c>
      <c r="B11" s="14" t="str">
        <f t="shared" ref="B11:B30" si="1">IF(H11=INT(H11),"I","II")</f>
        <v>I</v>
      </c>
      <c r="C11" s="9">
        <f t="shared" ref="C11:C30" si="2">1*G11</f>
        <v>47565.455999999998</v>
      </c>
      <c r="D11" s="12" t="str">
        <f t="shared" ref="D11:D30" si="3">VLOOKUP(F11,I$1:J$5,2,FALSE)</f>
        <v>vis</v>
      </c>
      <c r="E11" s="41">
        <f>VLOOKUP(C11,Active!C$21:E$973,3,FALSE)</f>
        <v>4724.0781859275257</v>
      </c>
      <c r="F11" s="14" t="s">
        <v>61</v>
      </c>
      <c r="G11" s="12" t="str">
        <f t="shared" ref="G11:G30" si="4">MID(I11,3,LEN(I11)-3)</f>
        <v>47565.456</v>
      </c>
      <c r="H11" s="9">
        <f t="shared" ref="H11:H30" si="5">1*K11</f>
        <v>4724</v>
      </c>
      <c r="I11" s="42" t="s">
        <v>98</v>
      </c>
      <c r="J11" s="43" t="s">
        <v>99</v>
      </c>
      <c r="K11" s="42">
        <v>4724</v>
      </c>
      <c r="L11" s="42" t="s">
        <v>100</v>
      </c>
      <c r="M11" s="43" t="s">
        <v>101</v>
      </c>
      <c r="N11" s="43"/>
      <c r="O11" s="44" t="s">
        <v>102</v>
      </c>
      <c r="P11" s="44" t="s">
        <v>103</v>
      </c>
    </row>
    <row r="12" spans="1:16" ht="12.75" customHeight="1" thickBot="1" x14ac:dyDescent="0.25">
      <c r="A12" s="9" t="str">
        <f t="shared" si="0"/>
        <v> BBS 95 </v>
      </c>
      <c r="B12" s="14" t="str">
        <f t="shared" si="1"/>
        <v>I</v>
      </c>
      <c r="C12" s="9">
        <f t="shared" si="2"/>
        <v>48012.385999999999</v>
      </c>
      <c r="D12" s="12" t="str">
        <f t="shared" si="3"/>
        <v>vis</v>
      </c>
      <c r="E12" s="41">
        <f>VLOOKUP(C12,Active!C$21:E$973,3,FALSE)</f>
        <v>4835.0808434542878</v>
      </c>
      <c r="F12" s="14" t="s">
        <v>61</v>
      </c>
      <c r="G12" s="12" t="str">
        <f t="shared" si="4"/>
        <v>48012.386</v>
      </c>
      <c r="H12" s="9">
        <f t="shared" si="5"/>
        <v>4835</v>
      </c>
      <c r="I12" s="42" t="s">
        <v>104</v>
      </c>
      <c r="J12" s="43" t="s">
        <v>105</v>
      </c>
      <c r="K12" s="42">
        <v>4835</v>
      </c>
      <c r="L12" s="42" t="s">
        <v>106</v>
      </c>
      <c r="M12" s="43" t="s">
        <v>101</v>
      </c>
      <c r="N12" s="43"/>
      <c r="O12" s="44" t="s">
        <v>102</v>
      </c>
      <c r="P12" s="44" t="s">
        <v>107</v>
      </c>
    </row>
    <row r="13" spans="1:16" ht="12.75" customHeight="1" thickBot="1" x14ac:dyDescent="0.25">
      <c r="A13" s="9" t="str">
        <f t="shared" si="0"/>
        <v> BBS 103 </v>
      </c>
      <c r="B13" s="14" t="str">
        <f t="shared" si="1"/>
        <v>I</v>
      </c>
      <c r="C13" s="9">
        <f t="shared" si="2"/>
        <v>49075.345999999998</v>
      </c>
      <c r="D13" s="12" t="str">
        <f t="shared" si="3"/>
        <v>vis</v>
      </c>
      <c r="E13" s="41">
        <f>VLOOKUP(C13,Active!C$21:E$973,3,FALSE)</f>
        <v>5099.0850160196696</v>
      </c>
      <c r="F13" s="14" t="s">
        <v>61</v>
      </c>
      <c r="G13" s="12" t="str">
        <f t="shared" si="4"/>
        <v>49075.346</v>
      </c>
      <c r="H13" s="9">
        <f t="shared" si="5"/>
        <v>5099</v>
      </c>
      <c r="I13" s="42" t="s">
        <v>108</v>
      </c>
      <c r="J13" s="43" t="s">
        <v>109</v>
      </c>
      <c r="K13" s="42">
        <v>5099</v>
      </c>
      <c r="L13" s="42" t="s">
        <v>110</v>
      </c>
      <c r="M13" s="43" t="s">
        <v>101</v>
      </c>
      <c r="N13" s="43"/>
      <c r="O13" s="44" t="s">
        <v>102</v>
      </c>
      <c r="P13" s="44" t="s">
        <v>111</v>
      </c>
    </row>
    <row r="14" spans="1:16" ht="12.75" customHeight="1" thickBot="1" x14ac:dyDescent="0.25">
      <c r="A14" s="9" t="str">
        <f t="shared" si="0"/>
        <v> BBS 114 </v>
      </c>
      <c r="B14" s="14" t="str">
        <f t="shared" si="1"/>
        <v>I</v>
      </c>
      <c r="C14" s="9">
        <f t="shared" si="2"/>
        <v>50488.59</v>
      </c>
      <c r="D14" s="12" t="str">
        <f t="shared" si="3"/>
        <v>vis</v>
      </c>
      <c r="E14" s="41">
        <f>VLOOKUP(C14,Active!C$21:E$973,3,FALSE)</f>
        <v>5450.0881702804054</v>
      </c>
      <c r="F14" s="14" t="s">
        <v>61</v>
      </c>
      <c r="G14" s="12" t="str">
        <f t="shared" si="4"/>
        <v>50488.590</v>
      </c>
      <c r="H14" s="9">
        <f t="shared" si="5"/>
        <v>5450</v>
      </c>
      <c r="I14" s="42" t="s">
        <v>112</v>
      </c>
      <c r="J14" s="43" t="s">
        <v>113</v>
      </c>
      <c r="K14" s="42">
        <v>5450</v>
      </c>
      <c r="L14" s="42" t="s">
        <v>114</v>
      </c>
      <c r="M14" s="43" t="s">
        <v>101</v>
      </c>
      <c r="N14" s="43"/>
      <c r="O14" s="44" t="s">
        <v>102</v>
      </c>
      <c r="P14" s="44" t="s">
        <v>115</v>
      </c>
    </row>
    <row r="15" spans="1:16" ht="12.75" customHeight="1" thickBot="1" x14ac:dyDescent="0.25">
      <c r="A15" s="9" t="str">
        <f t="shared" si="0"/>
        <v> BBS 117 </v>
      </c>
      <c r="B15" s="14" t="str">
        <f t="shared" si="1"/>
        <v>I</v>
      </c>
      <c r="C15" s="9">
        <f t="shared" si="2"/>
        <v>50923.425999999999</v>
      </c>
      <c r="D15" s="12" t="str">
        <f t="shared" si="3"/>
        <v>vis</v>
      </c>
      <c r="E15" s="41">
        <f>VLOOKUP(C15,Active!C$21:E$973,3,FALSE)</f>
        <v>5558.0870774656623</v>
      </c>
      <c r="F15" s="14" t="s">
        <v>61</v>
      </c>
      <c r="G15" s="12" t="str">
        <f t="shared" si="4"/>
        <v>50923.426</v>
      </c>
      <c r="H15" s="9">
        <f t="shared" si="5"/>
        <v>5558</v>
      </c>
      <c r="I15" s="42" t="s">
        <v>116</v>
      </c>
      <c r="J15" s="43" t="s">
        <v>117</v>
      </c>
      <c r="K15" s="42">
        <v>5558</v>
      </c>
      <c r="L15" s="42" t="s">
        <v>118</v>
      </c>
      <c r="M15" s="43" t="s">
        <v>101</v>
      </c>
      <c r="N15" s="43"/>
      <c r="O15" s="44" t="s">
        <v>102</v>
      </c>
      <c r="P15" s="44" t="s">
        <v>119</v>
      </c>
    </row>
    <row r="16" spans="1:16" ht="12.75" customHeight="1" thickBot="1" x14ac:dyDescent="0.25">
      <c r="A16" s="9" t="str">
        <f t="shared" si="0"/>
        <v> BBS 129 </v>
      </c>
      <c r="B16" s="14" t="str">
        <f t="shared" si="1"/>
        <v>I</v>
      </c>
      <c r="C16" s="9">
        <f t="shared" si="2"/>
        <v>52618.597999999998</v>
      </c>
      <c r="D16" s="12" t="str">
        <f t="shared" si="3"/>
        <v>vis</v>
      </c>
      <c r="E16" s="41">
        <f>VLOOKUP(C16,Active!C$21:E$973,3,FALSE)</f>
        <v>5979.1118396542724</v>
      </c>
      <c r="F16" s="14" t="s">
        <v>61</v>
      </c>
      <c r="G16" s="12" t="str">
        <f t="shared" si="4"/>
        <v>52618.598</v>
      </c>
      <c r="H16" s="9">
        <f t="shared" si="5"/>
        <v>5979</v>
      </c>
      <c r="I16" s="42" t="s">
        <v>124</v>
      </c>
      <c r="J16" s="43" t="s">
        <v>125</v>
      </c>
      <c r="K16" s="42">
        <v>5979</v>
      </c>
      <c r="L16" s="42" t="s">
        <v>126</v>
      </c>
      <c r="M16" s="43" t="s">
        <v>101</v>
      </c>
      <c r="N16" s="43"/>
      <c r="O16" s="44" t="s">
        <v>102</v>
      </c>
      <c r="P16" s="44" t="s">
        <v>127</v>
      </c>
    </row>
    <row r="17" spans="1:16" ht="12.75" customHeight="1" thickBot="1" x14ac:dyDescent="0.25">
      <c r="A17" s="9" t="str">
        <f t="shared" si="0"/>
        <v>OEJV 0003 </v>
      </c>
      <c r="B17" s="14" t="str">
        <f t="shared" si="1"/>
        <v>I</v>
      </c>
      <c r="C17" s="9">
        <f t="shared" si="2"/>
        <v>53375.557999999997</v>
      </c>
      <c r="D17" s="12" t="str">
        <f t="shared" si="3"/>
        <v>vis</v>
      </c>
      <c r="E17" s="41">
        <f>VLOOKUP(C17,Active!C$21:E$973,3,FALSE)</f>
        <v>6167.1157141792701</v>
      </c>
      <c r="F17" s="14" t="s">
        <v>61</v>
      </c>
      <c r="G17" s="12" t="str">
        <f t="shared" si="4"/>
        <v>53375.558</v>
      </c>
      <c r="H17" s="9">
        <f t="shared" si="5"/>
        <v>6167</v>
      </c>
      <c r="I17" s="42" t="s">
        <v>128</v>
      </c>
      <c r="J17" s="43" t="s">
        <v>129</v>
      </c>
      <c r="K17" s="42">
        <v>6167</v>
      </c>
      <c r="L17" s="42" t="s">
        <v>130</v>
      </c>
      <c r="M17" s="43" t="s">
        <v>101</v>
      </c>
      <c r="N17" s="43"/>
      <c r="O17" s="44" t="s">
        <v>102</v>
      </c>
      <c r="P17" s="45" t="s">
        <v>131</v>
      </c>
    </row>
    <row r="18" spans="1:16" ht="12.75" customHeight="1" thickBot="1" x14ac:dyDescent="0.25">
      <c r="A18" s="9" t="str">
        <f t="shared" si="0"/>
        <v>IBVS 5992 </v>
      </c>
      <c r="B18" s="14" t="str">
        <f t="shared" si="1"/>
        <v>I</v>
      </c>
      <c r="C18" s="9">
        <f t="shared" si="2"/>
        <v>55577.983</v>
      </c>
      <c r="D18" s="12" t="str">
        <f t="shared" si="3"/>
        <v>vis</v>
      </c>
      <c r="E18" s="41">
        <f>VLOOKUP(C18,Active!C$21:E$973,3,FALSE)</f>
        <v>6714.1253756550677</v>
      </c>
      <c r="F18" s="14" t="s">
        <v>61</v>
      </c>
      <c r="G18" s="12" t="str">
        <f t="shared" si="4"/>
        <v>55577.9830</v>
      </c>
      <c r="H18" s="9">
        <f t="shared" si="5"/>
        <v>6714</v>
      </c>
      <c r="I18" s="42" t="s">
        <v>132</v>
      </c>
      <c r="J18" s="43" t="s">
        <v>133</v>
      </c>
      <c r="K18" s="42">
        <v>6714</v>
      </c>
      <c r="L18" s="42" t="s">
        <v>134</v>
      </c>
      <c r="M18" s="43" t="s">
        <v>135</v>
      </c>
      <c r="N18" s="43" t="s">
        <v>61</v>
      </c>
      <c r="O18" s="44" t="s">
        <v>136</v>
      </c>
      <c r="P18" s="45" t="s">
        <v>137</v>
      </c>
    </row>
    <row r="19" spans="1:16" ht="12.75" customHeight="1" thickBot="1" x14ac:dyDescent="0.25">
      <c r="A19" s="9" t="str">
        <f t="shared" si="0"/>
        <v> AJ 59.455 </v>
      </c>
      <c r="B19" s="14" t="str">
        <f t="shared" si="1"/>
        <v>I</v>
      </c>
      <c r="C19" s="9">
        <f t="shared" si="2"/>
        <v>28544.92</v>
      </c>
      <c r="D19" s="12" t="str">
        <f t="shared" si="3"/>
        <v>vis</v>
      </c>
      <c r="E19" s="41">
        <f>VLOOKUP(C19,Active!C$21:E$973,3,FALSE)</f>
        <v>4.9673397404064725E-3</v>
      </c>
      <c r="F19" s="14" t="s">
        <v>61</v>
      </c>
      <c r="G19" s="12" t="str">
        <f t="shared" si="4"/>
        <v>28544.92</v>
      </c>
      <c r="H19" s="9">
        <f t="shared" si="5"/>
        <v>0</v>
      </c>
      <c r="I19" s="42" t="s">
        <v>64</v>
      </c>
      <c r="J19" s="43" t="s">
        <v>65</v>
      </c>
      <c r="K19" s="42">
        <v>0</v>
      </c>
      <c r="L19" s="42" t="s">
        <v>66</v>
      </c>
      <c r="M19" s="43" t="s">
        <v>63</v>
      </c>
      <c r="N19" s="43"/>
      <c r="O19" s="44" t="s">
        <v>67</v>
      </c>
      <c r="P19" s="44" t="s">
        <v>68</v>
      </c>
    </row>
    <row r="20" spans="1:16" ht="12.75" customHeight="1" thickBot="1" x14ac:dyDescent="0.25">
      <c r="A20" s="9" t="str">
        <f t="shared" si="0"/>
        <v> AJ 59.455 </v>
      </c>
      <c r="B20" s="14" t="str">
        <f t="shared" si="1"/>
        <v>I</v>
      </c>
      <c r="C20" s="9">
        <f t="shared" si="2"/>
        <v>28653.67</v>
      </c>
      <c r="D20" s="12" t="str">
        <f t="shared" si="3"/>
        <v>vis</v>
      </c>
      <c r="E20" s="41">
        <f>VLOOKUP(C20,Active!C$21:E$973,3,FALSE)</f>
        <v>27.014877182524103</v>
      </c>
      <c r="F20" s="14" t="s">
        <v>61</v>
      </c>
      <c r="G20" s="12" t="str">
        <f t="shared" si="4"/>
        <v>28653.67</v>
      </c>
      <c r="H20" s="9">
        <f t="shared" si="5"/>
        <v>27</v>
      </c>
      <c r="I20" s="42" t="s">
        <v>69</v>
      </c>
      <c r="J20" s="43" t="s">
        <v>70</v>
      </c>
      <c r="K20" s="42">
        <v>27</v>
      </c>
      <c r="L20" s="42" t="s">
        <v>71</v>
      </c>
      <c r="M20" s="43" t="s">
        <v>63</v>
      </c>
      <c r="N20" s="43"/>
      <c r="O20" s="44" t="s">
        <v>67</v>
      </c>
      <c r="P20" s="44" t="s">
        <v>68</v>
      </c>
    </row>
    <row r="21" spans="1:16" ht="12.75" customHeight="1" thickBot="1" x14ac:dyDescent="0.25">
      <c r="A21" s="9" t="str">
        <f t="shared" si="0"/>
        <v> AJ 59.455 </v>
      </c>
      <c r="B21" s="14" t="str">
        <f t="shared" si="1"/>
        <v>I</v>
      </c>
      <c r="C21" s="9">
        <f t="shared" si="2"/>
        <v>28866.98</v>
      </c>
      <c r="D21" s="12" t="str">
        <f t="shared" si="3"/>
        <v>vis</v>
      </c>
      <c r="E21" s="41">
        <f>VLOOKUP(C21,Active!C$21:E$973,3,FALSE)</f>
        <v>79.994039192310083</v>
      </c>
      <c r="F21" s="14" t="s">
        <v>61</v>
      </c>
      <c r="G21" s="12" t="str">
        <f t="shared" si="4"/>
        <v>28866.98</v>
      </c>
      <c r="H21" s="9">
        <f t="shared" si="5"/>
        <v>80</v>
      </c>
      <c r="I21" s="42" t="s">
        <v>72</v>
      </c>
      <c r="J21" s="43" t="s">
        <v>73</v>
      </c>
      <c r="K21" s="42">
        <v>80</v>
      </c>
      <c r="L21" s="42" t="s">
        <v>74</v>
      </c>
      <c r="M21" s="43" t="s">
        <v>63</v>
      </c>
      <c r="N21" s="43"/>
      <c r="O21" s="44" t="s">
        <v>67</v>
      </c>
      <c r="P21" s="44" t="s">
        <v>68</v>
      </c>
    </row>
    <row r="22" spans="1:16" ht="12.75" customHeight="1" thickBot="1" x14ac:dyDescent="0.25">
      <c r="A22" s="9" t="str">
        <f t="shared" si="0"/>
        <v> AJ 59.455 </v>
      </c>
      <c r="B22" s="14" t="str">
        <f t="shared" si="1"/>
        <v>I</v>
      </c>
      <c r="C22" s="9">
        <f t="shared" si="2"/>
        <v>29172.959999999999</v>
      </c>
      <c r="D22" s="12" t="str">
        <f t="shared" si="3"/>
        <v>vis</v>
      </c>
      <c r="E22" s="41">
        <f>VLOOKUP(C22,Active!C$21:E$973,3,FALSE)</f>
        <v>155.98936989295325</v>
      </c>
      <c r="F22" s="14" t="s">
        <v>61</v>
      </c>
      <c r="G22" s="12" t="str">
        <f t="shared" si="4"/>
        <v>29172.96</v>
      </c>
      <c r="H22" s="9">
        <f t="shared" si="5"/>
        <v>156</v>
      </c>
      <c r="I22" s="42" t="s">
        <v>75</v>
      </c>
      <c r="J22" s="43" t="s">
        <v>76</v>
      </c>
      <c r="K22" s="42">
        <v>156</v>
      </c>
      <c r="L22" s="42" t="s">
        <v>77</v>
      </c>
      <c r="M22" s="43" t="s">
        <v>63</v>
      </c>
      <c r="N22" s="43"/>
      <c r="O22" s="44" t="s">
        <v>67</v>
      </c>
      <c r="P22" s="44" t="s">
        <v>68</v>
      </c>
    </row>
    <row r="23" spans="1:16" ht="12.75" customHeight="1" thickBot="1" x14ac:dyDescent="0.25">
      <c r="A23" s="9" t="str">
        <f t="shared" si="0"/>
        <v> AJ 59.455 </v>
      </c>
      <c r="B23" s="14" t="str">
        <f t="shared" si="1"/>
        <v>I</v>
      </c>
      <c r="C23" s="9">
        <f t="shared" si="2"/>
        <v>29176.959999999999</v>
      </c>
      <c r="D23" s="12" t="str">
        <f t="shared" si="3"/>
        <v>vis</v>
      </c>
      <c r="E23" s="41">
        <f>VLOOKUP(C23,Active!C$21:E$973,3,FALSE)</f>
        <v>156.98283784119357</v>
      </c>
      <c r="F23" s="14" t="s">
        <v>61</v>
      </c>
      <c r="G23" s="12" t="str">
        <f t="shared" si="4"/>
        <v>29176.96</v>
      </c>
      <c r="H23" s="9">
        <f t="shared" si="5"/>
        <v>157</v>
      </c>
      <c r="I23" s="42" t="s">
        <v>78</v>
      </c>
      <c r="J23" s="43" t="s">
        <v>79</v>
      </c>
      <c r="K23" s="42">
        <v>157</v>
      </c>
      <c r="L23" s="42" t="s">
        <v>80</v>
      </c>
      <c r="M23" s="43" t="s">
        <v>63</v>
      </c>
      <c r="N23" s="43"/>
      <c r="O23" s="44" t="s">
        <v>67</v>
      </c>
      <c r="P23" s="44" t="s">
        <v>68</v>
      </c>
    </row>
    <row r="24" spans="1:16" ht="12.75" customHeight="1" thickBot="1" x14ac:dyDescent="0.25">
      <c r="A24" s="9" t="str">
        <f t="shared" si="0"/>
        <v> AJ 59.455 </v>
      </c>
      <c r="B24" s="14" t="str">
        <f t="shared" si="1"/>
        <v>I</v>
      </c>
      <c r="C24" s="9">
        <f t="shared" si="2"/>
        <v>30493.67</v>
      </c>
      <c r="D24" s="12" t="str">
        <f t="shared" si="3"/>
        <v>vis</v>
      </c>
      <c r="E24" s="41">
        <f>VLOOKUP(C24,Active!C$21:E$973,3,FALSE)</f>
        <v>484.01013337307126</v>
      </c>
      <c r="F24" s="14" t="s">
        <v>61</v>
      </c>
      <c r="G24" s="12" t="str">
        <f t="shared" si="4"/>
        <v>30493.67</v>
      </c>
      <c r="H24" s="9">
        <f t="shared" si="5"/>
        <v>484</v>
      </c>
      <c r="I24" s="42" t="s">
        <v>81</v>
      </c>
      <c r="J24" s="43" t="s">
        <v>82</v>
      </c>
      <c r="K24" s="42">
        <v>484</v>
      </c>
      <c r="L24" s="42" t="s">
        <v>83</v>
      </c>
      <c r="M24" s="43" t="s">
        <v>63</v>
      </c>
      <c r="N24" s="43"/>
      <c r="O24" s="44" t="s">
        <v>67</v>
      </c>
      <c r="P24" s="44" t="s">
        <v>68</v>
      </c>
    </row>
    <row r="25" spans="1:16" ht="12.75" customHeight="1" thickBot="1" x14ac:dyDescent="0.25">
      <c r="A25" s="9" t="str">
        <f t="shared" si="0"/>
        <v> AJ 59.455 </v>
      </c>
      <c r="B25" s="14" t="str">
        <f t="shared" si="1"/>
        <v>I</v>
      </c>
      <c r="C25" s="9">
        <f t="shared" si="2"/>
        <v>31552.6</v>
      </c>
      <c r="D25" s="12" t="str">
        <f t="shared" si="3"/>
        <v>vis</v>
      </c>
      <c r="E25" s="41">
        <f>VLOOKUP(C25,Active!C$21:E$973,3,FALSE)</f>
        <v>747.01338698060181</v>
      </c>
      <c r="F25" s="14" t="s">
        <v>61</v>
      </c>
      <c r="G25" s="12" t="str">
        <f t="shared" si="4"/>
        <v>31552.60</v>
      </c>
      <c r="H25" s="9">
        <f t="shared" si="5"/>
        <v>747</v>
      </c>
      <c r="I25" s="42" t="s">
        <v>84</v>
      </c>
      <c r="J25" s="43" t="s">
        <v>85</v>
      </c>
      <c r="K25" s="42">
        <v>747</v>
      </c>
      <c r="L25" s="42" t="s">
        <v>86</v>
      </c>
      <c r="M25" s="43" t="s">
        <v>63</v>
      </c>
      <c r="N25" s="43"/>
      <c r="O25" s="44" t="s">
        <v>67</v>
      </c>
      <c r="P25" s="44" t="s">
        <v>68</v>
      </c>
    </row>
    <row r="26" spans="1:16" ht="12.75" customHeight="1" thickBot="1" x14ac:dyDescent="0.25">
      <c r="A26" s="9" t="str">
        <f t="shared" si="0"/>
        <v> AJ 59.455 </v>
      </c>
      <c r="B26" s="14" t="str">
        <f t="shared" si="1"/>
        <v>I</v>
      </c>
      <c r="C26" s="9">
        <f t="shared" si="2"/>
        <v>32224.89</v>
      </c>
      <c r="D26" s="12" t="str">
        <f t="shared" si="3"/>
        <v>vis</v>
      </c>
      <c r="E26" s="41">
        <f>VLOOKUP(C26,Active!C$21:E$973,3,FALSE)</f>
        <v>913.98802871122325</v>
      </c>
      <c r="F26" s="14" t="s">
        <v>61</v>
      </c>
      <c r="G26" s="12" t="str">
        <f t="shared" si="4"/>
        <v>32224.89</v>
      </c>
      <c r="H26" s="9">
        <f t="shared" si="5"/>
        <v>914</v>
      </c>
      <c r="I26" s="42" t="s">
        <v>87</v>
      </c>
      <c r="J26" s="43" t="s">
        <v>88</v>
      </c>
      <c r="K26" s="42">
        <v>914</v>
      </c>
      <c r="L26" s="42" t="s">
        <v>89</v>
      </c>
      <c r="M26" s="43" t="s">
        <v>63</v>
      </c>
      <c r="N26" s="43"/>
      <c r="O26" s="44" t="s">
        <v>67</v>
      </c>
      <c r="P26" s="44" t="s">
        <v>68</v>
      </c>
    </row>
    <row r="27" spans="1:16" ht="12.75" customHeight="1" thickBot="1" x14ac:dyDescent="0.25">
      <c r="A27" s="9" t="str">
        <f t="shared" si="0"/>
        <v> AJ 59.455 </v>
      </c>
      <c r="B27" s="14" t="str">
        <f t="shared" si="1"/>
        <v>I</v>
      </c>
      <c r="C27" s="9">
        <f t="shared" si="2"/>
        <v>34459.58</v>
      </c>
      <c r="D27" s="12" t="str">
        <f t="shared" si="3"/>
        <v>vis</v>
      </c>
      <c r="E27" s="41">
        <f>VLOOKUP(C27,Active!C$21:E$973,3,FALSE)</f>
        <v>1469.011251024514</v>
      </c>
      <c r="F27" s="14" t="s">
        <v>61</v>
      </c>
      <c r="G27" s="12" t="str">
        <f t="shared" si="4"/>
        <v>34459.58</v>
      </c>
      <c r="H27" s="9">
        <f t="shared" si="5"/>
        <v>1469</v>
      </c>
      <c r="I27" s="42" t="s">
        <v>90</v>
      </c>
      <c r="J27" s="43" t="s">
        <v>91</v>
      </c>
      <c r="K27" s="42">
        <v>1469</v>
      </c>
      <c r="L27" s="42" t="s">
        <v>86</v>
      </c>
      <c r="M27" s="43" t="s">
        <v>63</v>
      </c>
      <c r="N27" s="43"/>
      <c r="O27" s="44" t="s">
        <v>67</v>
      </c>
      <c r="P27" s="44" t="s">
        <v>68</v>
      </c>
    </row>
    <row r="28" spans="1:16" ht="12.75" customHeight="1" thickBot="1" x14ac:dyDescent="0.25">
      <c r="A28" s="9" t="str">
        <f t="shared" si="0"/>
        <v> AJ 59.455 </v>
      </c>
      <c r="B28" s="14" t="str">
        <f t="shared" si="1"/>
        <v>I</v>
      </c>
      <c r="C28" s="9">
        <f t="shared" si="2"/>
        <v>34483.660000000003</v>
      </c>
      <c r="D28" s="12" t="str">
        <f t="shared" si="3"/>
        <v>vis</v>
      </c>
      <c r="E28" s="41">
        <f>VLOOKUP(C28,Active!C$21:E$973,3,FALSE)</f>
        <v>1474.9919280729212</v>
      </c>
      <c r="F28" s="14" t="s">
        <v>61</v>
      </c>
      <c r="G28" s="12" t="str">
        <f t="shared" si="4"/>
        <v>34483.66</v>
      </c>
      <c r="H28" s="9">
        <f t="shared" si="5"/>
        <v>1475</v>
      </c>
      <c r="I28" s="42" t="s">
        <v>92</v>
      </c>
      <c r="J28" s="43" t="s">
        <v>93</v>
      </c>
      <c r="K28" s="42">
        <v>1475</v>
      </c>
      <c r="L28" s="42" t="s">
        <v>94</v>
      </c>
      <c r="M28" s="43" t="s">
        <v>63</v>
      </c>
      <c r="N28" s="43"/>
      <c r="O28" s="44" t="s">
        <v>67</v>
      </c>
      <c r="P28" s="44" t="s">
        <v>68</v>
      </c>
    </row>
    <row r="29" spans="1:16" ht="12.75" customHeight="1" thickBot="1" x14ac:dyDescent="0.25">
      <c r="A29" s="9" t="str">
        <f t="shared" si="0"/>
        <v> AJ 59.455 </v>
      </c>
      <c r="B29" s="14" t="str">
        <f t="shared" si="1"/>
        <v>I</v>
      </c>
      <c r="C29" s="9">
        <f t="shared" si="2"/>
        <v>34781.64</v>
      </c>
      <c r="D29" s="12" t="str">
        <f t="shared" si="3"/>
        <v>vis</v>
      </c>
      <c r="E29" s="41">
        <f>VLOOKUP(C29,Active!C$21:E$973,3,FALSE)</f>
        <v>1549.0003228770827</v>
      </c>
      <c r="F29" s="14" t="s">
        <v>61</v>
      </c>
      <c r="G29" s="12" t="str">
        <f t="shared" si="4"/>
        <v>34781.64</v>
      </c>
      <c r="H29" s="9">
        <f t="shared" si="5"/>
        <v>1549</v>
      </c>
      <c r="I29" s="42" t="s">
        <v>95</v>
      </c>
      <c r="J29" s="43" t="s">
        <v>96</v>
      </c>
      <c r="K29" s="42">
        <v>1549</v>
      </c>
      <c r="L29" s="42" t="s">
        <v>97</v>
      </c>
      <c r="M29" s="43" t="s">
        <v>63</v>
      </c>
      <c r="N29" s="43"/>
      <c r="O29" s="44" t="s">
        <v>67</v>
      </c>
      <c r="P29" s="44" t="s">
        <v>68</v>
      </c>
    </row>
    <row r="30" spans="1:16" ht="12.75" customHeight="1" thickBot="1" x14ac:dyDescent="0.25">
      <c r="A30" s="9" t="str">
        <f t="shared" si="0"/>
        <v> BBS 127 </v>
      </c>
      <c r="B30" s="14" t="str">
        <f t="shared" si="1"/>
        <v>I</v>
      </c>
      <c r="C30" s="9">
        <f t="shared" si="2"/>
        <v>52308.546999999999</v>
      </c>
      <c r="D30" s="12" t="str">
        <f t="shared" si="3"/>
        <v>vis</v>
      </c>
      <c r="E30" s="41">
        <f>VLOOKUP(C30,Active!C$21:E$973,3,FALSE)</f>
        <v>5902.1054069493075</v>
      </c>
      <c r="F30" s="14" t="s">
        <v>61</v>
      </c>
      <c r="G30" s="12" t="str">
        <f t="shared" si="4"/>
        <v>52308.547</v>
      </c>
      <c r="H30" s="9">
        <f t="shared" si="5"/>
        <v>5902</v>
      </c>
      <c r="I30" s="42" t="s">
        <v>120</v>
      </c>
      <c r="J30" s="43" t="s">
        <v>121</v>
      </c>
      <c r="K30" s="42">
        <v>5902</v>
      </c>
      <c r="L30" s="42" t="s">
        <v>122</v>
      </c>
      <c r="M30" s="43" t="s">
        <v>101</v>
      </c>
      <c r="N30" s="43"/>
      <c r="O30" s="44" t="s">
        <v>102</v>
      </c>
      <c r="P30" s="44" t="s">
        <v>123</v>
      </c>
    </row>
    <row r="31" spans="1:16" x14ac:dyDescent="0.2">
      <c r="B31" s="14"/>
      <c r="E31" s="41"/>
      <c r="F31" s="14"/>
    </row>
    <row r="32" spans="1:16" x14ac:dyDescent="0.2">
      <c r="B32" s="14"/>
      <c r="E32" s="41"/>
      <c r="F32" s="14"/>
    </row>
    <row r="33" spans="2:6" x14ac:dyDescent="0.2">
      <c r="B33" s="14"/>
      <c r="E33" s="41"/>
      <c r="F33" s="14"/>
    </row>
    <row r="34" spans="2:6" x14ac:dyDescent="0.2">
      <c r="B34" s="14"/>
      <c r="E34" s="41"/>
      <c r="F34" s="14"/>
    </row>
    <row r="35" spans="2:6" x14ac:dyDescent="0.2">
      <c r="B35" s="14"/>
      <c r="E35" s="41"/>
      <c r="F35" s="14"/>
    </row>
    <row r="36" spans="2:6" x14ac:dyDescent="0.2">
      <c r="B36" s="14"/>
      <c r="E36" s="41"/>
      <c r="F36" s="14"/>
    </row>
    <row r="37" spans="2:6" x14ac:dyDescent="0.2">
      <c r="B37" s="14"/>
      <c r="E37" s="41"/>
      <c r="F37" s="14"/>
    </row>
    <row r="38" spans="2:6" x14ac:dyDescent="0.2">
      <c r="B38" s="14"/>
      <c r="E38" s="41"/>
      <c r="F38" s="14"/>
    </row>
    <row r="39" spans="2:6" x14ac:dyDescent="0.2">
      <c r="B39" s="14"/>
      <c r="E39" s="41"/>
      <c r="F39" s="14"/>
    </row>
    <row r="40" spans="2:6" x14ac:dyDescent="0.2">
      <c r="B40" s="14"/>
      <c r="E40" s="41"/>
      <c r="F40" s="14"/>
    </row>
    <row r="41" spans="2:6" x14ac:dyDescent="0.2">
      <c r="B41" s="14"/>
      <c r="E41" s="41"/>
      <c r="F41" s="14"/>
    </row>
    <row r="42" spans="2:6" x14ac:dyDescent="0.2">
      <c r="B42" s="14"/>
      <c r="E42" s="41"/>
      <c r="F42" s="14"/>
    </row>
    <row r="43" spans="2:6" x14ac:dyDescent="0.2">
      <c r="B43" s="14"/>
      <c r="E43" s="41"/>
      <c r="F43" s="14"/>
    </row>
    <row r="44" spans="2:6" x14ac:dyDescent="0.2">
      <c r="B44" s="14"/>
      <c r="E44" s="41"/>
      <c r="F44" s="14"/>
    </row>
    <row r="45" spans="2:6" x14ac:dyDescent="0.2">
      <c r="B45" s="14"/>
      <c r="E45" s="41"/>
      <c r="F45" s="14"/>
    </row>
    <row r="46" spans="2:6" x14ac:dyDescent="0.2">
      <c r="B46" s="14"/>
      <c r="E46" s="41"/>
      <c r="F46" s="14"/>
    </row>
    <row r="47" spans="2:6" x14ac:dyDescent="0.2">
      <c r="B47" s="14"/>
      <c r="E47" s="41"/>
      <c r="F47" s="14"/>
    </row>
    <row r="48" spans="2:6" x14ac:dyDescent="0.2">
      <c r="B48" s="14"/>
      <c r="E48" s="41"/>
      <c r="F48" s="14"/>
    </row>
    <row r="49" spans="2:6" x14ac:dyDescent="0.2">
      <c r="B49" s="14"/>
      <c r="E49" s="41"/>
      <c r="F49" s="14"/>
    </row>
    <row r="50" spans="2:6" x14ac:dyDescent="0.2">
      <c r="B50" s="14"/>
      <c r="E50" s="41"/>
      <c r="F50" s="14"/>
    </row>
    <row r="51" spans="2:6" x14ac:dyDescent="0.2">
      <c r="B51" s="14"/>
      <c r="E51" s="41"/>
      <c r="F51" s="14"/>
    </row>
    <row r="52" spans="2:6" x14ac:dyDescent="0.2">
      <c r="B52" s="14"/>
      <c r="E52" s="41"/>
      <c r="F52" s="14"/>
    </row>
    <row r="53" spans="2:6" x14ac:dyDescent="0.2">
      <c r="B53" s="14"/>
      <c r="E53" s="41"/>
      <c r="F53" s="14"/>
    </row>
    <row r="54" spans="2:6" x14ac:dyDescent="0.2">
      <c r="B54" s="14"/>
      <c r="E54" s="41"/>
      <c r="F54" s="14"/>
    </row>
    <row r="55" spans="2:6" x14ac:dyDescent="0.2">
      <c r="B55" s="14"/>
      <c r="E55" s="41"/>
      <c r="F55" s="14"/>
    </row>
    <row r="56" spans="2:6" x14ac:dyDescent="0.2">
      <c r="B56" s="14"/>
      <c r="E56" s="41"/>
      <c r="F56" s="14"/>
    </row>
    <row r="57" spans="2:6" x14ac:dyDescent="0.2">
      <c r="B57" s="14"/>
      <c r="E57" s="41"/>
      <c r="F57" s="14"/>
    </row>
    <row r="58" spans="2:6" x14ac:dyDescent="0.2">
      <c r="B58" s="14"/>
      <c r="E58" s="41"/>
      <c r="F58" s="14"/>
    </row>
    <row r="59" spans="2:6" x14ac:dyDescent="0.2">
      <c r="B59" s="14"/>
      <c r="E59" s="41"/>
      <c r="F59" s="14"/>
    </row>
    <row r="60" spans="2:6" x14ac:dyDescent="0.2">
      <c r="B60" s="14"/>
      <c r="E60" s="41"/>
      <c r="F60" s="14"/>
    </row>
    <row r="61" spans="2:6" x14ac:dyDescent="0.2">
      <c r="B61" s="14"/>
      <c r="E61" s="41"/>
      <c r="F61" s="14"/>
    </row>
    <row r="62" spans="2:6" x14ac:dyDescent="0.2">
      <c r="B62" s="14"/>
      <c r="E62" s="41"/>
      <c r="F62" s="14"/>
    </row>
    <row r="63" spans="2:6" x14ac:dyDescent="0.2">
      <c r="B63" s="14"/>
      <c r="E63" s="41"/>
      <c r="F63" s="14"/>
    </row>
    <row r="64" spans="2:6" x14ac:dyDescent="0.2">
      <c r="B64" s="14"/>
      <c r="E64" s="41"/>
      <c r="F64" s="14"/>
    </row>
    <row r="65" spans="2:6" x14ac:dyDescent="0.2">
      <c r="B65" s="14"/>
      <c r="E65" s="41"/>
      <c r="F65" s="14"/>
    </row>
    <row r="66" spans="2:6" x14ac:dyDescent="0.2">
      <c r="B66" s="14"/>
      <c r="E66" s="41"/>
      <c r="F66" s="14"/>
    </row>
    <row r="67" spans="2:6" x14ac:dyDescent="0.2">
      <c r="B67" s="14"/>
      <c r="E67" s="41"/>
      <c r="F67" s="14"/>
    </row>
    <row r="68" spans="2:6" x14ac:dyDescent="0.2">
      <c r="B68" s="14"/>
      <c r="E68" s="41"/>
      <c r="F68" s="14"/>
    </row>
    <row r="69" spans="2:6" x14ac:dyDescent="0.2">
      <c r="B69" s="14"/>
      <c r="E69" s="41"/>
      <c r="F69" s="14"/>
    </row>
    <row r="70" spans="2:6" x14ac:dyDescent="0.2">
      <c r="B70" s="14"/>
      <c r="E70" s="41"/>
      <c r="F70" s="14"/>
    </row>
    <row r="71" spans="2:6" x14ac:dyDescent="0.2">
      <c r="B71" s="14"/>
      <c r="E71" s="41"/>
      <c r="F71" s="14"/>
    </row>
    <row r="72" spans="2:6" x14ac:dyDescent="0.2">
      <c r="B72" s="14"/>
      <c r="E72" s="41"/>
      <c r="F72" s="14"/>
    </row>
    <row r="73" spans="2:6" x14ac:dyDescent="0.2">
      <c r="B73" s="14"/>
      <c r="E73" s="41"/>
      <c r="F73" s="14"/>
    </row>
    <row r="74" spans="2:6" x14ac:dyDescent="0.2">
      <c r="B74" s="14"/>
      <c r="E74" s="41"/>
      <c r="F74" s="14"/>
    </row>
    <row r="75" spans="2:6" x14ac:dyDescent="0.2">
      <c r="B75" s="14"/>
      <c r="E75" s="41"/>
      <c r="F75" s="14"/>
    </row>
    <row r="76" spans="2:6" x14ac:dyDescent="0.2">
      <c r="B76" s="14"/>
      <c r="E76" s="41"/>
      <c r="F76" s="14"/>
    </row>
    <row r="77" spans="2:6" x14ac:dyDescent="0.2">
      <c r="B77" s="14"/>
      <c r="E77" s="41"/>
      <c r="F77" s="14"/>
    </row>
    <row r="78" spans="2:6" x14ac:dyDescent="0.2">
      <c r="B78" s="14"/>
      <c r="E78" s="41"/>
      <c r="F78" s="14"/>
    </row>
    <row r="79" spans="2:6" x14ac:dyDescent="0.2">
      <c r="B79" s="14"/>
      <c r="E79" s="41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</sheetData>
  <phoneticPr fontId="7" type="noConversion"/>
  <hyperlinks>
    <hyperlink ref="P17" r:id="rId1" display="http://var.astro.cz/oejv/issues/oejv0003.pdf"/>
    <hyperlink ref="P18" r:id="rId2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2024-02-15T04:16:14Z</dcterms:modified>
</cp:coreProperties>
</file>