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F16C199-C4C9-45BD-A04E-F52A375AA0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56" i="1"/>
  <c r="Q21" i="1"/>
  <c r="Q22" i="1"/>
  <c r="Q23" i="1"/>
  <c r="Q24" i="1"/>
  <c r="Q25" i="1"/>
  <c r="Q27" i="1"/>
  <c r="Q28" i="1"/>
  <c r="Q29" i="1"/>
  <c r="Q30" i="1"/>
  <c r="Q31" i="1"/>
  <c r="Q45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44" i="2"/>
  <c r="C44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43" i="2"/>
  <c r="C43" i="2"/>
  <c r="G42" i="2"/>
  <c r="C42" i="2"/>
  <c r="G41" i="2"/>
  <c r="C41" i="2"/>
  <c r="G40" i="2"/>
  <c r="C40" i="2"/>
  <c r="G39" i="2"/>
  <c r="C39" i="2"/>
  <c r="G11" i="2"/>
  <c r="C11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44" i="2"/>
  <c r="D44" i="2"/>
  <c r="B44" i="2"/>
  <c r="A44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11" i="2"/>
  <c r="D11" i="2"/>
  <c r="B11" i="2"/>
  <c r="A11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Q54" i="1"/>
  <c r="Q55" i="1"/>
  <c r="Q53" i="1"/>
  <c r="F16" i="1"/>
  <c r="C17" i="1"/>
  <c r="Q32" i="1"/>
  <c r="Q51" i="1"/>
  <c r="Q52" i="1"/>
  <c r="Q50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C8" i="1"/>
  <c r="C7" i="1"/>
  <c r="E56" i="1"/>
  <c r="F56" i="1"/>
  <c r="Q26" i="1"/>
  <c r="E26" i="2"/>
  <c r="E33" i="2"/>
  <c r="E37" i="2"/>
  <c r="E20" i="2"/>
  <c r="E24" i="2"/>
  <c r="E42" i="2"/>
  <c r="E12" i="2"/>
  <c r="E34" i="1"/>
  <c r="F34" i="1"/>
  <c r="G34" i="1"/>
  <c r="I34" i="1"/>
  <c r="E30" i="1"/>
  <c r="F30" i="1"/>
  <c r="E22" i="1"/>
  <c r="F22" i="1"/>
  <c r="G22" i="1"/>
  <c r="H22" i="1"/>
  <c r="E52" i="1"/>
  <c r="F52" i="1"/>
  <c r="E43" i="1"/>
  <c r="F43" i="1"/>
  <c r="G24" i="1"/>
  <c r="H24" i="1"/>
  <c r="E39" i="1"/>
  <c r="F39" i="1"/>
  <c r="G39" i="1"/>
  <c r="I39" i="1"/>
  <c r="E27" i="1"/>
  <c r="F27" i="1"/>
  <c r="E49" i="1"/>
  <c r="E32" i="1"/>
  <c r="F32" i="1"/>
  <c r="G32" i="1"/>
  <c r="I32" i="1"/>
  <c r="G42" i="1"/>
  <c r="I42" i="1"/>
  <c r="E40" i="1"/>
  <c r="F40" i="1"/>
  <c r="U45" i="1"/>
  <c r="E36" i="1"/>
  <c r="F36" i="1"/>
  <c r="G36" i="1"/>
  <c r="I36" i="1"/>
  <c r="E24" i="1"/>
  <c r="F24" i="1"/>
  <c r="G48" i="1"/>
  <c r="I48" i="1"/>
  <c r="E54" i="1"/>
  <c r="F54" i="1"/>
  <c r="G54" i="1"/>
  <c r="J54" i="1"/>
  <c r="G47" i="1"/>
  <c r="I47" i="1"/>
  <c r="E33" i="1"/>
  <c r="E29" i="1"/>
  <c r="F29" i="1"/>
  <c r="G29" i="1"/>
  <c r="I29" i="1"/>
  <c r="E51" i="1"/>
  <c r="F51" i="1"/>
  <c r="G51" i="1"/>
  <c r="K51" i="1"/>
  <c r="E42" i="1"/>
  <c r="F42" i="1"/>
  <c r="G30" i="1"/>
  <c r="I30" i="1"/>
  <c r="E38" i="1"/>
  <c r="F38" i="1"/>
  <c r="G38" i="1"/>
  <c r="I38" i="1"/>
  <c r="E26" i="1"/>
  <c r="F26" i="1"/>
  <c r="G26" i="1"/>
  <c r="H26" i="1"/>
  <c r="E48" i="1"/>
  <c r="F48" i="1"/>
  <c r="G50" i="1"/>
  <c r="K50" i="1"/>
  <c r="E47" i="1"/>
  <c r="F47" i="1"/>
  <c r="E35" i="1"/>
  <c r="F35" i="1"/>
  <c r="G35" i="1"/>
  <c r="I35" i="1"/>
  <c r="E31" i="1"/>
  <c r="F31" i="1"/>
  <c r="G31" i="1"/>
  <c r="I31" i="1"/>
  <c r="E23" i="1"/>
  <c r="F23" i="1"/>
  <c r="G23" i="1"/>
  <c r="H23" i="1"/>
  <c r="E55" i="1"/>
  <c r="F55" i="1"/>
  <c r="G55" i="1"/>
  <c r="K55" i="1"/>
  <c r="E44" i="1"/>
  <c r="F44" i="1"/>
  <c r="G44" i="1"/>
  <c r="I44" i="1"/>
  <c r="G56" i="1"/>
  <c r="K56" i="1"/>
  <c r="E21" i="1"/>
  <c r="F21" i="1"/>
  <c r="U21" i="1"/>
  <c r="E28" i="1"/>
  <c r="F28" i="1"/>
  <c r="G28" i="1"/>
  <c r="I28" i="1"/>
  <c r="E45" i="1"/>
  <c r="F45" i="1"/>
  <c r="G52" i="1"/>
  <c r="K52" i="1"/>
  <c r="E50" i="1"/>
  <c r="F50" i="1"/>
  <c r="G43" i="1"/>
  <c r="I43" i="1"/>
  <c r="E41" i="1"/>
  <c r="E22" i="2"/>
  <c r="G27" i="1"/>
  <c r="I27" i="1"/>
  <c r="E37" i="1"/>
  <c r="F37" i="1"/>
  <c r="G37" i="1"/>
  <c r="I37" i="1"/>
  <c r="E25" i="1"/>
  <c r="E53" i="1"/>
  <c r="F53" i="1"/>
  <c r="G53" i="1"/>
  <c r="I53" i="1"/>
  <c r="E46" i="1"/>
  <c r="F46" i="1"/>
  <c r="G46" i="1"/>
  <c r="I46" i="1"/>
  <c r="G40" i="1"/>
  <c r="I40" i="1"/>
  <c r="E18" i="2"/>
  <c r="E32" i="2"/>
  <c r="E40" i="2"/>
  <c r="E41" i="2"/>
  <c r="E35" i="2"/>
  <c r="E13" i="2"/>
  <c r="F33" i="1"/>
  <c r="G33" i="1"/>
  <c r="I33" i="1"/>
  <c r="E16" i="2"/>
  <c r="E27" i="2"/>
  <c r="E44" i="2"/>
  <c r="E36" i="2"/>
  <c r="E31" i="2"/>
  <c r="E43" i="2"/>
  <c r="E19" i="2"/>
  <c r="E17" i="2"/>
  <c r="F25" i="1"/>
  <c r="G25" i="1"/>
  <c r="H25" i="1"/>
  <c r="E38" i="2"/>
  <c r="E30" i="2"/>
  <c r="E29" i="2"/>
  <c r="E23" i="2"/>
  <c r="E11" i="2"/>
  <c r="E14" i="2"/>
  <c r="F41" i="1"/>
  <c r="G41" i="1"/>
  <c r="E21" i="2"/>
  <c r="E28" i="2"/>
  <c r="F49" i="1"/>
  <c r="G49" i="1"/>
  <c r="I49" i="1"/>
  <c r="E15" i="2"/>
  <c r="E25" i="2"/>
  <c r="E39" i="2"/>
  <c r="E34" i="2"/>
  <c r="I41" i="1"/>
  <c r="C11" i="1"/>
  <c r="C12" i="1"/>
  <c r="C16" i="1" l="1"/>
  <c r="D18" i="1" s="1"/>
  <c r="O34" i="1"/>
  <c r="O28" i="1"/>
  <c r="O56" i="1"/>
  <c r="O45" i="1"/>
  <c r="O37" i="1"/>
  <c r="O46" i="1"/>
  <c r="O40" i="1"/>
  <c r="O42" i="1"/>
  <c r="O26" i="1"/>
  <c r="O53" i="1"/>
  <c r="O52" i="1"/>
  <c r="O41" i="1"/>
  <c r="O49" i="1"/>
  <c r="O27" i="1"/>
  <c r="O48" i="1"/>
  <c r="O50" i="1"/>
  <c r="O32" i="1"/>
  <c r="O21" i="1"/>
  <c r="O36" i="1"/>
  <c r="O39" i="1"/>
  <c r="C15" i="1"/>
  <c r="F18" i="1" s="1"/>
  <c r="O23" i="1"/>
  <c r="O38" i="1"/>
  <c r="O24" i="1"/>
  <c r="O35" i="1"/>
  <c r="O22" i="1"/>
  <c r="O29" i="1"/>
  <c r="O54" i="1"/>
  <c r="O30" i="1"/>
  <c r="O51" i="1"/>
  <c r="O33" i="1"/>
  <c r="O47" i="1"/>
  <c r="O25" i="1"/>
  <c r="O31" i="1"/>
  <c r="O44" i="1"/>
  <c r="O55" i="1"/>
  <c r="O43" i="1"/>
  <c r="F17" i="1"/>
  <c r="C18" i="1" l="1"/>
  <c r="F19" i="1"/>
</calcChain>
</file>

<file path=xl/sharedStrings.xml><?xml version="1.0" encoding="utf-8"?>
<sst xmlns="http://schemas.openxmlformats.org/spreadsheetml/2006/main" count="363" uniqueCount="213">
  <si>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</si>
  <si>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</si>
  <si>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</si>
  <si>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</si>
  <si>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</si>
  <si>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</si>
  <si>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</si>
  <si>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</si>
  <si>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</si>
  <si>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</si>
  <si>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</si>
  <si>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</si>
  <si>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</si>
  <si>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</si>
  <si>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</si>
  <si>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</si>
  <si>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</si>
  <si>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</si>
  <si>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</si>
  <si>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</si>
  <si>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</si>
  <si>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</si>
  <si>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</si>
  <si>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</si>
  <si>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</si>
  <si>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</si>
  <si>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</si>
  <si>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</si>
  <si>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</si>
  <si>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Bull.8</t>
  </si>
  <si>
    <t>BBSAG Bull.13</t>
  </si>
  <si>
    <t>BBSAG Bull.14</t>
  </si>
  <si>
    <t>BBSAG Bull.20</t>
  </si>
  <si>
    <t>BBSAG Bull.22</t>
  </si>
  <si>
    <t>BBSAG Bull.32</t>
  </si>
  <si>
    <t>BBSAG Bull.60</t>
  </si>
  <si>
    <t>BBSAG Bull.64</t>
  </si>
  <si>
    <t>BBSAG Bull.69</t>
  </si>
  <si>
    <t>BBSAG Bull.70</t>
  </si>
  <si>
    <t>BBSAG Bull.71</t>
  </si>
  <si>
    <t>BBSAG Bull.79</t>
  </si>
  <si>
    <t>BBSAG Bull.86</t>
  </si>
  <si>
    <t>BBSAG Bull.91</t>
  </si>
  <si>
    <t>BBSAG Bull.100</t>
  </si>
  <si>
    <t>BBSAG Bull.111</t>
  </si>
  <si>
    <t>IBVS 5263</t>
  </si>
  <si>
    <t>I</t>
  </si>
  <si>
    <t>EA/SD</t>
  </si>
  <si>
    <t>IBVS 0637</t>
  </si>
  <si>
    <t>IBVS 5543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</si>
  <si>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</si>
  <si>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</si>
  <si>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</si>
  <si>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</si>
  <si>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</si>
  <si>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</si>
  <si>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</si>
  <si>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</si>
  <si>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</si>
  <si>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0003</t>
  </si>
  <si>
    <t>IBVS 6029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</si>
  <si>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</si>
  <si>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</si>
  <si>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</si>
  <si>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</si>
  <si>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</si>
  <si>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</si>
  <si>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</si>
  <si>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</si>
  <si>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</si>
  <si>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</si>
  <si>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</si>
  <si>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</si>
  <si>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</si>
  <si>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2425999.338 </t>
  </si>
  <si>
    <t> 22.01.1930 20:06 </t>
  </si>
  <si>
    <t> -0.501 </t>
  </si>
  <si>
    <t>P </t>
  </si>
  <si>
    <t> O.Morgenroth </t>
  </si>
  <si>
    <t> AN 252.393 </t>
  </si>
  <si>
    <t>2426067.390 </t>
  </si>
  <si>
    <t> 31.03.1930 21:21 </t>
  </si>
  <si>
    <t> -0.092 </t>
  </si>
  <si>
    <t>2426735.414 </t>
  </si>
  <si>
    <t> 28.01.1932 21:56 </t>
  </si>
  <si>
    <t> -0.041 </t>
  </si>
  <si>
    <t>2427124.427 </t>
  </si>
  <si>
    <t> 20.02.1933 22:14 </t>
  </si>
  <si>
    <t> 0.025 </t>
  </si>
  <si>
    <t>2427158.372 </t>
  </si>
  <si>
    <t> 26.03.1933 20:55 </t>
  </si>
  <si>
    <t> 0.149 </t>
  </si>
  <si>
    <t>2431149.151 </t>
  </si>
  <si>
    <t> 28.02.1944 15:37 </t>
  </si>
  <si>
    <t> 0.000 </t>
  </si>
  <si>
    <t>V </t>
  </si>
  <si>
    <t> W.Zessewitsch </t>
  </si>
  <si>
    <t> IODE 4.2.134 </t>
  </si>
  <si>
    <t>2431174.527 </t>
  </si>
  <si>
    <t> 25.03.1944 00:38 </t>
  </si>
  <si>
    <t> 0.010 </t>
  </si>
  <si>
    <t> B.S.Whitney </t>
  </si>
  <si>
    <t> AJ 64.261 </t>
  </si>
  <si>
    <t>2431774.851 </t>
  </si>
  <si>
    <t> 15.11.1945 08:25 </t>
  </si>
  <si>
    <t> 0.004 </t>
  </si>
  <si>
    <t>2432979.744 </t>
  </si>
  <si>
    <t> 04.03.1949 05:51 </t>
  </si>
  <si>
    <t> 0.008 </t>
  </si>
  <si>
    <t>2435579.754 </t>
  </si>
  <si>
    <t> 16.04.1956 06:05 </t>
  </si>
  <si>
    <t> -0.004 </t>
  </si>
  <si>
    <t>2435934.867 </t>
  </si>
  <si>
    <t> 06.04.1957 08:48 </t>
  </si>
  <si>
    <t> -0.015 </t>
  </si>
  <si>
    <t>2441367.470 </t>
  </si>
  <si>
    <t> 19.02.1972 23:16 </t>
  </si>
  <si>
    <t> 0.021 </t>
  </si>
  <si>
    <t> Z.Klimek </t>
  </si>
  <si>
    <t>IBVS 637 </t>
  </si>
  <si>
    <t>2441722.584 </t>
  </si>
  <si>
    <t> 09.02.1973 02:00 </t>
  </si>
  <si>
    <t> K.Locher </t>
  </si>
  <si>
    <t> BBS 8 </t>
  </si>
  <si>
    <t>2442035.454 </t>
  </si>
  <si>
    <t> 18.12.1973 22:53 </t>
  </si>
  <si>
    <t> 0.032 </t>
  </si>
  <si>
    <t> BBS 13 </t>
  </si>
  <si>
    <t>2442090.402 </t>
  </si>
  <si>
    <t> 11.02.1974 21:38 </t>
  </si>
  <si>
    <t> 0.020 </t>
  </si>
  <si>
    <t> BBS 14 </t>
  </si>
  <si>
    <t>2442424.360 </t>
  </si>
  <si>
    <t> 11.01.1975 20:38 </t>
  </si>
  <si>
    <t> -0.008 </t>
  </si>
  <si>
    <t> BBS 20 </t>
  </si>
  <si>
    <t>2442517.368 </t>
  </si>
  <si>
    <t> 14.04.1975 20:49 </t>
  </si>
  <si>
    <t> -0.009 </t>
  </si>
  <si>
    <t> BBS 22 </t>
  </si>
  <si>
    <t>2443168.475 </t>
  </si>
  <si>
    <t> 24.01.1977 23:24 </t>
  </si>
  <si>
    <t> 0.035 </t>
  </si>
  <si>
    <t> BBS 32 </t>
  </si>
  <si>
    <t>2445079.373 </t>
  </si>
  <si>
    <t> 19.04.1982 20:57 </t>
  </si>
  <si>
    <t> 0.023 </t>
  </si>
  <si>
    <t> BBS 60 </t>
  </si>
  <si>
    <t>2445358.372 </t>
  </si>
  <si>
    <t> 23.01.1983 20:55 </t>
  </si>
  <si>
    <t> -0.005 </t>
  </si>
  <si>
    <t> BBS 64 </t>
  </si>
  <si>
    <t>2445641.644 </t>
  </si>
  <si>
    <t> 03.11.1983 03:27 </t>
  </si>
  <si>
    <t> 0.013 </t>
  </si>
  <si>
    <t> BBS 69 </t>
  </si>
  <si>
    <t> T.Schildknecht </t>
  </si>
  <si>
    <t>2445730.432 </t>
  </si>
  <si>
    <t> 30.01.1984 22:22 </t>
  </si>
  <si>
    <t> BBS 70 </t>
  </si>
  <si>
    <t>2445802.313 </t>
  </si>
  <si>
    <t> 11.04.1984 19:30 </t>
  </si>
  <si>
    <t> 0.030 </t>
  </si>
  <si>
    <t> BBS 71 </t>
  </si>
  <si>
    <t>2446402.630 </t>
  </si>
  <si>
    <t> 03.12.1985 03:07 </t>
  </si>
  <si>
    <t> 0.017 </t>
  </si>
  <si>
    <t> BBS 79 </t>
  </si>
  <si>
    <t>2447118.569 </t>
  </si>
  <si>
    <t> 19.11.1987 01:39 </t>
  </si>
  <si>
    <t> -0.636 </t>
  </si>
  <si>
    <t> BBS 86 </t>
  </si>
  <si>
    <t>2447624.425 </t>
  </si>
  <si>
    <t> 07.04.1989 22:12 </t>
  </si>
  <si>
    <t> BBS 91 </t>
  </si>
  <si>
    <t>2448647.549 </t>
  </si>
  <si>
    <t> 26.01.1992 01:10 </t>
  </si>
  <si>
    <t> 0.039 </t>
  </si>
  <si>
    <t> BBS 100 </t>
  </si>
  <si>
    <t>2450042.678 </t>
  </si>
  <si>
    <t> 21.11.1995 04:16 </t>
  </si>
  <si>
    <t> 0.034 </t>
  </si>
  <si>
    <t> BBS 111 </t>
  </si>
  <si>
    <t>2451543.5111 </t>
  </si>
  <si>
    <t> 31.12.1999 00:15 </t>
  </si>
  <si>
    <t> 0.0414 </t>
  </si>
  <si>
    <t>E </t>
  </si>
  <si>
    <t>?</t>
  </si>
  <si>
    <t> M.Zejda </t>
  </si>
  <si>
    <t>IBVS 5263 </t>
  </si>
  <si>
    <t>2452938.650 </t>
  </si>
  <si>
    <t> 26.10.2003 03:36 </t>
  </si>
  <si>
    <t> 0.047 </t>
  </si>
  <si>
    <t> BBS 130 </t>
  </si>
  <si>
    <t>2453382.545 </t>
  </si>
  <si>
    <t> 12.01.2005 01:04 </t>
  </si>
  <si>
    <t>OEJV 0003 </t>
  </si>
  <si>
    <t>2455961.3896 </t>
  </si>
  <si>
    <t> 03.02.2012 21:21 </t>
  </si>
  <si>
    <t> -0.0036 </t>
  </si>
  <si>
    <t>C </t>
  </si>
  <si>
    <t>-I</t>
  </si>
  <si>
    <t> F.Agerer </t>
  </si>
  <si>
    <t>BAVM 228 </t>
  </si>
  <si>
    <t>2456003.6659 </t>
  </si>
  <si>
    <t> 17.03.2012 03:58 </t>
  </si>
  <si>
    <t>5879</t>
  </si>
  <si>
    <t> -0.0041 </t>
  </si>
  <si>
    <t> R.Diethelm </t>
  </si>
  <si>
    <t>IBVS 6029 </t>
  </si>
  <si>
    <t>II</t>
  </si>
  <si>
    <t>BAD?</t>
  </si>
  <si>
    <t>DE Hya / GSC 0209-1854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</si>
</sst>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Hya - O-C Diagr.</a:t>
            </a:r>
          </a:p>
        </c:rich>
      </c:tx>
      <c:layout>
        <c:manualLayout>
          <c:xMode val="edge"/>
          <c:yMode val="edge"/>
          <c:x val="0.3821266717623316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769252958613219"/>
          <c:w val="0.8197232669576293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-9.2044000000896631E-2</c:v>
                </c:pt>
                <c:pt idx="2">
                  <c:v>-4.1167999999743188E-2</c:v>
                </c:pt>
                <c:pt idx="3">
                  <c:v>2.5455999999394407E-2</c:v>
                </c:pt>
                <c:pt idx="4">
                  <c:v>0.14903199999753269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6-4A06-B438-C5F5ACC4BA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9.9319999972067308E-3</c:v>
                </c:pt>
                <c:pt idx="7">
                  <c:v>3.6559999971359503E-3</c:v>
                </c:pt>
                <c:pt idx="8">
                  <c:v>8.4260000003268942E-3</c:v>
                </c:pt>
                <c:pt idx="9">
                  <c:v>-3.5439999992377125E-3</c:v>
                </c:pt>
                <c:pt idx="10">
                  <c:v>-1.5496000007260591E-2</c:v>
                </c:pt>
                <c:pt idx="11">
                  <c:v>2.1273999998811632E-2</c:v>
                </c:pt>
                <c:pt idx="12">
                  <c:v>1.0322000001906417E-2</c:v>
                </c:pt>
                <c:pt idx="13">
                  <c:v>3.214999999909196E-2</c:v>
                </c:pt>
                <c:pt idx="14">
                  <c:v>2.0336000001407228E-2</c:v>
                </c:pt>
                <c:pt idx="15">
                  <c:v>-8.2260000053793192E-3</c:v>
                </c:pt>
                <c:pt idx="16">
                  <c:v>-9.1419999953359365E-3</c:v>
                </c:pt>
                <c:pt idx="17">
                  <c:v>3.5445999994408339E-2</c:v>
                </c:pt>
                <c:pt idx="18">
                  <c:v>2.298999999766238E-2</c:v>
                </c:pt>
                <c:pt idx="19">
                  <c:v>-4.7579999954905361E-3</c:v>
                </c:pt>
                <c:pt idx="20">
                  <c:v>1.2816000002203509E-2</c:v>
                </c:pt>
                <c:pt idx="21">
                  <c:v>1.9577999999455642E-2</c:v>
                </c:pt>
                <c:pt idx="22">
                  <c:v>3.0052000001887791E-2</c:v>
                </c:pt>
                <c:pt idx="23">
                  <c:v>1.6775999996752944E-2</c:v>
                </c:pt>
                <c:pt idx="25">
                  <c:v>3.1413999997312203E-2</c:v>
                </c:pt>
                <c:pt idx="26">
                  <c:v>1.2834000001021195E-2</c:v>
                </c:pt>
                <c:pt idx="27">
                  <c:v>3.875799999514129E-2</c:v>
                </c:pt>
                <c:pt idx="28">
                  <c:v>3.401799999846844E-2</c:v>
                </c:pt>
                <c:pt idx="32">
                  <c:v>3.5397999992710538E-2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6-4A06-B438-C5F5ACC4BA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3">
                  <c:v>-3.581999997550156E-3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6-4A06-B438-C5F5ACC4BA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9">
                  <c:v>4.1427999996813014E-2</c:v>
                </c:pt>
                <c:pt idx="30">
                  <c:v>4.1427999996813014E-2</c:v>
                </c:pt>
                <c:pt idx="31">
                  <c:v>4.6588000004703645E-2</c:v>
                </c:pt>
                <c:pt idx="34">
                  <c:v>-4.0619999999762513E-3</c:v>
                </c:pt>
                <c:pt idx="35">
                  <c:v>-1.9511999998940155E-2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6-4A06-B438-C5F5ACC4BA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6-4A06-B438-C5F5ACC4BA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6-4A06-B438-C5F5ACC4BA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6-4A06-B438-C5F5ACC4BA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6.8280927102649949E-2</c:v>
                </c:pt>
                <c:pt idx="1">
                  <c:v>6.815343061770493E-2</c:v>
                </c:pt>
                <c:pt idx="2">
                  <c:v>6.6894402828872906E-2</c:v>
                </c:pt>
                <c:pt idx="3">
                  <c:v>6.6161298040439062E-2</c:v>
                </c:pt>
                <c:pt idx="4">
                  <c:v>6.6097549797966559E-2</c:v>
                </c:pt>
                <c:pt idx="5">
                  <c:v>5.8575257186210636E-2</c:v>
                </c:pt>
                <c:pt idx="6">
                  <c:v>5.8527446004356255E-2</c:v>
                </c:pt>
                <c:pt idx="7">
                  <c:v>5.7395914700469244E-2</c:v>
                </c:pt>
                <c:pt idx="8">
                  <c:v>5.5124883562386151E-2</c:v>
                </c:pt>
                <c:pt idx="9">
                  <c:v>5.0224237422312114E-2</c:v>
                </c:pt>
                <c:pt idx="10">
                  <c:v>4.9554880876350786E-2</c:v>
                </c:pt>
                <c:pt idx="11">
                  <c:v>3.9315319429204222E-2</c:v>
                </c:pt>
                <c:pt idx="12">
                  <c:v>3.8645962883242888E-2</c:v>
                </c:pt>
                <c:pt idx="13">
                  <c:v>3.8056291640372192E-2</c:v>
                </c:pt>
                <c:pt idx="14">
                  <c:v>3.7952700746354366E-2</c:v>
                </c:pt>
                <c:pt idx="15">
                  <c:v>3.7323186851938354E-2</c:v>
                </c:pt>
                <c:pt idx="16">
                  <c:v>3.7147879185138954E-2</c:v>
                </c:pt>
                <c:pt idx="17">
                  <c:v>3.5920725517543182E-2</c:v>
                </c:pt>
                <c:pt idx="18">
                  <c:v>3.2318949817846492E-2</c:v>
                </c:pt>
                <c:pt idx="19">
                  <c:v>3.1793026817448305E-2</c:v>
                </c:pt>
                <c:pt idx="20">
                  <c:v>3.1259135286741055E-2</c:v>
                </c:pt>
                <c:pt idx="21">
                  <c:v>3.1091796150250716E-2</c:v>
                </c:pt>
                <c:pt idx="22">
                  <c:v>3.0956331134996639E-2</c:v>
                </c:pt>
                <c:pt idx="23">
                  <c:v>2.9824799831109625E-2</c:v>
                </c:pt>
                <c:pt idx="24">
                  <c:v>2.8474133943723366E-2</c:v>
                </c:pt>
                <c:pt idx="25">
                  <c:v>2.8398432905787262E-2</c:v>
                </c:pt>
                <c:pt idx="26">
                  <c:v>2.752189457179028E-2</c:v>
                </c:pt>
                <c:pt idx="27">
                  <c:v>2.5593510236996922E-2</c:v>
                </c:pt>
                <c:pt idx="28">
                  <c:v>2.2963895235005978E-2</c:v>
                </c:pt>
                <c:pt idx="29">
                  <c:v>2.013506697528844E-2</c:v>
                </c:pt>
                <c:pt idx="30">
                  <c:v>2.013506697528844E-2</c:v>
                </c:pt>
                <c:pt idx="31">
                  <c:v>1.7505451973297496E-2</c:v>
                </c:pt>
                <c:pt idx="32">
                  <c:v>1.6668756290845833E-2</c:v>
                </c:pt>
                <c:pt idx="33">
                  <c:v>1.1807952802317112E-2</c:v>
                </c:pt>
                <c:pt idx="34">
                  <c:v>1.172826749922648E-2</c:v>
                </c:pt>
                <c:pt idx="35">
                  <c:v>8.3416421178745051E-3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6-4A06-B438-C5F5ACC4BA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-0.50119600000107312</c:v>
                </c:pt>
                <c:pt idx="24">
                  <c:v>-0.6356450000021141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D6-4A06-B438-C5F5ACC4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55088"/>
        <c:axId val="1"/>
      </c:scatterChart>
      <c:valAx>
        <c:axId val="59535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240523478478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55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34358532609"/>
          <c:y val="0.92000129214617399"/>
          <c:w val="0.741140701017919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Hya - O-C Diagr.</a:t>
            </a:r>
          </a:p>
        </c:rich>
      </c:tx>
      <c:layout>
        <c:manualLayout>
          <c:xMode val="edge"/>
          <c:yMode val="edge"/>
          <c:x val="0.3815384615384615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5384615384614"/>
          <c:y val="0.14723926380368099"/>
          <c:w val="0.829230769230769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-9.2044000000896631E-2</c:v>
                </c:pt>
                <c:pt idx="2">
                  <c:v>-4.1167999999743188E-2</c:v>
                </c:pt>
                <c:pt idx="3">
                  <c:v>2.5455999999394407E-2</c:v>
                </c:pt>
                <c:pt idx="4">
                  <c:v>0.14903199999753269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9-47D0-8271-DA9B8EE72A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9.9319999972067308E-3</c:v>
                </c:pt>
                <c:pt idx="7">
                  <c:v>3.6559999971359503E-3</c:v>
                </c:pt>
                <c:pt idx="8">
                  <c:v>8.4260000003268942E-3</c:v>
                </c:pt>
                <c:pt idx="9">
                  <c:v>-3.5439999992377125E-3</c:v>
                </c:pt>
                <c:pt idx="10">
                  <c:v>-1.5496000007260591E-2</c:v>
                </c:pt>
                <c:pt idx="11">
                  <c:v>2.1273999998811632E-2</c:v>
                </c:pt>
                <c:pt idx="12">
                  <c:v>1.0322000001906417E-2</c:v>
                </c:pt>
                <c:pt idx="13">
                  <c:v>3.214999999909196E-2</c:v>
                </c:pt>
                <c:pt idx="14">
                  <c:v>2.0336000001407228E-2</c:v>
                </c:pt>
                <c:pt idx="15">
                  <c:v>-8.2260000053793192E-3</c:v>
                </c:pt>
                <c:pt idx="16">
                  <c:v>-9.1419999953359365E-3</c:v>
                </c:pt>
                <c:pt idx="17">
                  <c:v>3.5445999994408339E-2</c:v>
                </c:pt>
                <c:pt idx="18">
                  <c:v>2.298999999766238E-2</c:v>
                </c:pt>
                <c:pt idx="19">
                  <c:v>-4.7579999954905361E-3</c:v>
                </c:pt>
                <c:pt idx="20">
                  <c:v>1.2816000002203509E-2</c:v>
                </c:pt>
                <c:pt idx="21">
                  <c:v>1.9577999999455642E-2</c:v>
                </c:pt>
                <c:pt idx="22">
                  <c:v>3.0052000001887791E-2</c:v>
                </c:pt>
                <c:pt idx="23">
                  <c:v>1.6775999996752944E-2</c:v>
                </c:pt>
                <c:pt idx="25">
                  <c:v>3.1413999997312203E-2</c:v>
                </c:pt>
                <c:pt idx="26">
                  <c:v>1.2834000001021195E-2</c:v>
                </c:pt>
                <c:pt idx="27">
                  <c:v>3.875799999514129E-2</c:v>
                </c:pt>
                <c:pt idx="28">
                  <c:v>3.401799999846844E-2</c:v>
                </c:pt>
                <c:pt idx="32">
                  <c:v>3.5397999992710538E-2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D9-47D0-8271-DA9B8EE72A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3">
                  <c:v>-3.581999997550156E-3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9-47D0-8271-DA9B8EE72A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9">
                  <c:v>4.1427999996813014E-2</c:v>
                </c:pt>
                <c:pt idx="30">
                  <c:v>4.1427999996813014E-2</c:v>
                </c:pt>
                <c:pt idx="31">
                  <c:v>4.6588000004703645E-2</c:v>
                </c:pt>
                <c:pt idx="34">
                  <c:v>-4.0619999999762513E-3</c:v>
                </c:pt>
                <c:pt idx="35">
                  <c:v>-1.9511999998940155E-2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D9-47D0-8271-DA9B8EE72A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D9-47D0-8271-DA9B8EE72A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D9-47D0-8271-DA9B8EE72A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24">
                    <c:v>0</c:v>
                  </c:pt>
                  <c:pt idx="27">
                    <c:v>1.0999999999999999E-2</c:v>
                  </c:pt>
                  <c:pt idx="28">
                    <c:v>8.0000000000000002E-3</c:v>
                  </c:pt>
                  <c:pt idx="29">
                    <c:v>8.9999999999999993E-3</c:v>
                  </c:pt>
                  <c:pt idx="30">
                    <c:v>8.9999999999999993E-3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8.6E-3</c:v>
                  </c:pt>
                  <c:pt idx="34">
                    <c:v>8.9999999999999998E-4</c:v>
                  </c:pt>
                  <c:pt idx="3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D9-47D0-8271-DA9B8EE72A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6.8280927102649949E-2</c:v>
                </c:pt>
                <c:pt idx="1">
                  <c:v>6.815343061770493E-2</c:v>
                </c:pt>
                <c:pt idx="2">
                  <c:v>6.6894402828872906E-2</c:v>
                </c:pt>
                <c:pt idx="3">
                  <c:v>6.6161298040439062E-2</c:v>
                </c:pt>
                <c:pt idx="4">
                  <c:v>6.6097549797966559E-2</c:v>
                </c:pt>
                <c:pt idx="5">
                  <c:v>5.8575257186210636E-2</c:v>
                </c:pt>
                <c:pt idx="6">
                  <c:v>5.8527446004356255E-2</c:v>
                </c:pt>
                <c:pt idx="7">
                  <c:v>5.7395914700469244E-2</c:v>
                </c:pt>
                <c:pt idx="8">
                  <c:v>5.5124883562386151E-2</c:v>
                </c:pt>
                <c:pt idx="9">
                  <c:v>5.0224237422312114E-2</c:v>
                </c:pt>
                <c:pt idx="10">
                  <c:v>4.9554880876350786E-2</c:v>
                </c:pt>
                <c:pt idx="11">
                  <c:v>3.9315319429204222E-2</c:v>
                </c:pt>
                <c:pt idx="12">
                  <c:v>3.8645962883242888E-2</c:v>
                </c:pt>
                <c:pt idx="13">
                  <c:v>3.8056291640372192E-2</c:v>
                </c:pt>
                <c:pt idx="14">
                  <c:v>3.7952700746354366E-2</c:v>
                </c:pt>
                <c:pt idx="15">
                  <c:v>3.7323186851938354E-2</c:v>
                </c:pt>
                <c:pt idx="16">
                  <c:v>3.7147879185138954E-2</c:v>
                </c:pt>
                <c:pt idx="17">
                  <c:v>3.5920725517543182E-2</c:v>
                </c:pt>
                <c:pt idx="18">
                  <c:v>3.2318949817846492E-2</c:v>
                </c:pt>
                <c:pt idx="19">
                  <c:v>3.1793026817448305E-2</c:v>
                </c:pt>
                <c:pt idx="20">
                  <c:v>3.1259135286741055E-2</c:v>
                </c:pt>
                <c:pt idx="21">
                  <c:v>3.1091796150250716E-2</c:v>
                </c:pt>
                <c:pt idx="22">
                  <c:v>3.0956331134996639E-2</c:v>
                </c:pt>
                <c:pt idx="23">
                  <c:v>2.9824799831109625E-2</c:v>
                </c:pt>
                <c:pt idx="24">
                  <c:v>2.8474133943723366E-2</c:v>
                </c:pt>
                <c:pt idx="25">
                  <c:v>2.8398432905787262E-2</c:v>
                </c:pt>
                <c:pt idx="26">
                  <c:v>2.752189457179028E-2</c:v>
                </c:pt>
                <c:pt idx="27">
                  <c:v>2.5593510236996922E-2</c:v>
                </c:pt>
                <c:pt idx="28">
                  <c:v>2.2963895235005978E-2</c:v>
                </c:pt>
                <c:pt idx="29">
                  <c:v>2.013506697528844E-2</c:v>
                </c:pt>
                <c:pt idx="30">
                  <c:v>2.013506697528844E-2</c:v>
                </c:pt>
                <c:pt idx="31">
                  <c:v>1.7505451973297496E-2</c:v>
                </c:pt>
                <c:pt idx="32">
                  <c:v>1.6668756290845833E-2</c:v>
                </c:pt>
                <c:pt idx="33">
                  <c:v>1.1807952802317112E-2</c:v>
                </c:pt>
                <c:pt idx="34">
                  <c:v>1.172826749922648E-2</c:v>
                </c:pt>
                <c:pt idx="35">
                  <c:v>8.3416421178745051E-3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D9-47D0-8271-DA9B8EE72A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-1218</c:v>
                </c:pt>
                <c:pt idx="1">
                  <c:v>-1202</c:v>
                </c:pt>
                <c:pt idx="2">
                  <c:v>-1044</c:v>
                </c:pt>
                <c:pt idx="3">
                  <c:v>-952</c:v>
                </c:pt>
                <c:pt idx="4">
                  <c:v>-944</c:v>
                </c:pt>
                <c:pt idx="5">
                  <c:v>0</c:v>
                </c:pt>
                <c:pt idx="6">
                  <c:v>6</c:v>
                </c:pt>
                <c:pt idx="7">
                  <c:v>148</c:v>
                </c:pt>
                <c:pt idx="8">
                  <c:v>433</c:v>
                </c:pt>
                <c:pt idx="9">
                  <c:v>1048</c:v>
                </c:pt>
                <c:pt idx="10">
                  <c:v>1132</c:v>
                </c:pt>
                <c:pt idx="11">
                  <c:v>2417</c:v>
                </c:pt>
                <c:pt idx="12">
                  <c:v>2501</c:v>
                </c:pt>
                <c:pt idx="13">
                  <c:v>2575</c:v>
                </c:pt>
                <c:pt idx="14">
                  <c:v>2588</c:v>
                </c:pt>
                <c:pt idx="15">
                  <c:v>2667</c:v>
                </c:pt>
                <c:pt idx="16">
                  <c:v>2689</c:v>
                </c:pt>
                <c:pt idx="17">
                  <c:v>2843</c:v>
                </c:pt>
                <c:pt idx="18">
                  <c:v>3295</c:v>
                </c:pt>
                <c:pt idx="19">
                  <c:v>3361</c:v>
                </c:pt>
                <c:pt idx="20">
                  <c:v>3428</c:v>
                </c:pt>
                <c:pt idx="21">
                  <c:v>3449</c:v>
                </c:pt>
                <c:pt idx="22">
                  <c:v>3466</c:v>
                </c:pt>
                <c:pt idx="23">
                  <c:v>3608</c:v>
                </c:pt>
                <c:pt idx="24">
                  <c:v>3777.5</c:v>
                </c:pt>
                <c:pt idx="25">
                  <c:v>3787</c:v>
                </c:pt>
                <c:pt idx="26">
                  <c:v>3897</c:v>
                </c:pt>
                <c:pt idx="27">
                  <c:v>4139</c:v>
                </c:pt>
                <c:pt idx="28">
                  <c:v>4469</c:v>
                </c:pt>
                <c:pt idx="29">
                  <c:v>4824</c:v>
                </c:pt>
                <c:pt idx="30">
                  <c:v>4824</c:v>
                </c:pt>
                <c:pt idx="31">
                  <c:v>5154</c:v>
                </c:pt>
                <c:pt idx="32">
                  <c:v>5259</c:v>
                </c:pt>
                <c:pt idx="33">
                  <c:v>5869</c:v>
                </c:pt>
                <c:pt idx="34">
                  <c:v>5879</c:v>
                </c:pt>
                <c:pt idx="35">
                  <c:v>6304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-0.50119600000107312</c:v>
                </c:pt>
                <c:pt idx="24">
                  <c:v>-0.6356450000021141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D9-47D0-8271-DA9B8EE7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302056"/>
        <c:axId val="1"/>
      </c:scatterChart>
      <c:valAx>
        <c:axId val="69330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30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6153846153845"/>
          <c:y val="0.92024539877300615"/>
          <c:w val="0.7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466725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EFC1BAB-37EE-E43A-25F2-48C6856C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19050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0676F6E-B0AD-60B1-AEA2-307E1F3CF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637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5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212</v>
      </c>
    </row>
    <row r="2" spans="1:6">
      <c r="A2" t="s">
        <v>25</v>
      </c>
      <c r="B2" s="10" t="s">
        <v>47</v>
      </c>
    </row>
    <row r="4" spans="1:6" ht="14.25" thickTop="1" thickBot="1">
      <c r="A4" s="7" t="s">
        <v>1</v>
      </c>
      <c r="C4" s="3">
        <v>31149.151000000002</v>
      </c>
      <c r="D4" s="4">
        <v>4.227678</v>
      </c>
    </row>
    <row r="5" spans="1:6" ht="13.5" thickTop="1">
      <c r="A5" s="20" t="s">
        <v>51</v>
      </c>
      <c r="B5" s="21"/>
      <c r="C5" s="22">
        <v>-9.5</v>
      </c>
      <c r="D5" s="21" t="s">
        <v>52</v>
      </c>
    </row>
    <row r="6" spans="1:6">
      <c r="A6" s="7" t="s">
        <v>2</v>
      </c>
    </row>
    <row r="7" spans="1:6">
      <c r="A7" t="s">
        <v>3</v>
      </c>
      <c r="C7">
        <f>+C4</f>
        <v>31149.151000000002</v>
      </c>
    </row>
    <row r="8" spans="1:6">
      <c r="A8" t="s">
        <v>4</v>
      </c>
      <c r="C8">
        <f>+D4</f>
        <v>4.227678</v>
      </c>
    </row>
    <row r="9" spans="1:6">
      <c r="A9" s="35" t="s">
        <v>58</v>
      </c>
      <c r="B9" s="36">
        <v>41</v>
      </c>
      <c r="C9" s="24" t="str">
        <f>"F"&amp;B9</f>
        <v>F41</v>
      </c>
      <c r="D9" s="25" t="str">
        <f>"G"&amp;B9</f>
        <v>G41</v>
      </c>
    </row>
    <row r="10" spans="1:6" ht="13.5" thickBot="1">
      <c r="A10" s="21"/>
      <c r="B10" s="21"/>
      <c r="C10" s="6" t="s">
        <v>21</v>
      </c>
      <c r="D10" s="6" t="s">
        <v>22</v>
      </c>
      <c r="E10" s="21"/>
    </row>
    <row r="11" spans="1:6">
      <c r="A11" s="21" t="s">
        <v>17</v>
      </c>
      <c r="B11" s="21"/>
      <c r="C11" s="23">
        <f ca="1">INTERCEPT(INDIRECT($D$9):G992,INDIRECT($C$9):F992)</f>
        <v>5.8575257186210636E-2</v>
      </c>
      <c r="D11" s="5"/>
      <c r="E11" s="21"/>
    </row>
    <row r="12" spans="1:6">
      <c r="A12" s="21" t="s">
        <v>18</v>
      </c>
      <c r="B12" s="21"/>
      <c r="C12" s="23">
        <f ca="1">SLOPE(INDIRECT($D$9):G992,INDIRECT($C$9):F992)</f>
        <v>-7.968530309063473E-6</v>
      </c>
      <c r="D12" s="5"/>
      <c r="E12" s="21"/>
    </row>
    <row r="13" spans="1:6">
      <c r="A13" s="21" t="s">
        <v>20</v>
      </c>
      <c r="B13" s="21"/>
      <c r="C13" s="5" t="s">
        <v>15</v>
      </c>
    </row>
    <row r="14" spans="1:6">
      <c r="A14" s="21"/>
      <c r="B14" s="21"/>
      <c r="C14" s="21"/>
    </row>
    <row r="15" spans="1:6">
      <c r="A15" s="28" t="s">
        <v>19</v>
      </c>
      <c r="B15" s="21"/>
      <c r="C15" s="29">
        <f ca="1">(C7+C11)+(C8+C12)*INT(MAX(F21:F3533))</f>
        <v>57800.441453642117</v>
      </c>
      <c r="E15" s="26" t="s">
        <v>53</v>
      </c>
      <c r="F15" s="22">
        <v>1</v>
      </c>
    </row>
    <row r="16" spans="1:6">
      <c r="A16" s="30" t="s">
        <v>5</v>
      </c>
      <c r="B16" s="21"/>
      <c r="C16" s="31">
        <f ca="1">+C8+C12</f>
        <v>4.2276700314696907</v>
      </c>
      <c r="E16" s="26" t="s">
        <v>54</v>
      </c>
      <c r="F16" s="27">
        <f ca="1">NOW()+15018.5+$C$5/24</f>
        <v>60355.732320370371</v>
      </c>
    </row>
    <row r="17" spans="1:21" ht="13.5" thickBot="1">
      <c r="A17" s="26" t="s">
        <v>50</v>
      </c>
      <c r="B17" s="21"/>
      <c r="C17" s="21">
        <f>COUNT(C21:C2191)</f>
        <v>36</v>
      </c>
      <c r="E17" s="26" t="s">
        <v>55</v>
      </c>
      <c r="F17" s="27">
        <f ca="1">ROUND(2*(F16-$C$7)/$C$8,0)/2+F15</f>
        <v>6909.5</v>
      </c>
    </row>
    <row r="18" spans="1:21" ht="14.25" thickTop="1" thickBot="1">
      <c r="A18" s="30" t="s">
        <v>6</v>
      </c>
      <c r="B18" s="21"/>
      <c r="C18" s="33">
        <f ca="1">+C15</f>
        <v>57800.441453642117</v>
      </c>
      <c r="D18" s="34">
        <f ca="1">+C16</f>
        <v>4.2276700314696907</v>
      </c>
      <c r="E18" s="26" t="s">
        <v>56</v>
      </c>
      <c r="F18" s="25">
        <f ca="1">ROUND(2*(F16-$C$15)/$C$16,0)/2+F15</f>
        <v>605.5</v>
      </c>
    </row>
    <row r="19" spans="1:21" ht="13.5" thickTop="1">
      <c r="E19" s="26" t="s">
        <v>57</v>
      </c>
      <c r="F19" s="32">
        <f ca="1">+$C$15+$C$16*F18-15018.5-$C$5/24</f>
        <v>45342.191491030353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69</v>
      </c>
      <c r="I20" s="9" t="s">
        <v>72</v>
      </c>
      <c r="J20" s="9" t="s">
        <v>66</v>
      </c>
      <c r="K20" s="9" t="s">
        <v>64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7" t="s">
        <v>211</v>
      </c>
    </row>
    <row r="21" spans="1:21">
      <c r="A21" s="54" t="s">
        <v>79</v>
      </c>
      <c r="B21" s="56" t="s">
        <v>46</v>
      </c>
      <c r="C21" s="55">
        <v>25999.338</v>
      </c>
      <c r="D21" s="55" t="s">
        <v>72</v>
      </c>
      <c r="E21">
        <f t="shared" ref="E21:E56" si="0">+(C21-C$7)/C$8</f>
        <v>-1218.1185511290125</v>
      </c>
      <c r="F21">
        <f t="shared" ref="F21:F56" si="1">ROUND(2*E21,0)/2</f>
        <v>-1218</v>
      </c>
      <c r="O21">
        <f t="shared" ref="O21:O56" ca="1" si="2">+C$11+C$12*$F21</f>
        <v>6.8280927102649949E-2</v>
      </c>
      <c r="Q21" s="2">
        <f t="shared" ref="Q21:Q56" si="3">+C21-15018.5</f>
        <v>10980.838</v>
      </c>
      <c r="U21">
        <f>+C21-(C$7+F21*C$8)</f>
        <v>-0.50119600000107312</v>
      </c>
    </row>
    <row r="22" spans="1:21">
      <c r="A22" s="54" t="s">
        <v>79</v>
      </c>
      <c r="B22" s="56" t="s">
        <v>46</v>
      </c>
      <c r="C22" s="55">
        <v>26067.39</v>
      </c>
      <c r="D22" s="55" t="s">
        <v>72</v>
      </c>
      <c r="E22">
        <f t="shared" si="0"/>
        <v>-1202.0217717621829</v>
      </c>
      <c r="F22">
        <f t="shared" si="1"/>
        <v>-1202</v>
      </c>
      <c r="G22">
        <f t="shared" ref="G22:G44" si="4">+C22-(C$7+F22*C$8)</f>
        <v>-9.2044000000896631E-2</v>
      </c>
      <c r="H22">
        <f>+G22</f>
        <v>-9.2044000000896631E-2</v>
      </c>
      <c r="O22">
        <f t="shared" ca="1" si="2"/>
        <v>6.815343061770493E-2</v>
      </c>
      <c r="Q22" s="2">
        <f t="shared" si="3"/>
        <v>11048.89</v>
      </c>
    </row>
    <row r="23" spans="1:21">
      <c r="A23" s="54" t="s">
        <v>79</v>
      </c>
      <c r="B23" s="56" t="s">
        <v>46</v>
      </c>
      <c r="C23" s="55">
        <v>26735.414000000001</v>
      </c>
      <c r="D23" s="55" t="s">
        <v>72</v>
      </c>
      <c r="E23">
        <f t="shared" si="0"/>
        <v>-1044.009737733101</v>
      </c>
      <c r="F23">
        <f t="shared" si="1"/>
        <v>-1044</v>
      </c>
      <c r="G23">
        <f t="shared" si="4"/>
        <v>-4.1167999999743188E-2</v>
      </c>
      <c r="H23">
        <f>+G23</f>
        <v>-4.1167999999743188E-2</v>
      </c>
      <c r="O23">
        <f t="shared" ca="1" si="2"/>
        <v>6.6894402828872906E-2</v>
      </c>
      <c r="Q23" s="2">
        <f t="shared" si="3"/>
        <v>11716.914000000001</v>
      </c>
    </row>
    <row r="24" spans="1:21">
      <c r="A24" s="54" t="s">
        <v>79</v>
      </c>
      <c r="B24" s="56" t="s">
        <v>46</v>
      </c>
      <c r="C24" s="55">
        <v>27124.427</v>
      </c>
      <c r="D24" s="55" t="s">
        <v>72</v>
      </c>
      <c r="E24">
        <f t="shared" si="0"/>
        <v>-951.99397872780332</v>
      </c>
      <c r="F24">
        <f t="shared" si="1"/>
        <v>-952</v>
      </c>
      <c r="G24">
        <f t="shared" si="4"/>
        <v>2.5455999999394407E-2</v>
      </c>
      <c r="H24">
        <f>+G24</f>
        <v>2.5455999999394407E-2</v>
      </c>
      <c r="O24">
        <f t="shared" ca="1" si="2"/>
        <v>6.6161298040439062E-2</v>
      </c>
      <c r="Q24" s="2">
        <f t="shared" si="3"/>
        <v>12105.927</v>
      </c>
    </row>
    <row r="25" spans="1:21">
      <c r="A25" s="54" t="s">
        <v>79</v>
      </c>
      <c r="B25" s="56" t="s">
        <v>46</v>
      </c>
      <c r="C25" s="55">
        <v>27158.371999999999</v>
      </c>
      <c r="D25" s="55" t="s">
        <v>72</v>
      </c>
      <c r="E25">
        <f t="shared" si="0"/>
        <v>-943.96474849787569</v>
      </c>
      <c r="F25">
        <f t="shared" si="1"/>
        <v>-944</v>
      </c>
      <c r="G25">
        <f t="shared" si="4"/>
        <v>0.14903199999753269</v>
      </c>
      <c r="H25">
        <f>+G25</f>
        <v>0.14903199999753269</v>
      </c>
      <c r="O25">
        <f t="shared" ca="1" si="2"/>
        <v>6.6097549797966559E-2</v>
      </c>
      <c r="Q25" s="2">
        <f t="shared" si="3"/>
        <v>12139.871999999999</v>
      </c>
    </row>
    <row r="26" spans="1:21" ht="12.75" customHeight="1">
      <c r="A26" t="s">
        <v>13</v>
      </c>
      <c r="C26" s="15">
        <v>31149.151000000002</v>
      </c>
      <c r="D26" s="15" t="s">
        <v>15</v>
      </c>
      <c r="E26">
        <f t="shared" si="0"/>
        <v>0</v>
      </c>
      <c r="F26">
        <f t="shared" si="1"/>
        <v>0</v>
      </c>
      <c r="G26">
        <f t="shared" si="4"/>
        <v>0</v>
      </c>
      <c r="H26">
        <f>+G26</f>
        <v>0</v>
      </c>
      <c r="O26">
        <f t="shared" ca="1" si="2"/>
        <v>5.8575257186210636E-2</v>
      </c>
      <c r="Q26" s="2">
        <f t="shared" si="3"/>
        <v>16130.651000000002</v>
      </c>
    </row>
    <row r="27" spans="1:21">
      <c r="A27" s="54" t="s">
        <v>102</v>
      </c>
      <c r="B27" s="56" t="s">
        <v>46</v>
      </c>
      <c r="C27" s="55">
        <v>31174.526999999998</v>
      </c>
      <c r="D27" s="55" t="s">
        <v>72</v>
      </c>
      <c r="E27">
        <f t="shared" si="0"/>
        <v>6.0023492801477705</v>
      </c>
      <c r="F27">
        <f t="shared" si="1"/>
        <v>6</v>
      </c>
      <c r="G27">
        <f t="shared" si="4"/>
        <v>9.9319999972067308E-3</v>
      </c>
      <c r="I27">
        <f t="shared" ref="I27:I44" si="5">+G27</f>
        <v>9.9319999972067308E-3</v>
      </c>
      <c r="O27">
        <f t="shared" ca="1" si="2"/>
        <v>5.8527446004356255E-2</v>
      </c>
      <c r="Q27" s="2">
        <f t="shared" si="3"/>
        <v>16156.026999999998</v>
      </c>
    </row>
    <row r="28" spans="1:21">
      <c r="A28" s="54" t="s">
        <v>102</v>
      </c>
      <c r="B28" s="56" t="s">
        <v>46</v>
      </c>
      <c r="C28" s="55">
        <v>31774.850999999999</v>
      </c>
      <c r="D28" s="55" t="s">
        <v>72</v>
      </c>
      <c r="E28">
        <f t="shared" si="0"/>
        <v>148.00086477730733</v>
      </c>
      <c r="F28">
        <f t="shared" si="1"/>
        <v>148</v>
      </c>
      <c r="G28">
        <f t="shared" si="4"/>
        <v>3.6559999971359503E-3</v>
      </c>
      <c r="I28">
        <f t="shared" si="5"/>
        <v>3.6559999971359503E-3</v>
      </c>
      <c r="O28">
        <f t="shared" ca="1" si="2"/>
        <v>5.7395914700469244E-2</v>
      </c>
      <c r="Q28" s="2">
        <f t="shared" si="3"/>
        <v>16756.350999999999</v>
      </c>
    </row>
    <row r="29" spans="1:21">
      <c r="A29" s="54" t="s">
        <v>102</v>
      </c>
      <c r="B29" s="56" t="s">
        <v>46</v>
      </c>
      <c r="C29" s="55">
        <v>32979.743999999999</v>
      </c>
      <c r="D29" s="55" t="s">
        <v>72</v>
      </c>
      <c r="E29">
        <f t="shared" si="0"/>
        <v>433.00199305623494</v>
      </c>
      <c r="F29">
        <f t="shared" si="1"/>
        <v>433</v>
      </c>
      <c r="G29">
        <f t="shared" si="4"/>
        <v>8.4260000003268942E-3</v>
      </c>
      <c r="I29">
        <f t="shared" si="5"/>
        <v>8.4260000003268942E-3</v>
      </c>
      <c r="O29">
        <f t="shared" ca="1" si="2"/>
        <v>5.5124883562386151E-2</v>
      </c>
      <c r="Q29" s="2">
        <f t="shared" si="3"/>
        <v>17961.243999999999</v>
      </c>
    </row>
    <row r="30" spans="1:21">
      <c r="A30" s="54" t="s">
        <v>102</v>
      </c>
      <c r="B30" s="56" t="s">
        <v>46</v>
      </c>
      <c r="C30" s="55">
        <v>35579.754000000001</v>
      </c>
      <c r="D30" s="55" t="s">
        <v>72</v>
      </c>
      <c r="E30">
        <f t="shared" si="0"/>
        <v>1047.9991617147757</v>
      </c>
      <c r="F30">
        <f t="shared" si="1"/>
        <v>1048</v>
      </c>
      <c r="G30">
        <f t="shared" si="4"/>
        <v>-3.5439999992377125E-3</v>
      </c>
      <c r="I30">
        <f t="shared" si="5"/>
        <v>-3.5439999992377125E-3</v>
      </c>
      <c r="O30">
        <f t="shared" ca="1" si="2"/>
        <v>5.0224237422312114E-2</v>
      </c>
      <c r="Q30" s="2">
        <f t="shared" si="3"/>
        <v>20561.254000000001</v>
      </c>
    </row>
    <row r="31" spans="1:21">
      <c r="A31" s="54" t="s">
        <v>102</v>
      </c>
      <c r="B31" s="56" t="s">
        <v>46</v>
      </c>
      <c r="C31" s="55">
        <v>35934.866999999998</v>
      </c>
      <c r="D31" s="55" t="s">
        <v>72</v>
      </c>
      <c r="E31">
        <f t="shared" si="0"/>
        <v>1131.9963346309717</v>
      </c>
      <c r="F31">
        <f t="shared" si="1"/>
        <v>1132</v>
      </c>
      <c r="G31">
        <f t="shared" si="4"/>
        <v>-1.5496000007260591E-2</v>
      </c>
      <c r="I31">
        <f t="shared" si="5"/>
        <v>-1.5496000007260591E-2</v>
      </c>
      <c r="O31">
        <f t="shared" ca="1" si="2"/>
        <v>4.9554880876350786E-2</v>
      </c>
      <c r="Q31" s="2">
        <f t="shared" si="3"/>
        <v>20916.366999999998</v>
      </c>
    </row>
    <row r="32" spans="1:21" ht="12.75" customHeight="1">
      <c r="A32" s="11" t="s">
        <v>48</v>
      </c>
      <c r="B32" s="12"/>
      <c r="C32" s="11">
        <v>41367.47</v>
      </c>
      <c r="D32" s="16"/>
      <c r="E32">
        <f t="shared" si="0"/>
        <v>2417.0050320767095</v>
      </c>
      <c r="F32">
        <f t="shared" si="1"/>
        <v>2417</v>
      </c>
      <c r="G32">
        <f t="shared" si="4"/>
        <v>2.1273999998811632E-2</v>
      </c>
      <c r="I32">
        <f t="shared" si="5"/>
        <v>2.1273999998811632E-2</v>
      </c>
      <c r="O32">
        <f t="shared" ca="1" si="2"/>
        <v>3.9315319429204222E-2</v>
      </c>
      <c r="Q32" s="2">
        <f t="shared" si="3"/>
        <v>26348.97</v>
      </c>
    </row>
    <row r="33" spans="1:21" ht="12.75" customHeight="1">
      <c r="A33" t="s">
        <v>29</v>
      </c>
      <c r="C33" s="17">
        <v>41722.584000000003</v>
      </c>
      <c r="D33" s="15"/>
      <c r="E33">
        <f t="shared" si="0"/>
        <v>2501.0024415293692</v>
      </c>
      <c r="F33">
        <f t="shared" si="1"/>
        <v>2501</v>
      </c>
      <c r="G33">
        <f t="shared" si="4"/>
        <v>1.0322000001906417E-2</v>
      </c>
      <c r="I33">
        <f t="shared" si="5"/>
        <v>1.0322000001906417E-2</v>
      </c>
      <c r="O33">
        <f t="shared" ca="1" si="2"/>
        <v>3.8645962883242888E-2</v>
      </c>
      <c r="Q33" s="2">
        <f t="shared" si="3"/>
        <v>26704.084000000003</v>
      </c>
    </row>
    <row r="34" spans="1:21" ht="12.75" customHeight="1">
      <c r="A34" t="s">
        <v>30</v>
      </c>
      <c r="C34" s="17">
        <v>42035.453999999998</v>
      </c>
      <c r="D34" s="15"/>
      <c r="E34">
        <f t="shared" si="0"/>
        <v>2575.0076046472782</v>
      </c>
      <c r="F34">
        <f t="shared" si="1"/>
        <v>2575</v>
      </c>
      <c r="G34">
        <f t="shared" si="4"/>
        <v>3.214999999909196E-2</v>
      </c>
      <c r="I34">
        <f t="shared" si="5"/>
        <v>3.214999999909196E-2</v>
      </c>
      <c r="O34">
        <f t="shared" ca="1" si="2"/>
        <v>3.8056291640372192E-2</v>
      </c>
      <c r="Q34" s="2">
        <f t="shared" si="3"/>
        <v>27016.953999999998</v>
      </c>
    </row>
    <row r="35" spans="1:21" ht="12.75" customHeight="1">
      <c r="A35" t="s">
        <v>31</v>
      </c>
      <c r="C35" s="17">
        <v>42090.402000000002</v>
      </c>
      <c r="D35" s="15"/>
      <c r="E35">
        <f t="shared" si="0"/>
        <v>2588.0048102055075</v>
      </c>
      <c r="F35">
        <f t="shared" si="1"/>
        <v>2588</v>
      </c>
      <c r="G35">
        <f t="shared" si="4"/>
        <v>2.0336000001407228E-2</v>
      </c>
      <c r="I35">
        <f t="shared" si="5"/>
        <v>2.0336000001407228E-2</v>
      </c>
      <c r="O35">
        <f t="shared" ca="1" si="2"/>
        <v>3.7952700746354366E-2</v>
      </c>
      <c r="Q35" s="2">
        <f t="shared" si="3"/>
        <v>27071.902000000002</v>
      </c>
    </row>
    <row r="36" spans="1:21" ht="12.75" customHeight="1">
      <c r="A36" t="s">
        <v>32</v>
      </c>
      <c r="C36" s="17">
        <v>42424.36</v>
      </c>
      <c r="D36" s="15"/>
      <c r="E36">
        <f t="shared" si="0"/>
        <v>2666.9980542510566</v>
      </c>
      <c r="F36">
        <f t="shared" si="1"/>
        <v>2667</v>
      </c>
      <c r="G36">
        <f t="shared" si="4"/>
        <v>-8.2260000053793192E-3</v>
      </c>
      <c r="I36">
        <f t="shared" si="5"/>
        <v>-8.2260000053793192E-3</v>
      </c>
      <c r="O36">
        <f t="shared" ca="1" si="2"/>
        <v>3.7323186851938354E-2</v>
      </c>
      <c r="Q36" s="2">
        <f t="shared" si="3"/>
        <v>27405.86</v>
      </c>
    </row>
    <row r="37" spans="1:21" ht="12.75" customHeight="1">
      <c r="A37" t="s">
        <v>33</v>
      </c>
      <c r="C37" s="17">
        <v>42517.368000000002</v>
      </c>
      <c r="D37" s="15"/>
      <c r="E37">
        <f t="shared" si="0"/>
        <v>2688.9978375836572</v>
      </c>
      <c r="F37">
        <f t="shared" si="1"/>
        <v>2689</v>
      </c>
      <c r="G37">
        <f t="shared" si="4"/>
        <v>-9.1419999953359365E-3</v>
      </c>
      <c r="I37">
        <f t="shared" si="5"/>
        <v>-9.1419999953359365E-3</v>
      </c>
      <c r="O37">
        <f t="shared" ca="1" si="2"/>
        <v>3.7147879185138954E-2</v>
      </c>
      <c r="Q37" s="2">
        <f t="shared" si="3"/>
        <v>27498.868000000002</v>
      </c>
    </row>
    <row r="38" spans="1:21" ht="12.75" customHeight="1">
      <c r="A38" t="s">
        <v>34</v>
      </c>
      <c r="C38" s="17">
        <v>43168.474999999999</v>
      </c>
      <c r="D38" s="15"/>
      <c r="E38">
        <f t="shared" si="0"/>
        <v>2843.0083842714598</v>
      </c>
      <c r="F38">
        <f t="shared" si="1"/>
        <v>2843</v>
      </c>
      <c r="G38">
        <f t="shared" si="4"/>
        <v>3.5445999994408339E-2</v>
      </c>
      <c r="I38">
        <f t="shared" si="5"/>
        <v>3.5445999994408339E-2</v>
      </c>
      <c r="O38">
        <f t="shared" ca="1" si="2"/>
        <v>3.5920725517543182E-2</v>
      </c>
      <c r="Q38" s="2">
        <f t="shared" si="3"/>
        <v>28149.974999999999</v>
      </c>
    </row>
    <row r="39" spans="1:21" ht="12.75" customHeight="1">
      <c r="A39" t="s">
        <v>35</v>
      </c>
      <c r="C39" s="17">
        <v>45079.373</v>
      </c>
      <c r="D39" s="15"/>
      <c r="E39">
        <f t="shared" si="0"/>
        <v>3295.0054379732792</v>
      </c>
      <c r="F39">
        <f t="shared" si="1"/>
        <v>3295</v>
      </c>
      <c r="G39">
        <f t="shared" si="4"/>
        <v>2.298999999766238E-2</v>
      </c>
      <c r="I39">
        <f t="shared" si="5"/>
        <v>2.298999999766238E-2</v>
      </c>
      <c r="O39">
        <f t="shared" ca="1" si="2"/>
        <v>3.2318949817846492E-2</v>
      </c>
      <c r="Q39" s="2">
        <f t="shared" si="3"/>
        <v>30060.873</v>
      </c>
    </row>
    <row r="40" spans="1:21" ht="12.75" customHeight="1">
      <c r="A40" t="s">
        <v>36</v>
      </c>
      <c r="C40" s="17">
        <v>45358.372000000003</v>
      </c>
      <c r="D40" s="15"/>
      <c r="E40">
        <f t="shared" si="0"/>
        <v>3360.9988745595101</v>
      </c>
      <c r="F40">
        <f t="shared" si="1"/>
        <v>3361</v>
      </c>
      <c r="G40">
        <f t="shared" si="4"/>
        <v>-4.7579999954905361E-3</v>
      </c>
      <c r="I40">
        <f t="shared" si="5"/>
        <v>-4.7579999954905361E-3</v>
      </c>
      <c r="O40">
        <f t="shared" ca="1" si="2"/>
        <v>3.1793026817448305E-2</v>
      </c>
      <c r="Q40" s="2">
        <f t="shared" si="3"/>
        <v>30339.872000000003</v>
      </c>
    </row>
    <row r="41" spans="1:21" ht="12.75" customHeight="1">
      <c r="A41" t="s">
        <v>37</v>
      </c>
      <c r="C41" s="17">
        <v>45641.644</v>
      </c>
      <c r="D41" s="15"/>
      <c r="E41">
        <f t="shared" si="0"/>
        <v>3428.0030314513069</v>
      </c>
      <c r="F41">
        <f t="shared" si="1"/>
        <v>3428</v>
      </c>
      <c r="G41">
        <f t="shared" si="4"/>
        <v>1.2816000002203509E-2</v>
      </c>
      <c r="I41">
        <f t="shared" si="5"/>
        <v>1.2816000002203509E-2</v>
      </c>
      <c r="O41">
        <f t="shared" ca="1" si="2"/>
        <v>3.1259135286741055E-2</v>
      </c>
      <c r="Q41" s="2">
        <f t="shared" si="3"/>
        <v>30623.144</v>
      </c>
    </row>
    <row r="42" spans="1:21" ht="12.75" customHeight="1">
      <c r="A42" t="s">
        <v>38</v>
      </c>
      <c r="C42" s="17">
        <v>45730.432000000001</v>
      </c>
      <c r="D42" s="15"/>
      <c r="E42">
        <f t="shared" si="0"/>
        <v>3449.0046309108684</v>
      </c>
      <c r="F42">
        <f t="shared" si="1"/>
        <v>3449</v>
      </c>
      <c r="G42">
        <f t="shared" si="4"/>
        <v>1.9577999999455642E-2</v>
      </c>
      <c r="I42">
        <f t="shared" si="5"/>
        <v>1.9577999999455642E-2</v>
      </c>
      <c r="O42">
        <f t="shared" ca="1" si="2"/>
        <v>3.1091796150250716E-2</v>
      </c>
      <c r="Q42" s="2">
        <f t="shared" si="3"/>
        <v>30711.932000000001</v>
      </c>
    </row>
    <row r="43" spans="1:21" ht="12.75" customHeight="1">
      <c r="A43" t="s">
        <v>39</v>
      </c>
      <c r="C43" s="17">
        <v>45802.313000000002</v>
      </c>
      <c r="D43" s="15"/>
      <c r="E43">
        <f t="shared" si="0"/>
        <v>3466.0071083937801</v>
      </c>
      <c r="F43">
        <f t="shared" si="1"/>
        <v>3466</v>
      </c>
      <c r="G43">
        <f t="shared" si="4"/>
        <v>3.0052000001887791E-2</v>
      </c>
      <c r="I43">
        <f t="shared" si="5"/>
        <v>3.0052000001887791E-2</v>
      </c>
      <c r="O43">
        <f t="shared" ca="1" si="2"/>
        <v>3.0956331134996639E-2</v>
      </c>
      <c r="Q43" s="2">
        <f t="shared" si="3"/>
        <v>30783.813000000002</v>
      </c>
    </row>
    <row r="44" spans="1:21" ht="12.75" customHeight="1">
      <c r="A44" t="s">
        <v>40</v>
      </c>
      <c r="C44" s="17">
        <v>46402.63</v>
      </c>
      <c r="D44" s="15"/>
      <c r="E44">
        <f t="shared" si="0"/>
        <v>3608.0039681356989</v>
      </c>
      <c r="F44">
        <f t="shared" si="1"/>
        <v>3608</v>
      </c>
      <c r="G44">
        <f t="shared" si="4"/>
        <v>1.6775999996752944E-2</v>
      </c>
      <c r="I44">
        <f t="shared" si="5"/>
        <v>1.6775999996752944E-2</v>
      </c>
      <c r="O44">
        <f t="shared" ca="1" si="2"/>
        <v>2.9824799831109625E-2</v>
      </c>
      <c r="Q44" s="2">
        <f t="shared" si="3"/>
        <v>31384.129999999997</v>
      </c>
    </row>
    <row r="45" spans="1:21">
      <c r="A45" s="54" t="s">
        <v>171</v>
      </c>
      <c r="B45" s="56" t="s">
        <v>210</v>
      </c>
      <c r="C45" s="55">
        <v>47118.569000000003</v>
      </c>
      <c r="D45" s="55" t="s">
        <v>72</v>
      </c>
      <c r="E45">
        <f t="shared" si="0"/>
        <v>3777.3496467801006</v>
      </c>
      <c r="F45">
        <f t="shared" si="1"/>
        <v>3777.5</v>
      </c>
      <c r="O45">
        <f t="shared" ca="1" si="2"/>
        <v>2.8474133943723366E-2</v>
      </c>
      <c r="Q45" s="2">
        <f t="shared" si="3"/>
        <v>32100.069000000003</v>
      </c>
      <c r="U45">
        <f>+C45-(C$7+F45*C$8)</f>
        <v>-0.6356450000021141</v>
      </c>
    </row>
    <row r="46" spans="1:21" ht="12.75" customHeight="1">
      <c r="A46" t="s">
        <v>41</v>
      </c>
      <c r="C46" s="17">
        <v>47159.398999999998</v>
      </c>
      <c r="D46" s="15"/>
      <c r="E46">
        <f t="shared" si="0"/>
        <v>3787.0074305564417</v>
      </c>
      <c r="F46">
        <f t="shared" si="1"/>
        <v>3787</v>
      </c>
      <c r="G46">
        <f t="shared" ref="G46:G56" si="6">+C46-(C$7+F46*C$8)</f>
        <v>3.1413999997312203E-2</v>
      </c>
      <c r="I46">
        <f>+G46</f>
        <v>3.1413999997312203E-2</v>
      </c>
      <c r="O46">
        <f t="shared" ca="1" si="2"/>
        <v>2.8398432905787262E-2</v>
      </c>
      <c r="Q46" s="2">
        <f t="shared" si="3"/>
        <v>32140.898999999998</v>
      </c>
    </row>
    <row r="47" spans="1:21" ht="12.75" customHeight="1">
      <c r="A47" t="s">
        <v>42</v>
      </c>
      <c r="C47" s="17">
        <v>47624.425000000003</v>
      </c>
      <c r="D47" s="15"/>
      <c r="E47">
        <f t="shared" si="0"/>
        <v>3897.003035708964</v>
      </c>
      <c r="F47">
        <f t="shared" si="1"/>
        <v>3897</v>
      </c>
      <c r="G47">
        <f t="shared" si="6"/>
        <v>1.2834000001021195E-2</v>
      </c>
      <c r="I47">
        <f>+G47</f>
        <v>1.2834000001021195E-2</v>
      </c>
      <c r="O47">
        <f t="shared" ca="1" si="2"/>
        <v>2.752189457179028E-2</v>
      </c>
      <c r="Q47" s="2">
        <f t="shared" si="3"/>
        <v>32605.925000000003</v>
      </c>
    </row>
    <row r="48" spans="1:21" ht="12.75" customHeight="1">
      <c r="A48" t="s">
        <v>43</v>
      </c>
      <c r="C48" s="17">
        <v>48647.548999999999</v>
      </c>
      <c r="D48" s="15">
        <v>1.0999999999999999E-2</v>
      </c>
      <c r="E48">
        <f t="shared" si="0"/>
        <v>4139.0091676802249</v>
      </c>
      <c r="F48">
        <f t="shared" si="1"/>
        <v>4139</v>
      </c>
      <c r="G48">
        <f t="shared" si="6"/>
        <v>3.875799999514129E-2</v>
      </c>
      <c r="I48">
        <f>+G48</f>
        <v>3.875799999514129E-2</v>
      </c>
      <c r="O48">
        <f t="shared" ca="1" si="2"/>
        <v>2.5593510236996922E-2</v>
      </c>
      <c r="Q48" s="2">
        <f t="shared" si="3"/>
        <v>33629.048999999999</v>
      </c>
    </row>
    <row r="49" spans="1:17" ht="12.75" customHeight="1">
      <c r="A49" t="s">
        <v>44</v>
      </c>
      <c r="C49" s="17">
        <v>50042.678</v>
      </c>
      <c r="D49" s="15">
        <v>8.0000000000000002E-3</v>
      </c>
      <c r="E49">
        <f t="shared" si="0"/>
        <v>4469.0080464973917</v>
      </c>
      <c r="F49">
        <f t="shared" si="1"/>
        <v>4469</v>
      </c>
      <c r="G49">
        <f t="shared" si="6"/>
        <v>3.401799999846844E-2</v>
      </c>
      <c r="I49">
        <f>+G49</f>
        <v>3.401799999846844E-2</v>
      </c>
      <c r="O49">
        <f t="shared" ca="1" si="2"/>
        <v>2.2963895235005978E-2</v>
      </c>
      <c r="Q49" s="2">
        <f t="shared" si="3"/>
        <v>35024.178</v>
      </c>
    </row>
    <row r="50" spans="1:17" ht="12.75" customHeight="1">
      <c r="A50" t="s">
        <v>45</v>
      </c>
      <c r="B50" s="5" t="s">
        <v>46</v>
      </c>
      <c r="C50" s="18">
        <v>51543.511100000003</v>
      </c>
      <c r="D50" s="18">
        <v>8.9999999999999993E-3</v>
      </c>
      <c r="E50">
        <f t="shared" si="0"/>
        <v>4824.0097992325818</v>
      </c>
      <c r="F50">
        <f t="shared" si="1"/>
        <v>4824</v>
      </c>
      <c r="G50">
        <f t="shared" si="6"/>
        <v>4.1427999996813014E-2</v>
      </c>
      <c r="K50">
        <f>+G50</f>
        <v>4.1427999996813014E-2</v>
      </c>
      <c r="O50">
        <f t="shared" ca="1" si="2"/>
        <v>2.013506697528844E-2</v>
      </c>
      <c r="Q50" s="2">
        <f t="shared" si="3"/>
        <v>36525.011100000003</v>
      </c>
    </row>
    <row r="51" spans="1:17" ht="12.75" customHeight="1">
      <c r="A51" s="13" t="s">
        <v>45</v>
      </c>
      <c r="B51" s="14" t="s">
        <v>46</v>
      </c>
      <c r="C51" s="19">
        <v>51543.511100000003</v>
      </c>
      <c r="D51" s="19">
        <v>8.9999999999999993E-3</v>
      </c>
      <c r="E51">
        <f t="shared" si="0"/>
        <v>4824.0097992325818</v>
      </c>
      <c r="F51">
        <f t="shared" si="1"/>
        <v>4824</v>
      </c>
      <c r="G51">
        <f t="shared" si="6"/>
        <v>4.1427999996813014E-2</v>
      </c>
      <c r="K51">
        <f>+G51</f>
        <v>4.1427999996813014E-2</v>
      </c>
      <c r="O51">
        <f t="shared" ca="1" si="2"/>
        <v>2.013506697528844E-2</v>
      </c>
      <c r="Q51" s="2">
        <f t="shared" si="3"/>
        <v>36525.011100000003</v>
      </c>
    </row>
    <row r="52" spans="1:17" ht="12.75" customHeight="1">
      <c r="A52" s="13" t="s">
        <v>49</v>
      </c>
      <c r="B52" s="37" t="s">
        <v>46</v>
      </c>
      <c r="C52" s="13">
        <v>52938.65</v>
      </c>
      <c r="D52" s="38">
        <v>8.0000000000000002E-3</v>
      </c>
      <c r="E52">
        <f t="shared" si="0"/>
        <v>5154.0110197607291</v>
      </c>
      <c r="F52">
        <f t="shared" si="1"/>
        <v>5154</v>
      </c>
      <c r="G52">
        <f t="shared" si="6"/>
        <v>4.6588000004703645E-2</v>
      </c>
      <c r="K52">
        <f>+G52</f>
        <v>4.6588000004703645E-2</v>
      </c>
      <c r="O52">
        <f t="shared" ca="1" si="2"/>
        <v>1.7505451973297496E-2</v>
      </c>
      <c r="Q52" s="2">
        <f t="shared" si="3"/>
        <v>37920.15</v>
      </c>
    </row>
    <row r="53" spans="1:17">
      <c r="A53" s="13" t="s">
        <v>59</v>
      </c>
      <c r="B53" s="37" t="s">
        <v>46</v>
      </c>
      <c r="C53" s="13">
        <v>53382.544999999998</v>
      </c>
      <c r="D53" s="13">
        <v>6.0000000000000001E-3</v>
      </c>
      <c r="E53">
        <f t="shared" si="0"/>
        <v>5259.0083729177095</v>
      </c>
      <c r="F53">
        <f t="shared" si="1"/>
        <v>5259</v>
      </c>
      <c r="G53">
        <f t="shared" si="6"/>
        <v>3.5397999992710538E-2</v>
      </c>
      <c r="I53">
        <f>+G53</f>
        <v>3.5397999992710538E-2</v>
      </c>
      <c r="O53">
        <f t="shared" ca="1" si="2"/>
        <v>1.6668756290845833E-2</v>
      </c>
      <c r="Q53" s="2">
        <f t="shared" si="3"/>
        <v>38364.044999999998</v>
      </c>
    </row>
    <row r="54" spans="1:17">
      <c r="A54" s="58" t="s">
        <v>61</v>
      </c>
      <c r="B54" s="59" t="s">
        <v>46</v>
      </c>
      <c r="C54" s="60">
        <v>55961.389600000002</v>
      </c>
      <c r="D54" s="60">
        <v>8.6E-3</v>
      </c>
      <c r="E54">
        <f t="shared" si="0"/>
        <v>5868.9991527263901</v>
      </c>
      <c r="F54">
        <f t="shared" si="1"/>
        <v>5869</v>
      </c>
      <c r="G54">
        <f t="shared" si="6"/>
        <v>-3.581999997550156E-3</v>
      </c>
      <c r="J54">
        <f>+G54</f>
        <v>-3.581999997550156E-3</v>
      </c>
      <c r="O54">
        <f t="shared" ca="1" si="2"/>
        <v>1.1807952802317112E-2</v>
      </c>
      <c r="Q54" s="2">
        <f t="shared" si="3"/>
        <v>40942.889600000002</v>
      </c>
    </row>
    <row r="55" spans="1:17">
      <c r="A55" s="39" t="s">
        <v>60</v>
      </c>
      <c r="B55" s="40" t="s">
        <v>46</v>
      </c>
      <c r="C55" s="39">
        <v>56003.6659</v>
      </c>
      <c r="D55" s="39">
        <v>8.9999999999999998E-4</v>
      </c>
      <c r="E55">
        <f t="shared" si="0"/>
        <v>5878.9990391888878</v>
      </c>
      <c r="F55">
        <f t="shared" si="1"/>
        <v>5879</v>
      </c>
      <c r="G55">
        <f t="shared" si="6"/>
        <v>-4.0619999999762513E-3</v>
      </c>
      <c r="K55">
        <f>+G55</f>
        <v>-4.0619999999762513E-3</v>
      </c>
      <c r="O55">
        <f t="shared" ca="1" si="2"/>
        <v>1.172826749922648E-2</v>
      </c>
      <c r="Q55" s="2">
        <f t="shared" si="3"/>
        <v>40985.1659</v>
      </c>
    </row>
    <row r="56" spans="1:17">
      <c r="A56" s="61" t="s">
        <v>0</v>
      </c>
      <c r="B56" s="62" t="s">
        <v>46</v>
      </c>
      <c r="C56" s="63">
        <v>57800.4136</v>
      </c>
      <c r="D56" s="63">
        <v>1.1999999999999999E-3</v>
      </c>
      <c r="E56">
        <f t="shared" si="0"/>
        <v>6303.9953847005372</v>
      </c>
      <c r="F56">
        <f t="shared" si="1"/>
        <v>6304</v>
      </c>
      <c r="G56">
        <f t="shared" si="6"/>
        <v>-1.9511999998940155E-2</v>
      </c>
      <c r="K56">
        <f>+G56</f>
        <v>-1.9511999998940155E-2</v>
      </c>
      <c r="O56">
        <f t="shared" ca="1" si="2"/>
        <v>8.3416421178745051E-3</v>
      </c>
      <c r="Q56" s="2">
        <f t="shared" si="3"/>
        <v>42781.9136</v>
      </c>
    </row>
    <row r="57" spans="1:17">
      <c r="B57" s="5"/>
      <c r="C57" s="15"/>
      <c r="D57" s="15"/>
    </row>
    <row r="58" spans="1:17">
      <c r="C58" s="15"/>
      <c r="D58" s="15"/>
    </row>
    <row r="59" spans="1:17">
      <c r="C59" s="15"/>
      <c r="D59" s="15"/>
    </row>
    <row r="60" spans="1:17">
      <c r="C60" s="15"/>
      <c r="D60" s="15"/>
    </row>
    <row r="61" spans="1:17">
      <c r="C61" s="15"/>
      <c r="D61" s="15"/>
    </row>
    <row r="62" spans="1:17">
      <c r="C62" s="15"/>
      <c r="D62" s="15"/>
    </row>
    <row r="63" spans="1:17">
      <c r="C63" s="15"/>
      <c r="D63" s="15"/>
    </row>
    <row r="64" spans="1:17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</sheetData>
  <phoneticPr fontId="7" type="noConversion"/>
  <hyperlinks>
    <hyperlink ref="H64334" r:id="rId1" display="http://vsolj.cetus-net.org/bulletin.html"/>
    <hyperlink ref="H64327" r:id="rId2" display="https://www.aavso.org/ejaavso"/>
    <hyperlink ref="AP478" r:id="rId3" display="http://cdsbib.u-strasbg.fr/cgi-bin/cdsbib?1990RMxAA..21..381G"/>
    <hyperlink ref="AP482" r:id="rId4" display="http://cdsbib.u-strasbg.fr/cgi-bin/cdsbib?1990RMxAA..21..381G"/>
    <hyperlink ref="AP481" r:id="rId5" display="http://cdsbib.u-strasbg.fr/cgi-bin/cdsbib?1990RMxAA..21..381G"/>
    <hyperlink ref="AP462" r:id="rId6" display="http://cdsbib.u-strasbg.fr/cgi-bin/cdsbib?1990RMxAA..21..381G"/>
    <hyperlink ref="I64334" r:id="rId7" display="http://vsolj.cetus-net.org/bulletin.html"/>
    <hyperlink ref="AQ618" r:id="rId8" display="http://cdsbib.u-strasbg.fr/cgi-bin/cdsbib?1990RMxAA..21..381G"/>
    <hyperlink ref="AQ55384" r:id="rId9" display="http://cdsbib.u-strasbg.fr/cgi-bin/cdsbib?1990RMxAA..21..381G"/>
    <hyperlink ref="AQ619" r:id="rId10" display="http://cdsbib.u-strasbg.fr/cgi-bin/cdsbib?1990RMxAA..21..381G"/>
    <hyperlink ref="H64331" r:id="rId11" display="https://www.aavso.org/ejaavso"/>
    <hyperlink ref="H1504" r:id="rId12" display="http://vsolj.cetus-net.org/bulletin.html"/>
    <hyperlink ref="AP2748" r:id="rId13" display="http://cdsbib.u-strasbg.fr/cgi-bin/cdsbib?1990RMxAA..21..381G"/>
    <hyperlink ref="AP2751" r:id="rId14" display="http://cdsbib.u-strasbg.fr/cgi-bin/cdsbib?1990RMxAA..21..381G"/>
    <hyperlink ref="AP2749" r:id="rId15" display="http://cdsbib.u-strasbg.fr/cgi-bin/cdsbib?1990RMxAA..21..381G"/>
    <hyperlink ref="AP2733" r:id="rId16" display="http://cdsbib.u-strasbg.fr/cgi-bin/cdsbib?1990RMxAA..21..381G"/>
    <hyperlink ref="I1504" r:id="rId17" display="http://vsolj.cetus-net.org/bulletin.html"/>
    <hyperlink ref="AQ2962" r:id="rId18" display="http://cdsbib.u-strasbg.fr/cgi-bin/cdsbib?1990RMxAA..21..381G"/>
    <hyperlink ref="AQ65199" r:id="rId19" display="http://cdsbib.u-strasbg.fr/cgi-bin/cdsbib?1990RMxAA..21..381G"/>
    <hyperlink ref="AQ296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8"/>
  <sheetViews>
    <sheetView workbookViewId="0">
      <selection activeCell="A34" sqref="A34:D44"/>
    </sheetView>
  </sheetViews>
  <sheetFormatPr defaultRowHeight="12.75"/>
  <cols>
    <col min="1" max="1" width="19.7109375" style="15" customWidth="1"/>
    <col min="2" max="2" width="4.42578125" style="21" customWidth="1"/>
    <col min="3" max="3" width="12.7109375" style="1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41" t="s">
        <v>62</v>
      </c>
      <c r="I1" s="42" t="s">
        <v>63</v>
      </c>
      <c r="J1" s="43" t="s">
        <v>64</v>
      </c>
    </row>
    <row r="2" spans="1:16">
      <c r="I2" s="44" t="s">
        <v>65</v>
      </c>
      <c r="J2" s="45" t="s">
        <v>66</v>
      </c>
    </row>
    <row r="3" spans="1:16">
      <c r="A3" s="46" t="s">
        <v>67</v>
      </c>
      <c r="I3" s="44" t="s">
        <v>68</v>
      </c>
      <c r="J3" s="45" t="s">
        <v>69</v>
      </c>
    </row>
    <row r="4" spans="1:16">
      <c r="I4" s="44" t="s">
        <v>70</v>
      </c>
      <c r="J4" s="45" t="s">
        <v>69</v>
      </c>
    </row>
    <row r="5" spans="1:16" ht="13.5" thickBot="1">
      <c r="I5" s="47" t="s">
        <v>71</v>
      </c>
      <c r="J5" s="48" t="s">
        <v>72</v>
      </c>
    </row>
    <row r="10" spans="1:16" ht="13.5" thickBot="1"/>
    <row r="11" spans="1:16" ht="12.75" customHeight="1" thickBot="1">
      <c r="A11" s="15" t="str">
        <f t="shared" ref="A11:A44" si="0">P11</f>
        <v> IODE 4.2.134 </v>
      </c>
      <c r="B11" s="5" t="str">
        <f t="shared" ref="B11:B44" si="1">IF(H11=INT(H11),"I","II")</f>
        <v>I</v>
      </c>
      <c r="C11" s="15">
        <f t="shared" ref="C11:C44" si="2">1*G11</f>
        <v>31149.151000000002</v>
      </c>
      <c r="D11" s="21" t="str">
        <f t="shared" ref="D11:D44" si="3">VLOOKUP(F11,I$1:J$5,2,FALSE)</f>
        <v>vis</v>
      </c>
      <c r="E11" s="49">
        <f>VLOOKUP(C11,Active!C$21:E$973,3,FALSE)</f>
        <v>0</v>
      </c>
      <c r="F11" s="5" t="s">
        <v>71</v>
      </c>
      <c r="G11" s="21" t="str">
        <f t="shared" ref="G11:G44" si="4">MID(I11,3,LEN(I11)-3)</f>
        <v>31149.151</v>
      </c>
      <c r="H11" s="15">
        <f t="shared" ref="H11:H44" si="5">1*K11</f>
        <v>0</v>
      </c>
      <c r="I11" s="50" t="s">
        <v>92</v>
      </c>
      <c r="J11" s="51" t="s">
        <v>93</v>
      </c>
      <c r="K11" s="50">
        <v>0</v>
      </c>
      <c r="L11" s="50" t="s">
        <v>94</v>
      </c>
      <c r="M11" s="51" t="s">
        <v>95</v>
      </c>
      <c r="N11" s="51"/>
      <c r="O11" s="52" t="s">
        <v>96</v>
      </c>
      <c r="P11" s="52" t="s">
        <v>97</v>
      </c>
    </row>
    <row r="12" spans="1:16" ht="12.75" customHeight="1" thickBot="1">
      <c r="A12" s="15" t="str">
        <f t="shared" si="0"/>
        <v>IBVS 637 </v>
      </c>
      <c r="B12" s="5" t="str">
        <f t="shared" si="1"/>
        <v>I</v>
      </c>
      <c r="C12" s="15">
        <f t="shared" si="2"/>
        <v>41367.47</v>
      </c>
      <c r="D12" s="21" t="str">
        <f t="shared" si="3"/>
        <v>vis</v>
      </c>
      <c r="E12" s="49">
        <f>VLOOKUP(C12,Active!C$21:E$973,3,FALSE)</f>
        <v>2417.0050320767095</v>
      </c>
      <c r="F12" s="5" t="s">
        <v>71</v>
      </c>
      <c r="G12" s="21" t="str">
        <f t="shared" si="4"/>
        <v>41367.470</v>
      </c>
      <c r="H12" s="15">
        <f t="shared" si="5"/>
        <v>2417</v>
      </c>
      <c r="I12" s="50" t="s">
        <v>115</v>
      </c>
      <c r="J12" s="51" t="s">
        <v>116</v>
      </c>
      <c r="K12" s="50">
        <v>2417</v>
      </c>
      <c r="L12" s="50" t="s">
        <v>117</v>
      </c>
      <c r="M12" s="51" t="s">
        <v>95</v>
      </c>
      <c r="N12" s="51"/>
      <c r="O12" s="52" t="s">
        <v>118</v>
      </c>
      <c r="P12" s="53" t="s">
        <v>119</v>
      </c>
    </row>
    <row r="13" spans="1:16" ht="12.75" customHeight="1" thickBot="1">
      <c r="A13" s="15" t="str">
        <f t="shared" si="0"/>
        <v> BBS 8 </v>
      </c>
      <c r="B13" s="5" t="str">
        <f t="shared" si="1"/>
        <v>I</v>
      </c>
      <c r="C13" s="15">
        <f t="shared" si="2"/>
        <v>41722.584000000003</v>
      </c>
      <c r="D13" s="21" t="str">
        <f t="shared" si="3"/>
        <v>vis</v>
      </c>
      <c r="E13" s="49">
        <f>VLOOKUP(C13,Active!C$21:E$973,3,FALSE)</f>
        <v>2501.0024415293692</v>
      </c>
      <c r="F13" s="5" t="s">
        <v>71</v>
      </c>
      <c r="G13" s="21" t="str">
        <f t="shared" si="4"/>
        <v>41722.584</v>
      </c>
      <c r="H13" s="15">
        <f t="shared" si="5"/>
        <v>2501</v>
      </c>
      <c r="I13" s="50" t="s">
        <v>120</v>
      </c>
      <c r="J13" s="51" t="s">
        <v>121</v>
      </c>
      <c r="K13" s="50">
        <v>2501</v>
      </c>
      <c r="L13" s="50" t="s">
        <v>100</v>
      </c>
      <c r="M13" s="51" t="s">
        <v>95</v>
      </c>
      <c r="N13" s="51"/>
      <c r="O13" s="52" t="s">
        <v>122</v>
      </c>
      <c r="P13" s="52" t="s">
        <v>123</v>
      </c>
    </row>
    <row r="14" spans="1:16" ht="12.75" customHeight="1" thickBot="1">
      <c r="A14" s="15" t="str">
        <f t="shared" si="0"/>
        <v> BBS 13 </v>
      </c>
      <c r="B14" s="5" t="str">
        <f t="shared" si="1"/>
        <v>I</v>
      </c>
      <c r="C14" s="15">
        <f t="shared" si="2"/>
        <v>42035.453999999998</v>
      </c>
      <c r="D14" s="21" t="str">
        <f t="shared" si="3"/>
        <v>vis</v>
      </c>
      <c r="E14" s="49">
        <f>VLOOKUP(C14,Active!C$21:E$973,3,FALSE)</f>
        <v>2575.0076046472782</v>
      </c>
      <c r="F14" s="5" t="s">
        <v>71</v>
      </c>
      <c r="G14" s="21" t="str">
        <f t="shared" si="4"/>
        <v>42035.454</v>
      </c>
      <c r="H14" s="15">
        <f t="shared" si="5"/>
        <v>2575</v>
      </c>
      <c r="I14" s="50" t="s">
        <v>124</v>
      </c>
      <c r="J14" s="51" t="s">
        <v>125</v>
      </c>
      <c r="K14" s="50">
        <v>2575</v>
      </c>
      <c r="L14" s="50" t="s">
        <v>126</v>
      </c>
      <c r="M14" s="51" t="s">
        <v>95</v>
      </c>
      <c r="N14" s="51"/>
      <c r="O14" s="52" t="s">
        <v>122</v>
      </c>
      <c r="P14" s="52" t="s">
        <v>127</v>
      </c>
    </row>
    <row r="15" spans="1:16" ht="12.75" customHeight="1" thickBot="1">
      <c r="A15" s="15" t="str">
        <f t="shared" si="0"/>
        <v> BBS 14 </v>
      </c>
      <c r="B15" s="5" t="str">
        <f t="shared" si="1"/>
        <v>I</v>
      </c>
      <c r="C15" s="15">
        <f t="shared" si="2"/>
        <v>42090.402000000002</v>
      </c>
      <c r="D15" s="21" t="str">
        <f t="shared" si="3"/>
        <v>vis</v>
      </c>
      <c r="E15" s="49">
        <f>VLOOKUP(C15,Active!C$21:E$973,3,FALSE)</f>
        <v>2588.0048102055075</v>
      </c>
      <c r="F15" s="5" t="s">
        <v>71</v>
      </c>
      <c r="G15" s="21" t="str">
        <f t="shared" si="4"/>
        <v>42090.402</v>
      </c>
      <c r="H15" s="15">
        <f t="shared" si="5"/>
        <v>2588</v>
      </c>
      <c r="I15" s="50" t="s">
        <v>128</v>
      </c>
      <c r="J15" s="51" t="s">
        <v>129</v>
      </c>
      <c r="K15" s="50">
        <v>2588</v>
      </c>
      <c r="L15" s="50" t="s">
        <v>130</v>
      </c>
      <c r="M15" s="51" t="s">
        <v>95</v>
      </c>
      <c r="N15" s="51"/>
      <c r="O15" s="52" t="s">
        <v>122</v>
      </c>
      <c r="P15" s="52" t="s">
        <v>131</v>
      </c>
    </row>
    <row r="16" spans="1:16" ht="12.75" customHeight="1" thickBot="1">
      <c r="A16" s="15" t="str">
        <f t="shared" si="0"/>
        <v> BBS 20 </v>
      </c>
      <c r="B16" s="5" t="str">
        <f t="shared" si="1"/>
        <v>I</v>
      </c>
      <c r="C16" s="15">
        <f t="shared" si="2"/>
        <v>42424.36</v>
      </c>
      <c r="D16" s="21" t="str">
        <f t="shared" si="3"/>
        <v>vis</v>
      </c>
      <c r="E16" s="49">
        <f>VLOOKUP(C16,Active!C$21:E$973,3,FALSE)</f>
        <v>2666.9980542510566</v>
      </c>
      <c r="F16" s="5" t="s">
        <v>71</v>
      </c>
      <c r="G16" s="21" t="str">
        <f t="shared" si="4"/>
        <v>42424.360</v>
      </c>
      <c r="H16" s="15">
        <f t="shared" si="5"/>
        <v>2667</v>
      </c>
      <c r="I16" s="50" t="s">
        <v>132</v>
      </c>
      <c r="J16" s="51" t="s">
        <v>133</v>
      </c>
      <c r="K16" s="50">
        <v>2667</v>
      </c>
      <c r="L16" s="50" t="s">
        <v>134</v>
      </c>
      <c r="M16" s="51" t="s">
        <v>95</v>
      </c>
      <c r="N16" s="51"/>
      <c r="O16" s="52" t="s">
        <v>122</v>
      </c>
      <c r="P16" s="52" t="s">
        <v>135</v>
      </c>
    </row>
    <row r="17" spans="1:16" ht="12.75" customHeight="1" thickBot="1">
      <c r="A17" s="15" t="str">
        <f t="shared" si="0"/>
        <v> BBS 22 </v>
      </c>
      <c r="B17" s="5" t="str">
        <f t="shared" si="1"/>
        <v>I</v>
      </c>
      <c r="C17" s="15">
        <f t="shared" si="2"/>
        <v>42517.368000000002</v>
      </c>
      <c r="D17" s="21" t="str">
        <f t="shared" si="3"/>
        <v>vis</v>
      </c>
      <c r="E17" s="49">
        <f>VLOOKUP(C17,Active!C$21:E$973,3,FALSE)</f>
        <v>2688.9978375836572</v>
      </c>
      <c r="F17" s="5" t="s">
        <v>71</v>
      </c>
      <c r="G17" s="21" t="str">
        <f t="shared" si="4"/>
        <v>42517.368</v>
      </c>
      <c r="H17" s="15">
        <f t="shared" si="5"/>
        <v>2689</v>
      </c>
      <c r="I17" s="50" t="s">
        <v>136</v>
      </c>
      <c r="J17" s="51" t="s">
        <v>137</v>
      </c>
      <c r="K17" s="50">
        <v>2689</v>
      </c>
      <c r="L17" s="50" t="s">
        <v>138</v>
      </c>
      <c r="M17" s="51" t="s">
        <v>95</v>
      </c>
      <c r="N17" s="51"/>
      <c r="O17" s="52" t="s">
        <v>122</v>
      </c>
      <c r="P17" s="52" t="s">
        <v>139</v>
      </c>
    </row>
    <row r="18" spans="1:16" ht="12.75" customHeight="1" thickBot="1">
      <c r="A18" s="15" t="str">
        <f t="shared" si="0"/>
        <v> BBS 32 </v>
      </c>
      <c r="B18" s="5" t="str">
        <f t="shared" si="1"/>
        <v>I</v>
      </c>
      <c r="C18" s="15">
        <f t="shared" si="2"/>
        <v>43168.474999999999</v>
      </c>
      <c r="D18" s="21" t="str">
        <f t="shared" si="3"/>
        <v>vis</v>
      </c>
      <c r="E18" s="49">
        <f>VLOOKUP(C18,Active!C$21:E$973,3,FALSE)</f>
        <v>2843.0083842714598</v>
      </c>
      <c r="F18" s="5" t="s">
        <v>71</v>
      </c>
      <c r="G18" s="21" t="str">
        <f t="shared" si="4"/>
        <v>43168.475</v>
      </c>
      <c r="H18" s="15">
        <f t="shared" si="5"/>
        <v>2843</v>
      </c>
      <c r="I18" s="50" t="s">
        <v>140</v>
      </c>
      <c r="J18" s="51" t="s">
        <v>141</v>
      </c>
      <c r="K18" s="50">
        <v>2843</v>
      </c>
      <c r="L18" s="50" t="s">
        <v>142</v>
      </c>
      <c r="M18" s="51" t="s">
        <v>95</v>
      </c>
      <c r="N18" s="51"/>
      <c r="O18" s="52" t="s">
        <v>122</v>
      </c>
      <c r="P18" s="52" t="s">
        <v>143</v>
      </c>
    </row>
    <row r="19" spans="1:16" ht="12.75" customHeight="1" thickBot="1">
      <c r="A19" s="15" t="str">
        <f t="shared" si="0"/>
        <v> BBS 60 </v>
      </c>
      <c r="B19" s="5" t="str">
        <f t="shared" si="1"/>
        <v>I</v>
      </c>
      <c r="C19" s="15">
        <f t="shared" si="2"/>
        <v>45079.373</v>
      </c>
      <c r="D19" s="21" t="str">
        <f t="shared" si="3"/>
        <v>vis</v>
      </c>
      <c r="E19" s="49">
        <f>VLOOKUP(C19,Active!C$21:E$973,3,FALSE)</f>
        <v>3295.0054379732792</v>
      </c>
      <c r="F19" s="5" t="s">
        <v>71</v>
      </c>
      <c r="G19" s="21" t="str">
        <f t="shared" si="4"/>
        <v>45079.373</v>
      </c>
      <c r="H19" s="15">
        <f t="shared" si="5"/>
        <v>3295</v>
      </c>
      <c r="I19" s="50" t="s">
        <v>144</v>
      </c>
      <c r="J19" s="51" t="s">
        <v>145</v>
      </c>
      <c r="K19" s="50">
        <v>3295</v>
      </c>
      <c r="L19" s="50" t="s">
        <v>146</v>
      </c>
      <c r="M19" s="51" t="s">
        <v>95</v>
      </c>
      <c r="N19" s="51"/>
      <c r="O19" s="52" t="s">
        <v>122</v>
      </c>
      <c r="P19" s="52" t="s">
        <v>147</v>
      </c>
    </row>
    <row r="20" spans="1:16" ht="12.75" customHeight="1" thickBot="1">
      <c r="A20" s="15" t="str">
        <f t="shared" si="0"/>
        <v> BBS 64 </v>
      </c>
      <c r="B20" s="5" t="str">
        <f t="shared" si="1"/>
        <v>I</v>
      </c>
      <c r="C20" s="15">
        <f t="shared" si="2"/>
        <v>45358.372000000003</v>
      </c>
      <c r="D20" s="21" t="str">
        <f t="shared" si="3"/>
        <v>vis</v>
      </c>
      <c r="E20" s="49">
        <f>VLOOKUP(C20,Active!C$21:E$973,3,FALSE)</f>
        <v>3360.9988745595101</v>
      </c>
      <c r="F20" s="5" t="s">
        <v>71</v>
      </c>
      <c r="G20" s="21" t="str">
        <f t="shared" si="4"/>
        <v>45358.372</v>
      </c>
      <c r="H20" s="15">
        <f t="shared" si="5"/>
        <v>3361</v>
      </c>
      <c r="I20" s="50" t="s">
        <v>148</v>
      </c>
      <c r="J20" s="51" t="s">
        <v>149</v>
      </c>
      <c r="K20" s="50">
        <v>3361</v>
      </c>
      <c r="L20" s="50" t="s">
        <v>150</v>
      </c>
      <c r="M20" s="51" t="s">
        <v>95</v>
      </c>
      <c r="N20" s="51"/>
      <c r="O20" s="52" t="s">
        <v>122</v>
      </c>
      <c r="P20" s="52" t="s">
        <v>151</v>
      </c>
    </row>
    <row r="21" spans="1:16" ht="12.75" customHeight="1" thickBot="1">
      <c r="A21" s="15" t="str">
        <f t="shared" si="0"/>
        <v> BBS 69 </v>
      </c>
      <c r="B21" s="5" t="str">
        <f t="shared" si="1"/>
        <v>I</v>
      </c>
      <c r="C21" s="15">
        <f t="shared" si="2"/>
        <v>45641.644</v>
      </c>
      <c r="D21" s="21" t="str">
        <f t="shared" si="3"/>
        <v>vis</v>
      </c>
      <c r="E21" s="49">
        <f>VLOOKUP(C21,Active!C$21:E$973,3,FALSE)</f>
        <v>3428.0030314513069</v>
      </c>
      <c r="F21" s="5" t="s">
        <v>71</v>
      </c>
      <c r="G21" s="21" t="str">
        <f t="shared" si="4"/>
        <v>45641.644</v>
      </c>
      <c r="H21" s="15">
        <f t="shared" si="5"/>
        <v>3428</v>
      </c>
      <c r="I21" s="50" t="s">
        <v>152</v>
      </c>
      <c r="J21" s="51" t="s">
        <v>153</v>
      </c>
      <c r="K21" s="50">
        <v>3428</v>
      </c>
      <c r="L21" s="50" t="s">
        <v>154</v>
      </c>
      <c r="M21" s="51" t="s">
        <v>95</v>
      </c>
      <c r="N21" s="51"/>
      <c r="O21" s="52" t="s">
        <v>122</v>
      </c>
      <c r="P21" s="52" t="s">
        <v>155</v>
      </c>
    </row>
    <row r="22" spans="1:16" ht="12.75" customHeight="1" thickBot="1">
      <c r="A22" s="15" t="str">
        <f t="shared" si="0"/>
        <v> BBS 69 </v>
      </c>
      <c r="B22" s="5" t="str">
        <f t="shared" si="1"/>
        <v>I</v>
      </c>
      <c r="C22" s="15">
        <f t="shared" si="2"/>
        <v>45641.644</v>
      </c>
      <c r="D22" s="21" t="str">
        <f t="shared" si="3"/>
        <v>vis</v>
      </c>
      <c r="E22" s="49">
        <f>VLOOKUP(C22,Active!C$21:E$973,3,FALSE)</f>
        <v>3428.0030314513069</v>
      </c>
      <c r="F22" s="5" t="s">
        <v>71</v>
      </c>
      <c r="G22" s="21" t="str">
        <f t="shared" si="4"/>
        <v>45641.644</v>
      </c>
      <c r="H22" s="15">
        <f t="shared" si="5"/>
        <v>3428</v>
      </c>
      <c r="I22" s="50" t="s">
        <v>152</v>
      </c>
      <c r="J22" s="51" t="s">
        <v>153</v>
      </c>
      <c r="K22" s="50">
        <v>3428</v>
      </c>
      <c r="L22" s="50" t="s">
        <v>154</v>
      </c>
      <c r="M22" s="51" t="s">
        <v>95</v>
      </c>
      <c r="N22" s="51"/>
      <c r="O22" s="52" t="s">
        <v>156</v>
      </c>
      <c r="P22" s="52" t="s">
        <v>155</v>
      </c>
    </row>
    <row r="23" spans="1:16" ht="12.75" customHeight="1" thickBot="1">
      <c r="A23" s="15" t="str">
        <f t="shared" si="0"/>
        <v> BBS 70 </v>
      </c>
      <c r="B23" s="5" t="str">
        <f t="shared" si="1"/>
        <v>I</v>
      </c>
      <c r="C23" s="15">
        <f t="shared" si="2"/>
        <v>45730.432000000001</v>
      </c>
      <c r="D23" s="21" t="str">
        <f t="shared" si="3"/>
        <v>vis</v>
      </c>
      <c r="E23" s="49">
        <f>VLOOKUP(C23,Active!C$21:E$973,3,FALSE)</f>
        <v>3449.0046309108684</v>
      </c>
      <c r="F23" s="5" t="s">
        <v>71</v>
      </c>
      <c r="G23" s="21" t="str">
        <f t="shared" si="4"/>
        <v>45730.432</v>
      </c>
      <c r="H23" s="15">
        <f t="shared" si="5"/>
        <v>3449</v>
      </c>
      <c r="I23" s="50" t="s">
        <v>157</v>
      </c>
      <c r="J23" s="51" t="s">
        <v>158</v>
      </c>
      <c r="K23" s="50">
        <v>3449</v>
      </c>
      <c r="L23" s="50" t="s">
        <v>130</v>
      </c>
      <c r="M23" s="51" t="s">
        <v>95</v>
      </c>
      <c r="N23" s="51"/>
      <c r="O23" s="52" t="s">
        <v>122</v>
      </c>
      <c r="P23" s="52" t="s">
        <v>159</v>
      </c>
    </row>
    <row r="24" spans="1:16" ht="12.75" customHeight="1" thickBot="1">
      <c r="A24" s="15" t="str">
        <f t="shared" si="0"/>
        <v> BBS 71 </v>
      </c>
      <c r="B24" s="5" t="str">
        <f t="shared" si="1"/>
        <v>I</v>
      </c>
      <c r="C24" s="15">
        <f t="shared" si="2"/>
        <v>45802.313000000002</v>
      </c>
      <c r="D24" s="21" t="str">
        <f t="shared" si="3"/>
        <v>vis</v>
      </c>
      <c r="E24" s="49">
        <f>VLOOKUP(C24,Active!C$21:E$973,3,FALSE)</f>
        <v>3466.0071083937801</v>
      </c>
      <c r="F24" s="5" t="s">
        <v>71</v>
      </c>
      <c r="G24" s="21" t="str">
        <f t="shared" si="4"/>
        <v>45802.313</v>
      </c>
      <c r="H24" s="15">
        <f t="shared" si="5"/>
        <v>3466</v>
      </c>
      <c r="I24" s="50" t="s">
        <v>160</v>
      </c>
      <c r="J24" s="51" t="s">
        <v>161</v>
      </c>
      <c r="K24" s="50">
        <v>3466</v>
      </c>
      <c r="L24" s="50" t="s">
        <v>162</v>
      </c>
      <c r="M24" s="51" t="s">
        <v>95</v>
      </c>
      <c r="N24" s="51"/>
      <c r="O24" s="52" t="s">
        <v>122</v>
      </c>
      <c r="P24" s="52" t="s">
        <v>163</v>
      </c>
    </row>
    <row r="25" spans="1:16" ht="12.75" customHeight="1" thickBot="1">
      <c r="A25" s="15" t="str">
        <f t="shared" si="0"/>
        <v> BBS 79 </v>
      </c>
      <c r="B25" s="5" t="str">
        <f t="shared" si="1"/>
        <v>I</v>
      </c>
      <c r="C25" s="15">
        <f t="shared" si="2"/>
        <v>46402.63</v>
      </c>
      <c r="D25" s="21" t="str">
        <f t="shared" si="3"/>
        <v>vis</v>
      </c>
      <c r="E25" s="49">
        <f>VLOOKUP(C25,Active!C$21:E$973,3,FALSE)</f>
        <v>3608.0039681356989</v>
      </c>
      <c r="F25" s="5" t="s">
        <v>71</v>
      </c>
      <c r="G25" s="21" t="str">
        <f t="shared" si="4"/>
        <v>46402.630</v>
      </c>
      <c r="H25" s="15">
        <f t="shared" si="5"/>
        <v>3608</v>
      </c>
      <c r="I25" s="50" t="s">
        <v>164</v>
      </c>
      <c r="J25" s="51" t="s">
        <v>165</v>
      </c>
      <c r="K25" s="50">
        <v>3608</v>
      </c>
      <c r="L25" s="50" t="s">
        <v>166</v>
      </c>
      <c r="M25" s="51" t="s">
        <v>95</v>
      </c>
      <c r="N25" s="51"/>
      <c r="O25" s="52" t="s">
        <v>122</v>
      </c>
      <c r="P25" s="52" t="s">
        <v>167</v>
      </c>
    </row>
    <row r="26" spans="1:16" ht="12.75" customHeight="1" thickBot="1">
      <c r="A26" s="15" t="str">
        <f t="shared" si="0"/>
        <v> BBS 91 </v>
      </c>
      <c r="B26" s="5" t="str">
        <f t="shared" si="1"/>
        <v>I</v>
      </c>
      <c r="C26" s="15">
        <f t="shared" si="2"/>
        <v>47624.425000000003</v>
      </c>
      <c r="D26" s="21" t="str">
        <f t="shared" si="3"/>
        <v>vis</v>
      </c>
      <c r="E26" s="49">
        <f>VLOOKUP(C26,Active!C$21:E$973,3,FALSE)</f>
        <v>3897.003035708964</v>
      </c>
      <c r="F26" s="5" t="s">
        <v>71</v>
      </c>
      <c r="G26" s="21" t="str">
        <f t="shared" si="4"/>
        <v>47624.425</v>
      </c>
      <c r="H26" s="15">
        <f t="shared" si="5"/>
        <v>3897</v>
      </c>
      <c r="I26" s="50" t="s">
        <v>172</v>
      </c>
      <c r="J26" s="51" t="s">
        <v>173</v>
      </c>
      <c r="K26" s="50">
        <v>3897</v>
      </c>
      <c r="L26" s="50" t="s">
        <v>154</v>
      </c>
      <c r="M26" s="51" t="s">
        <v>95</v>
      </c>
      <c r="N26" s="51"/>
      <c r="O26" s="52" t="s">
        <v>122</v>
      </c>
      <c r="P26" s="52" t="s">
        <v>174</v>
      </c>
    </row>
    <row r="27" spans="1:16" ht="12.75" customHeight="1" thickBot="1">
      <c r="A27" s="15" t="str">
        <f t="shared" si="0"/>
        <v> BBS 100 </v>
      </c>
      <c r="B27" s="5" t="str">
        <f t="shared" si="1"/>
        <v>I</v>
      </c>
      <c r="C27" s="15">
        <f t="shared" si="2"/>
        <v>48647.548999999999</v>
      </c>
      <c r="D27" s="21" t="str">
        <f t="shared" si="3"/>
        <v>vis</v>
      </c>
      <c r="E27" s="49">
        <f>VLOOKUP(C27,Active!C$21:E$973,3,FALSE)</f>
        <v>4139.0091676802249</v>
      </c>
      <c r="F27" s="5" t="s">
        <v>71</v>
      </c>
      <c r="G27" s="21" t="str">
        <f t="shared" si="4"/>
        <v>48647.549</v>
      </c>
      <c r="H27" s="15">
        <f t="shared" si="5"/>
        <v>4139</v>
      </c>
      <c r="I27" s="50" t="s">
        <v>175</v>
      </c>
      <c r="J27" s="51" t="s">
        <v>176</v>
      </c>
      <c r="K27" s="50">
        <v>4139</v>
      </c>
      <c r="L27" s="50" t="s">
        <v>177</v>
      </c>
      <c r="M27" s="51" t="s">
        <v>95</v>
      </c>
      <c r="N27" s="51"/>
      <c r="O27" s="52" t="s">
        <v>122</v>
      </c>
      <c r="P27" s="52" t="s">
        <v>178</v>
      </c>
    </row>
    <row r="28" spans="1:16" ht="12.75" customHeight="1" thickBot="1">
      <c r="A28" s="15" t="str">
        <f t="shared" si="0"/>
        <v> BBS 111 </v>
      </c>
      <c r="B28" s="5" t="str">
        <f t="shared" si="1"/>
        <v>I</v>
      </c>
      <c r="C28" s="15">
        <f t="shared" si="2"/>
        <v>50042.678</v>
      </c>
      <c r="D28" s="21" t="str">
        <f t="shared" si="3"/>
        <v>vis</v>
      </c>
      <c r="E28" s="49">
        <f>VLOOKUP(C28,Active!C$21:E$973,3,FALSE)</f>
        <v>4469.0080464973917</v>
      </c>
      <c r="F28" s="5" t="s">
        <v>71</v>
      </c>
      <c r="G28" s="21" t="str">
        <f t="shared" si="4"/>
        <v>50042.678</v>
      </c>
      <c r="H28" s="15">
        <f t="shared" si="5"/>
        <v>4469</v>
      </c>
      <c r="I28" s="50" t="s">
        <v>179</v>
      </c>
      <c r="J28" s="51" t="s">
        <v>180</v>
      </c>
      <c r="K28" s="50">
        <v>4469</v>
      </c>
      <c r="L28" s="50" t="s">
        <v>181</v>
      </c>
      <c r="M28" s="51" t="s">
        <v>95</v>
      </c>
      <c r="N28" s="51"/>
      <c r="O28" s="52" t="s">
        <v>122</v>
      </c>
      <c r="P28" s="52" t="s">
        <v>182</v>
      </c>
    </row>
    <row r="29" spans="1:16" ht="12.75" customHeight="1" thickBot="1">
      <c r="A29" s="15" t="str">
        <f t="shared" si="0"/>
        <v>IBVS 5263 </v>
      </c>
      <c r="B29" s="5" t="str">
        <f t="shared" si="1"/>
        <v>I</v>
      </c>
      <c r="C29" s="15">
        <f t="shared" si="2"/>
        <v>51543.511100000003</v>
      </c>
      <c r="D29" s="21" t="str">
        <f t="shared" si="3"/>
        <v>vis</v>
      </c>
      <c r="E29" s="49">
        <f>VLOOKUP(C29,Active!C$21:E$973,3,FALSE)</f>
        <v>4824.0097992325818</v>
      </c>
      <c r="F29" s="5" t="s">
        <v>71</v>
      </c>
      <c r="G29" s="21" t="str">
        <f t="shared" si="4"/>
        <v>51543.5111</v>
      </c>
      <c r="H29" s="15">
        <f t="shared" si="5"/>
        <v>4824</v>
      </c>
      <c r="I29" s="50" t="s">
        <v>183</v>
      </c>
      <c r="J29" s="51" t="s">
        <v>184</v>
      </c>
      <c r="K29" s="50">
        <v>4824</v>
      </c>
      <c r="L29" s="50" t="s">
        <v>185</v>
      </c>
      <c r="M29" s="51" t="s">
        <v>186</v>
      </c>
      <c r="N29" s="51" t="s">
        <v>187</v>
      </c>
      <c r="O29" s="52" t="s">
        <v>188</v>
      </c>
      <c r="P29" s="53" t="s">
        <v>189</v>
      </c>
    </row>
    <row r="30" spans="1:16" ht="12.75" customHeight="1" thickBot="1">
      <c r="A30" s="15" t="str">
        <f t="shared" si="0"/>
        <v> BBS 130 </v>
      </c>
      <c r="B30" s="5" t="str">
        <f t="shared" si="1"/>
        <v>I</v>
      </c>
      <c r="C30" s="15">
        <f t="shared" si="2"/>
        <v>52938.65</v>
      </c>
      <c r="D30" s="21" t="str">
        <f t="shared" si="3"/>
        <v>vis</v>
      </c>
      <c r="E30" s="49">
        <f>VLOOKUP(C30,Active!C$21:E$973,3,FALSE)</f>
        <v>5154.0110197607291</v>
      </c>
      <c r="F30" s="5" t="s">
        <v>71</v>
      </c>
      <c r="G30" s="21" t="str">
        <f t="shared" si="4"/>
        <v>52938.650</v>
      </c>
      <c r="H30" s="15">
        <f t="shared" si="5"/>
        <v>5154</v>
      </c>
      <c r="I30" s="50" t="s">
        <v>190</v>
      </c>
      <c r="J30" s="51" t="s">
        <v>191</v>
      </c>
      <c r="K30" s="50">
        <v>5154</v>
      </c>
      <c r="L30" s="50" t="s">
        <v>192</v>
      </c>
      <c r="M30" s="51" t="s">
        <v>95</v>
      </c>
      <c r="N30" s="51"/>
      <c r="O30" s="52" t="s">
        <v>122</v>
      </c>
      <c r="P30" s="52" t="s">
        <v>193</v>
      </c>
    </row>
    <row r="31" spans="1:16" ht="12.75" customHeight="1" thickBot="1">
      <c r="A31" s="15" t="str">
        <f t="shared" si="0"/>
        <v>OEJV 0003 </v>
      </c>
      <c r="B31" s="5" t="str">
        <f t="shared" si="1"/>
        <v>I</v>
      </c>
      <c r="C31" s="15">
        <f t="shared" si="2"/>
        <v>53382.544999999998</v>
      </c>
      <c r="D31" s="21" t="str">
        <f t="shared" si="3"/>
        <v>vis</v>
      </c>
      <c r="E31" s="49">
        <f>VLOOKUP(C31,Active!C$21:E$973,3,FALSE)</f>
        <v>5259.0083729177095</v>
      </c>
      <c r="F31" s="5" t="s">
        <v>71</v>
      </c>
      <c r="G31" s="21" t="str">
        <f t="shared" si="4"/>
        <v>53382.545</v>
      </c>
      <c r="H31" s="15">
        <f t="shared" si="5"/>
        <v>5259</v>
      </c>
      <c r="I31" s="50" t="s">
        <v>194</v>
      </c>
      <c r="J31" s="51" t="s">
        <v>195</v>
      </c>
      <c r="K31" s="50">
        <v>5259</v>
      </c>
      <c r="L31" s="50" t="s">
        <v>142</v>
      </c>
      <c r="M31" s="51" t="s">
        <v>95</v>
      </c>
      <c r="N31" s="51"/>
      <c r="O31" s="52" t="s">
        <v>122</v>
      </c>
      <c r="P31" s="53" t="s">
        <v>196</v>
      </c>
    </row>
    <row r="32" spans="1:16" ht="12.75" customHeight="1" thickBot="1">
      <c r="A32" s="15" t="str">
        <f t="shared" si="0"/>
        <v>BAVM 228 </v>
      </c>
      <c r="B32" s="5" t="str">
        <f t="shared" si="1"/>
        <v>I</v>
      </c>
      <c r="C32" s="15">
        <f t="shared" si="2"/>
        <v>55961.389600000002</v>
      </c>
      <c r="D32" s="21" t="str">
        <f t="shared" si="3"/>
        <v>vis</v>
      </c>
      <c r="E32" s="49">
        <f>VLOOKUP(C32,Active!C$21:E$973,3,FALSE)</f>
        <v>5868.9991527263901</v>
      </c>
      <c r="F32" s="5" t="s">
        <v>71</v>
      </c>
      <c r="G32" s="21" t="str">
        <f t="shared" si="4"/>
        <v>55961.3896</v>
      </c>
      <c r="H32" s="15">
        <f t="shared" si="5"/>
        <v>5869</v>
      </c>
      <c r="I32" s="50" t="s">
        <v>197</v>
      </c>
      <c r="J32" s="51" t="s">
        <v>198</v>
      </c>
      <c r="K32" s="50">
        <v>5869</v>
      </c>
      <c r="L32" s="50" t="s">
        <v>199</v>
      </c>
      <c r="M32" s="51" t="s">
        <v>200</v>
      </c>
      <c r="N32" s="51" t="s">
        <v>201</v>
      </c>
      <c r="O32" s="52" t="s">
        <v>202</v>
      </c>
      <c r="P32" s="53" t="s">
        <v>203</v>
      </c>
    </row>
    <row r="33" spans="1:16" ht="12.75" customHeight="1" thickBot="1">
      <c r="A33" s="15" t="str">
        <f t="shared" si="0"/>
        <v>IBVS 6029 </v>
      </c>
      <c r="B33" s="5" t="str">
        <f t="shared" si="1"/>
        <v>I</v>
      </c>
      <c r="C33" s="15">
        <f t="shared" si="2"/>
        <v>56003.6659</v>
      </c>
      <c r="D33" s="21" t="str">
        <f t="shared" si="3"/>
        <v>vis</v>
      </c>
      <c r="E33" s="49">
        <f>VLOOKUP(C33,Active!C$21:E$973,3,FALSE)</f>
        <v>5878.9990391888878</v>
      </c>
      <c r="F33" s="5" t="s">
        <v>71</v>
      </c>
      <c r="G33" s="21" t="str">
        <f t="shared" si="4"/>
        <v>56003.6659</v>
      </c>
      <c r="H33" s="15">
        <f t="shared" si="5"/>
        <v>5879</v>
      </c>
      <c r="I33" s="50" t="s">
        <v>204</v>
      </c>
      <c r="J33" s="51" t="s">
        <v>205</v>
      </c>
      <c r="K33" s="50" t="s">
        <v>206</v>
      </c>
      <c r="L33" s="50" t="s">
        <v>207</v>
      </c>
      <c r="M33" s="51" t="s">
        <v>200</v>
      </c>
      <c r="N33" s="51" t="s">
        <v>71</v>
      </c>
      <c r="O33" s="52" t="s">
        <v>208</v>
      </c>
      <c r="P33" s="53" t="s">
        <v>209</v>
      </c>
    </row>
    <row r="34" spans="1:16" ht="12.75" customHeight="1" thickBot="1">
      <c r="A34" s="15" t="str">
        <f t="shared" si="0"/>
        <v> AN 252.393 </v>
      </c>
      <c r="B34" s="5" t="str">
        <f t="shared" si="1"/>
        <v>I</v>
      </c>
      <c r="C34" s="15">
        <f t="shared" si="2"/>
        <v>25999.338</v>
      </c>
      <c r="D34" s="21" t="str">
        <f t="shared" si="3"/>
        <v>vis</v>
      </c>
      <c r="E34" s="49">
        <f>VLOOKUP(C34,Active!C$21:E$973,3,FALSE)</f>
        <v>-1218.1185511290125</v>
      </c>
      <c r="F34" s="5" t="s">
        <v>71</v>
      </c>
      <c r="G34" s="21" t="str">
        <f t="shared" si="4"/>
        <v>25999.338</v>
      </c>
      <c r="H34" s="15">
        <f t="shared" si="5"/>
        <v>-1218</v>
      </c>
      <c r="I34" s="50" t="s">
        <v>74</v>
      </c>
      <c r="J34" s="51" t="s">
        <v>75</v>
      </c>
      <c r="K34" s="50">
        <v>-1218</v>
      </c>
      <c r="L34" s="50" t="s">
        <v>76</v>
      </c>
      <c r="M34" s="51" t="s">
        <v>77</v>
      </c>
      <c r="N34" s="51"/>
      <c r="O34" s="52" t="s">
        <v>78</v>
      </c>
      <c r="P34" s="52" t="s">
        <v>79</v>
      </c>
    </row>
    <row r="35" spans="1:16" ht="12.75" customHeight="1" thickBot="1">
      <c r="A35" s="15" t="str">
        <f t="shared" si="0"/>
        <v> AN 252.393 </v>
      </c>
      <c r="B35" s="5" t="str">
        <f t="shared" si="1"/>
        <v>I</v>
      </c>
      <c r="C35" s="15">
        <f t="shared" si="2"/>
        <v>26067.39</v>
      </c>
      <c r="D35" s="21" t="str">
        <f t="shared" si="3"/>
        <v>vis</v>
      </c>
      <c r="E35" s="49">
        <f>VLOOKUP(C35,Active!C$21:E$973,3,FALSE)</f>
        <v>-1202.0217717621829</v>
      </c>
      <c r="F35" s="5" t="s">
        <v>71</v>
      </c>
      <c r="G35" s="21" t="str">
        <f t="shared" si="4"/>
        <v>26067.390</v>
      </c>
      <c r="H35" s="15">
        <f t="shared" si="5"/>
        <v>-1202</v>
      </c>
      <c r="I35" s="50" t="s">
        <v>80</v>
      </c>
      <c r="J35" s="51" t="s">
        <v>81</v>
      </c>
      <c r="K35" s="50">
        <v>-1202</v>
      </c>
      <c r="L35" s="50" t="s">
        <v>82</v>
      </c>
      <c r="M35" s="51" t="s">
        <v>77</v>
      </c>
      <c r="N35" s="51"/>
      <c r="O35" s="52" t="s">
        <v>78</v>
      </c>
      <c r="P35" s="52" t="s">
        <v>79</v>
      </c>
    </row>
    <row r="36" spans="1:16" ht="12.75" customHeight="1" thickBot="1">
      <c r="A36" s="15" t="str">
        <f t="shared" si="0"/>
        <v> AN 252.393 </v>
      </c>
      <c r="B36" s="5" t="str">
        <f t="shared" si="1"/>
        <v>I</v>
      </c>
      <c r="C36" s="15">
        <f t="shared" si="2"/>
        <v>26735.414000000001</v>
      </c>
      <c r="D36" s="21" t="str">
        <f t="shared" si="3"/>
        <v>vis</v>
      </c>
      <c r="E36" s="49">
        <f>VLOOKUP(C36,Active!C$21:E$973,3,FALSE)</f>
        <v>-1044.009737733101</v>
      </c>
      <c r="F36" s="5" t="s">
        <v>71</v>
      </c>
      <c r="G36" s="21" t="str">
        <f t="shared" si="4"/>
        <v>26735.414</v>
      </c>
      <c r="H36" s="15">
        <f t="shared" si="5"/>
        <v>-1044</v>
      </c>
      <c r="I36" s="50" t="s">
        <v>83</v>
      </c>
      <c r="J36" s="51" t="s">
        <v>84</v>
      </c>
      <c r="K36" s="50">
        <v>-1044</v>
      </c>
      <c r="L36" s="50" t="s">
        <v>85</v>
      </c>
      <c r="M36" s="51" t="s">
        <v>77</v>
      </c>
      <c r="N36" s="51"/>
      <c r="O36" s="52" t="s">
        <v>78</v>
      </c>
      <c r="P36" s="52" t="s">
        <v>79</v>
      </c>
    </row>
    <row r="37" spans="1:16" ht="12.75" customHeight="1" thickBot="1">
      <c r="A37" s="15" t="str">
        <f t="shared" si="0"/>
        <v> AN 252.393 </v>
      </c>
      <c r="B37" s="5" t="str">
        <f t="shared" si="1"/>
        <v>I</v>
      </c>
      <c r="C37" s="15">
        <f t="shared" si="2"/>
        <v>27124.427</v>
      </c>
      <c r="D37" s="21" t="str">
        <f t="shared" si="3"/>
        <v>vis</v>
      </c>
      <c r="E37" s="49">
        <f>VLOOKUP(C37,Active!C$21:E$973,3,FALSE)</f>
        <v>-951.99397872780332</v>
      </c>
      <c r="F37" s="5" t="s">
        <v>71</v>
      </c>
      <c r="G37" s="21" t="str">
        <f t="shared" si="4"/>
        <v>27124.427</v>
      </c>
      <c r="H37" s="15">
        <f t="shared" si="5"/>
        <v>-952</v>
      </c>
      <c r="I37" s="50" t="s">
        <v>86</v>
      </c>
      <c r="J37" s="51" t="s">
        <v>87</v>
      </c>
      <c r="K37" s="50">
        <v>-952</v>
      </c>
      <c r="L37" s="50" t="s">
        <v>88</v>
      </c>
      <c r="M37" s="51" t="s">
        <v>77</v>
      </c>
      <c r="N37" s="51"/>
      <c r="O37" s="52" t="s">
        <v>78</v>
      </c>
      <c r="P37" s="52" t="s">
        <v>79</v>
      </c>
    </row>
    <row r="38" spans="1:16" ht="12.75" customHeight="1" thickBot="1">
      <c r="A38" s="15" t="str">
        <f t="shared" si="0"/>
        <v> AN 252.393 </v>
      </c>
      <c r="B38" s="5" t="str">
        <f t="shared" si="1"/>
        <v>I</v>
      </c>
      <c r="C38" s="15">
        <f t="shared" si="2"/>
        <v>27158.371999999999</v>
      </c>
      <c r="D38" s="21" t="str">
        <f t="shared" si="3"/>
        <v>vis</v>
      </c>
      <c r="E38" s="49">
        <f>VLOOKUP(C38,Active!C$21:E$973,3,FALSE)</f>
        <v>-943.96474849787569</v>
      </c>
      <c r="F38" s="5" t="s">
        <v>71</v>
      </c>
      <c r="G38" s="21" t="str">
        <f t="shared" si="4"/>
        <v>27158.372</v>
      </c>
      <c r="H38" s="15">
        <f t="shared" si="5"/>
        <v>-944</v>
      </c>
      <c r="I38" s="50" t="s">
        <v>89</v>
      </c>
      <c r="J38" s="51" t="s">
        <v>90</v>
      </c>
      <c r="K38" s="50">
        <v>-944</v>
      </c>
      <c r="L38" s="50" t="s">
        <v>91</v>
      </c>
      <c r="M38" s="51" t="s">
        <v>77</v>
      </c>
      <c r="N38" s="51"/>
      <c r="O38" s="52" t="s">
        <v>78</v>
      </c>
      <c r="P38" s="52" t="s">
        <v>79</v>
      </c>
    </row>
    <row r="39" spans="1:16" ht="12.75" customHeight="1" thickBot="1">
      <c r="A39" s="15" t="str">
        <f t="shared" si="0"/>
        <v> AJ 64.261 </v>
      </c>
      <c r="B39" s="5" t="str">
        <f t="shared" si="1"/>
        <v>I</v>
      </c>
      <c r="C39" s="15">
        <f t="shared" si="2"/>
        <v>31174.526999999998</v>
      </c>
      <c r="D39" s="21" t="str">
        <f t="shared" si="3"/>
        <v>vis</v>
      </c>
      <c r="E39" s="49">
        <f>VLOOKUP(C39,Active!C$21:E$973,3,FALSE)</f>
        <v>6.0023492801477705</v>
      </c>
      <c r="F39" s="5" t="s">
        <v>71</v>
      </c>
      <c r="G39" s="21" t="str">
        <f t="shared" si="4"/>
        <v>31174.527</v>
      </c>
      <c r="H39" s="15">
        <f t="shared" si="5"/>
        <v>6</v>
      </c>
      <c r="I39" s="50" t="s">
        <v>98</v>
      </c>
      <c r="J39" s="51" t="s">
        <v>99</v>
      </c>
      <c r="K39" s="50">
        <v>6</v>
      </c>
      <c r="L39" s="50" t="s">
        <v>100</v>
      </c>
      <c r="M39" s="51" t="s">
        <v>73</v>
      </c>
      <c r="N39" s="51"/>
      <c r="O39" s="52" t="s">
        <v>101</v>
      </c>
      <c r="P39" s="52" t="s">
        <v>102</v>
      </c>
    </row>
    <row r="40" spans="1:16" ht="12.75" customHeight="1" thickBot="1">
      <c r="A40" s="15" t="str">
        <f t="shared" si="0"/>
        <v> AJ 64.261 </v>
      </c>
      <c r="B40" s="5" t="str">
        <f t="shared" si="1"/>
        <v>I</v>
      </c>
      <c r="C40" s="15">
        <f t="shared" si="2"/>
        <v>31774.850999999999</v>
      </c>
      <c r="D40" s="21" t="str">
        <f t="shared" si="3"/>
        <v>vis</v>
      </c>
      <c r="E40" s="49">
        <f>VLOOKUP(C40,Active!C$21:E$973,3,FALSE)</f>
        <v>148.00086477730733</v>
      </c>
      <c r="F40" s="5" t="s">
        <v>71</v>
      </c>
      <c r="G40" s="21" t="str">
        <f t="shared" si="4"/>
        <v>31774.851</v>
      </c>
      <c r="H40" s="15">
        <f t="shared" si="5"/>
        <v>148</v>
      </c>
      <c r="I40" s="50" t="s">
        <v>103</v>
      </c>
      <c r="J40" s="51" t="s">
        <v>104</v>
      </c>
      <c r="K40" s="50">
        <v>148</v>
      </c>
      <c r="L40" s="50" t="s">
        <v>105</v>
      </c>
      <c r="M40" s="51" t="s">
        <v>73</v>
      </c>
      <c r="N40" s="51"/>
      <c r="O40" s="52" t="s">
        <v>101</v>
      </c>
      <c r="P40" s="52" t="s">
        <v>102</v>
      </c>
    </row>
    <row r="41" spans="1:16" ht="12.75" customHeight="1" thickBot="1">
      <c r="A41" s="15" t="str">
        <f t="shared" si="0"/>
        <v> AJ 64.261 </v>
      </c>
      <c r="B41" s="5" t="str">
        <f t="shared" si="1"/>
        <v>I</v>
      </c>
      <c r="C41" s="15">
        <f t="shared" si="2"/>
        <v>32979.743999999999</v>
      </c>
      <c r="D41" s="21" t="str">
        <f t="shared" si="3"/>
        <v>vis</v>
      </c>
      <c r="E41" s="49">
        <f>VLOOKUP(C41,Active!C$21:E$973,3,FALSE)</f>
        <v>433.00199305623494</v>
      </c>
      <c r="F41" s="5" t="s">
        <v>71</v>
      </c>
      <c r="G41" s="21" t="str">
        <f t="shared" si="4"/>
        <v>32979.744</v>
      </c>
      <c r="H41" s="15">
        <f t="shared" si="5"/>
        <v>433</v>
      </c>
      <c r="I41" s="50" t="s">
        <v>106</v>
      </c>
      <c r="J41" s="51" t="s">
        <v>107</v>
      </c>
      <c r="K41" s="50">
        <v>433</v>
      </c>
      <c r="L41" s="50" t="s">
        <v>108</v>
      </c>
      <c r="M41" s="51" t="s">
        <v>73</v>
      </c>
      <c r="N41" s="51"/>
      <c r="O41" s="52" t="s">
        <v>101</v>
      </c>
      <c r="P41" s="52" t="s">
        <v>102</v>
      </c>
    </row>
    <row r="42" spans="1:16" ht="12.75" customHeight="1" thickBot="1">
      <c r="A42" s="15" t="str">
        <f t="shared" si="0"/>
        <v> AJ 64.261 </v>
      </c>
      <c r="B42" s="5" t="str">
        <f t="shared" si="1"/>
        <v>I</v>
      </c>
      <c r="C42" s="15">
        <f t="shared" si="2"/>
        <v>35579.754000000001</v>
      </c>
      <c r="D42" s="21" t="str">
        <f t="shared" si="3"/>
        <v>vis</v>
      </c>
      <c r="E42" s="49">
        <f>VLOOKUP(C42,Active!C$21:E$973,3,FALSE)</f>
        <v>1047.9991617147757</v>
      </c>
      <c r="F42" s="5" t="s">
        <v>71</v>
      </c>
      <c r="G42" s="21" t="str">
        <f t="shared" si="4"/>
        <v>35579.754</v>
      </c>
      <c r="H42" s="15">
        <f t="shared" si="5"/>
        <v>1048</v>
      </c>
      <c r="I42" s="50" t="s">
        <v>109</v>
      </c>
      <c r="J42" s="51" t="s">
        <v>110</v>
      </c>
      <c r="K42" s="50">
        <v>1048</v>
      </c>
      <c r="L42" s="50" t="s">
        <v>111</v>
      </c>
      <c r="M42" s="51" t="s">
        <v>73</v>
      </c>
      <c r="N42" s="51"/>
      <c r="O42" s="52" t="s">
        <v>101</v>
      </c>
      <c r="P42" s="52" t="s">
        <v>102</v>
      </c>
    </row>
    <row r="43" spans="1:16" ht="12.75" customHeight="1" thickBot="1">
      <c r="A43" s="15" t="str">
        <f t="shared" si="0"/>
        <v> AJ 64.261 </v>
      </c>
      <c r="B43" s="5" t="str">
        <f t="shared" si="1"/>
        <v>I</v>
      </c>
      <c r="C43" s="15">
        <f t="shared" si="2"/>
        <v>35934.866999999998</v>
      </c>
      <c r="D43" s="21" t="str">
        <f t="shared" si="3"/>
        <v>vis</v>
      </c>
      <c r="E43" s="49">
        <f>VLOOKUP(C43,Active!C$21:E$973,3,FALSE)</f>
        <v>1131.9963346309717</v>
      </c>
      <c r="F43" s="5" t="s">
        <v>71</v>
      </c>
      <c r="G43" s="21" t="str">
        <f t="shared" si="4"/>
        <v>35934.867</v>
      </c>
      <c r="H43" s="15">
        <f t="shared" si="5"/>
        <v>1132</v>
      </c>
      <c r="I43" s="50" t="s">
        <v>112</v>
      </c>
      <c r="J43" s="51" t="s">
        <v>113</v>
      </c>
      <c r="K43" s="50">
        <v>1132</v>
      </c>
      <c r="L43" s="50" t="s">
        <v>114</v>
      </c>
      <c r="M43" s="51" t="s">
        <v>73</v>
      </c>
      <c r="N43" s="51"/>
      <c r="O43" s="52" t="s">
        <v>101</v>
      </c>
      <c r="P43" s="52" t="s">
        <v>102</v>
      </c>
    </row>
    <row r="44" spans="1:16" ht="12.75" customHeight="1" thickBot="1">
      <c r="A44" s="15" t="str">
        <f t="shared" si="0"/>
        <v> BBS 86 </v>
      </c>
      <c r="B44" s="5" t="str">
        <f t="shared" si="1"/>
        <v>II</v>
      </c>
      <c r="C44" s="15">
        <f t="shared" si="2"/>
        <v>47118.569000000003</v>
      </c>
      <c r="D44" s="21" t="str">
        <f t="shared" si="3"/>
        <v>vis</v>
      </c>
      <c r="E44" s="49">
        <f>VLOOKUP(C44,Active!C$21:E$973,3,FALSE)</f>
        <v>3777.3496467801006</v>
      </c>
      <c r="F44" s="5" t="s">
        <v>71</v>
      </c>
      <c r="G44" s="21" t="str">
        <f t="shared" si="4"/>
        <v>47118.569</v>
      </c>
      <c r="H44" s="15">
        <f t="shared" si="5"/>
        <v>3777.5</v>
      </c>
      <c r="I44" s="50" t="s">
        <v>168</v>
      </c>
      <c r="J44" s="51" t="s">
        <v>169</v>
      </c>
      <c r="K44" s="50">
        <v>3777.5</v>
      </c>
      <c r="L44" s="50" t="s">
        <v>170</v>
      </c>
      <c r="M44" s="51" t="s">
        <v>95</v>
      </c>
      <c r="N44" s="51"/>
      <c r="O44" s="52" t="s">
        <v>122</v>
      </c>
      <c r="P44" s="52" t="s">
        <v>171</v>
      </c>
    </row>
    <row r="45" spans="1:16">
      <c r="B45" s="5"/>
      <c r="E45" s="49"/>
      <c r="F45" s="5"/>
    </row>
    <row r="46" spans="1:16">
      <c r="B46" s="5"/>
      <c r="E46" s="49"/>
      <c r="F46" s="5"/>
    </row>
    <row r="47" spans="1:16">
      <c r="B47" s="5"/>
      <c r="E47" s="49"/>
      <c r="F47" s="5"/>
    </row>
    <row r="48" spans="1:16">
      <c r="B48" s="5"/>
      <c r="E48" s="49"/>
      <c r="F48" s="5"/>
    </row>
    <row r="49" spans="2:6">
      <c r="B49" s="5"/>
      <c r="E49" s="49"/>
      <c r="F49" s="5"/>
    </row>
    <row r="50" spans="2:6">
      <c r="B50" s="5"/>
      <c r="E50" s="49"/>
      <c r="F50" s="5"/>
    </row>
    <row r="51" spans="2:6">
      <c r="B51" s="5"/>
      <c r="E51" s="49"/>
      <c r="F51" s="5"/>
    </row>
    <row r="52" spans="2:6">
      <c r="B52" s="5"/>
      <c r="E52" s="49"/>
      <c r="F52" s="5"/>
    </row>
    <row r="53" spans="2:6">
      <c r="B53" s="5"/>
      <c r="E53" s="49"/>
      <c r="F53" s="5"/>
    </row>
    <row r="54" spans="2:6">
      <c r="B54" s="5"/>
      <c r="E54" s="49"/>
      <c r="F54" s="5"/>
    </row>
    <row r="55" spans="2:6">
      <c r="B55" s="5"/>
      <c r="E55" s="49"/>
      <c r="F55" s="5"/>
    </row>
    <row r="56" spans="2:6">
      <c r="B56" s="5"/>
      <c r="E56" s="49"/>
      <c r="F56" s="5"/>
    </row>
    <row r="57" spans="2:6">
      <c r="B57" s="5"/>
      <c r="E57" s="49"/>
      <c r="F57" s="5"/>
    </row>
    <row r="58" spans="2:6">
      <c r="B58" s="5"/>
      <c r="E58" s="49"/>
      <c r="F58" s="5"/>
    </row>
    <row r="59" spans="2:6">
      <c r="B59" s="5"/>
      <c r="E59" s="49"/>
      <c r="F59" s="5"/>
    </row>
    <row r="60" spans="2:6">
      <c r="B60" s="5"/>
      <c r="E60" s="49"/>
      <c r="F60" s="5"/>
    </row>
    <row r="61" spans="2:6">
      <c r="B61" s="5"/>
      <c r="E61" s="49"/>
      <c r="F61" s="5"/>
    </row>
    <row r="62" spans="2:6">
      <c r="B62" s="5"/>
      <c r="E62" s="49"/>
      <c r="F62" s="5"/>
    </row>
    <row r="63" spans="2:6">
      <c r="B63" s="5"/>
      <c r="E63" s="49"/>
      <c r="F63" s="5"/>
    </row>
    <row r="64" spans="2:6">
      <c r="B64" s="5"/>
      <c r="E64" s="49"/>
      <c r="F64" s="5"/>
    </row>
    <row r="65" spans="2:6">
      <c r="B65" s="5"/>
      <c r="E65" s="49"/>
      <c r="F65" s="5"/>
    </row>
    <row r="66" spans="2:6">
      <c r="B66" s="5"/>
      <c r="E66" s="49"/>
      <c r="F66" s="5"/>
    </row>
    <row r="67" spans="2:6">
      <c r="B67" s="5"/>
      <c r="E67" s="49"/>
      <c r="F67" s="5"/>
    </row>
    <row r="68" spans="2:6">
      <c r="B68" s="5"/>
      <c r="E68" s="49"/>
      <c r="F68" s="5"/>
    </row>
    <row r="69" spans="2:6">
      <c r="B69" s="5"/>
      <c r="E69" s="49"/>
      <c r="F69" s="5"/>
    </row>
    <row r="70" spans="2:6">
      <c r="B70" s="5"/>
      <c r="E70" s="49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</sheetData>
  <phoneticPr fontId="7" type="noConversion"/>
  <hyperlinks>
    <hyperlink ref="P12" r:id="rId1" display="http://www.konkoly.hu/cgi-bin/IBVS?637"/>
    <hyperlink ref="P29" r:id="rId2" display="http://www.konkoly.hu/cgi-bin/IBVS?5263"/>
    <hyperlink ref="P31" r:id="rId3" display="http://var.astro.cz/oejv/issues/oejv0003.pdf"/>
    <hyperlink ref="P32" r:id="rId4" display="http://www.bav-astro.de/sfs/BAVM_link.php?BAVMnr=228"/>
    <hyperlink ref="P33" r:id="rId5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2024-02-15T04:34:32Z</dcterms:modified>
</cp:coreProperties>
</file>