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3A17F08-1588-49B6-9000-4BCDB6EA4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4" i="1" l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/>
  <c r="G67" i="1" s="1"/>
  <c r="K67" i="1" s="1"/>
  <c r="Q67" i="1"/>
  <c r="E68" i="1"/>
  <c r="F68" i="1" s="1"/>
  <c r="G68" i="1" s="1"/>
  <c r="K68" i="1" s="1"/>
  <c r="Q68" i="1"/>
  <c r="Q63" i="1"/>
  <c r="Q56" i="1"/>
  <c r="Q57" i="1"/>
  <c r="Q58" i="1"/>
  <c r="Q59" i="1"/>
  <c r="Q60" i="1"/>
  <c r="Q61" i="1"/>
  <c r="Q62" i="1"/>
  <c r="Q55" i="1"/>
  <c r="Q54" i="1"/>
  <c r="D9" i="1"/>
  <c r="C9" i="1"/>
  <c r="Q22" i="1"/>
  <c r="Q23" i="1"/>
  <c r="Q33" i="1"/>
  <c r="Q35" i="1"/>
  <c r="Q40" i="1"/>
  <c r="Q46" i="1"/>
  <c r="Q47" i="1"/>
  <c r="Q49" i="1"/>
  <c r="G31" i="2"/>
  <c r="C31" i="2"/>
  <c r="G30" i="2"/>
  <c r="C30" i="2"/>
  <c r="G29" i="2"/>
  <c r="C29" i="2"/>
  <c r="G39" i="2"/>
  <c r="C39" i="2"/>
  <c r="G28" i="2"/>
  <c r="C28" i="2"/>
  <c r="G38" i="2"/>
  <c r="C38" i="2"/>
  <c r="G37" i="2"/>
  <c r="C37" i="2"/>
  <c r="G27" i="2"/>
  <c r="C27" i="2"/>
  <c r="G26" i="2"/>
  <c r="C26" i="2"/>
  <c r="G25" i="2"/>
  <c r="C25" i="2"/>
  <c r="G24" i="2"/>
  <c r="C24" i="2"/>
  <c r="G23" i="2"/>
  <c r="C23" i="2"/>
  <c r="G36" i="2"/>
  <c r="C36" i="2"/>
  <c r="G22" i="2"/>
  <c r="C22" i="2"/>
  <c r="G21" i="2"/>
  <c r="C21" i="2"/>
  <c r="G20" i="2"/>
  <c r="C20" i="2"/>
  <c r="G19" i="2"/>
  <c r="C19" i="2"/>
  <c r="G35" i="2"/>
  <c r="C35" i="2"/>
  <c r="G34" i="2"/>
  <c r="C3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3" i="2"/>
  <c r="C33" i="2"/>
  <c r="G32" i="2"/>
  <c r="C32" i="2"/>
  <c r="H31" i="2"/>
  <c r="B31" i="2"/>
  <c r="D31" i="2"/>
  <c r="A31" i="2"/>
  <c r="H30" i="2"/>
  <c r="B30" i="2"/>
  <c r="D30" i="2"/>
  <c r="A30" i="2"/>
  <c r="H29" i="2"/>
  <c r="B29" i="2"/>
  <c r="D29" i="2"/>
  <c r="A29" i="2"/>
  <c r="H39" i="2"/>
  <c r="B39" i="2"/>
  <c r="D39" i="2"/>
  <c r="A39" i="2"/>
  <c r="H28" i="2"/>
  <c r="B28" i="2"/>
  <c r="D28" i="2"/>
  <c r="A28" i="2"/>
  <c r="H38" i="2"/>
  <c r="B38" i="2"/>
  <c r="D38" i="2"/>
  <c r="A38" i="2"/>
  <c r="H37" i="2"/>
  <c r="B37" i="2"/>
  <c r="D37" i="2"/>
  <c r="A37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36" i="2"/>
  <c r="B36" i="2"/>
  <c r="D36" i="2"/>
  <c r="A36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35" i="2"/>
  <c r="B35" i="2"/>
  <c r="D35" i="2"/>
  <c r="A35" i="2"/>
  <c r="H34" i="2"/>
  <c r="B34" i="2"/>
  <c r="D34" i="2"/>
  <c r="A34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33" i="2"/>
  <c r="B33" i="2"/>
  <c r="D33" i="2"/>
  <c r="A33" i="2"/>
  <c r="H32" i="2"/>
  <c r="B32" i="2"/>
  <c r="D32" i="2"/>
  <c r="A32" i="2"/>
  <c r="Q53" i="1"/>
  <c r="C7" i="1"/>
  <c r="E63" i="1" s="1"/>
  <c r="F63" i="1" s="1"/>
  <c r="G63" i="1" s="1"/>
  <c r="K63" i="1" s="1"/>
  <c r="E56" i="1"/>
  <c r="F56" i="1" s="1"/>
  <c r="G56" i="1" s="1"/>
  <c r="K56" i="1" s="1"/>
  <c r="C8" i="1"/>
  <c r="E59" i="1" s="1"/>
  <c r="F59" i="1" s="1"/>
  <c r="G59" i="1" s="1"/>
  <c r="K59" i="1" s="1"/>
  <c r="Q52" i="1"/>
  <c r="Q44" i="1"/>
  <c r="Q51" i="1"/>
  <c r="F16" i="1"/>
  <c r="C17" i="1"/>
  <c r="Q50" i="1"/>
  <c r="Q45" i="1"/>
  <c r="Q48" i="1"/>
  <c r="Q24" i="1"/>
  <c r="Q25" i="1"/>
  <c r="Q26" i="1"/>
  <c r="Q27" i="1"/>
  <c r="Q28" i="1"/>
  <c r="Q29" i="1"/>
  <c r="Q30" i="1"/>
  <c r="Q31" i="1"/>
  <c r="Q32" i="1"/>
  <c r="Q36" i="1"/>
  <c r="Q37" i="1"/>
  <c r="Q38" i="1"/>
  <c r="Q39" i="1"/>
  <c r="Q21" i="1"/>
  <c r="Q41" i="1"/>
  <c r="Q42" i="1"/>
  <c r="Q43" i="1"/>
  <c r="Q34" i="1"/>
  <c r="E25" i="1"/>
  <c r="F25" i="1" s="1"/>
  <c r="G25" i="1" s="1"/>
  <c r="H25" i="1" s="1"/>
  <c r="E32" i="1"/>
  <c r="F32" i="1" s="1"/>
  <c r="G32" i="1" s="1"/>
  <c r="H32" i="1" s="1"/>
  <c r="E62" i="1"/>
  <c r="F62" i="1" s="1"/>
  <c r="G62" i="1" s="1"/>
  <c r="K62" i="1" s="1"/>
  <c r="E57" i="1"/>
  <c r="F57" i="1" s="1"/>
  <c r="G57" i="1" s="1"/>
  <c r="K57" i="1" s="1"/>
  <c r="E27" i="1"/>
  <c r="F27" i="1" s="1"/>
  <c r="G27" i="1" s="1"/>
  <c r="H27" i="1" s="1"/>
  <c r="E34" i="1"/>
  <c r="F34" i="1" s="1"/>
  <c r="G34" i="1" s="1"/>
  <c r="H34" i="1" s="1"/>
  <c r="E60" i="1"/>
  <c r="F60" i="1" s="1"/>
  <c r="G60" i="1" s="1"/>
  <c r="K60" i="1" s="1"/>
  <c r="E46" i="1"/>
  <c r="E37" i="2" s="1"/>
  <c r="E51" i="1"/>
  <c r="F51" i="1" s="1"/>
  <c r="G51" i="1" s="1"/>
  <c r="J51" i="1" s="1"/>
  <c r="E24" i="1"/>
  <c r="F24" i="1" s="1"/>
  <c r="G24" i="1" s="1"/>
  <c r="H24" i="1" s="1"/>
  <c r="E29" i="1"/>
  <c r="F29" i="1" s="1"/>
  <c r="G29" i="1" s="1"/>
  <c r="H29" i="1" s="1"/>
  <c r="E47" i="1"/>
  <c r="F47" i="1" s="1"/>
  <c r="G47" i="1" s="1"/>
  <c r="I47" i="1" s="1"/>
  <c r="E37" i="1"/>
  <c r="F37" i="1" s="1"/>
  <c r="G37" i="1" s="1"/>
  <c r="H37" i="1" s="1"/>
  <c r="E58" i="1"/>
  <c r="F58" i="1" s="1"/>
  <c r="G58" i="1" s="1"/>
  <c r="K58" i="1" s="1"/>
  <c r="E42" i="1"/>
  <c r="F42" i="1" s="1"/>
  <c r="G42" i="1" s="1"/>
  <c r="I42" i="1" s="1"/>
  <c r="E22" i="1"/>
  <c r="F22" i="1" s="1"/>
  <c r="G22" i="1" s="1"/>
  <c r="I22" i="1" s="1"/>
  <c r="E61" i="1"/>
  <c r="F61" i="1" s="1"/>
  <c r="G61" i="1" s="1"/>
  <c r="K61" i="1" s="1"/>
  <c r="E36" i="1"/>
  <c r="E19" i="2" s="1"/>
  <c r="E45" i="1"/>
  <c r="E27" i="2" s="1"/>
  <c r="E38" i="2"/>
  <c r="F46" i="1"/>
  <c r="U46" i="1" s="1"/>
  <c r="E13" i="2"/>
  <c r="F45" i="1" l="1"/>
  <c r="G45" i="1" s="1"/>
  <c r="E35" i="1"/>
  <c r="E21" i="1"/>
  <c r="F21" i="1" s="1"/>
  <c r="G21" i="1" s="1"/>
  <c r="H21" i="1" s="1"/>
  <c r="E55" i="1"/>
  <c r="F55" i="1" s="1"/>
  <c r="G55" i="1" s="1"/>
  <c r="K55" i="1" s="1"/>
  <c r="E48" i="1"/>
  <c r="E30" i="2"/>
  <c r="E18" i="2"/>
  <c r="E15" i="2"/>
  <c r="E24" i="2"/>
  <c r="F36" i="1"/>
  <c r="G36" i="1" s="1"/>
  <c r="H36" i="1" s="1"/>
  <c r="E50" i="1"/>
  <c r="E40" i="1"/>
  <c r="E52" i="1"/>
  <c r="E44" i="1"/>
  <c r="E28" i="1"/>
  <c r="E54" i="1"/>
  <c r="F54" i="1" s="1"/>
  <c r="G54" i="1" s="1"/>
  <c r="K54" i="1" s="1"/>
  <c r="E33" i="1"/>
  <c r="E11" i="2"/>
  <c r="E26" i="1"/>
  <c r="E23" i="1"/>
  <c r="E20" i="2"/>
  <c r="E31" i="1"/>
  <c r="E38" i="1"/>
  <c r="E32" i="2"/>
  <c r="E41" i="1"/>
  <c r="E43" i="1"/>
  <c r="E53" i="1"/>
  <c r="F53" i="1" s="1"/>
  <c r="G53" i="1" s="1"/>
  <c r="K53" i="1" s="1"/>
  <c r="E30" i="1"/>
  <c r="E49" i="1"/>
  <c r="E39" i="1"/>
  <c r="F17" i="1"/>
  <c r="F39" i="1" l="1"/>
  <c r="G39" i="1" s="1"/>
  <c r="H39" i="1" s="1"/>
  <c r="E22" i="2"/>
  <c r="F31" i="1"/>
  <c r="G31" i="1" s="1"/>
  <c r="H31" i="1" s="1"/>
  <c r="E17" i="2"/>
  <c r="E14" i="2"/>
  <c r="F28" i="1"/>
  <c r="G28" i="1" s="1"/>
  <c r="H28" i="1" s="1"/>
  <c r="F49" i="1"/>
  <c r="G49" i="1" s="1"/>
  <c r="K49" i="1" s="1"/>
  <c r="E39" i="2"/>
  <c r="E26" i="2"/>
  <c r="F44" i="1"/>
  <c r="G44" i="1" s="1"/>
  <c r="J44" i="1" s="1"/>
  <c r="E16" i="2"/>
  <c r="F30" i="1"/>
  <c r="G30" i="1" s="1"/>
  <c r="H30" i="1" s="1"/>
  <c r="F52" i="1"/>
  <c r="G52" i="1" s="1"/>
  <c r="K52" i="1" s="1"/>
  <c r="E31" i="2"/>
  <c r="E28" i="2"/>
  <c r="F48" i="1"/>
  <c r="G48" i="1" s="1"/>
  <c r="F23" i="1"/>
  <c r="U23" i="1" s="1"/>
  <c r="E33" i="2"/>
  <c r="F40" i="1"/>
  <c r="G40" i="1" s="1"/>
  <c r="I40" i="1" s="1"/>
  <c r="E36" i="2"/>
  <c r="E25" i="2"/>
  <c r="F43" i="1"/>
  <c r="G43" i="1" s="1"/>
  <c r="I43" i="1" s="1"/>
  <c r="E12" i="2"/>
  <c r="F26" i="1"/>
  <c r="G26" i="1" s="1"/>
  <c r="H26" i="1" s="1"/>
  <c r="E29" i="2"/>
  <c r="F50" i="1"/>
  <c r="G50" i="1" s="1"/>
  <c r="K50" i="1" s="1"/>
  <c r="E23" i="2"/>
  <c r="F41" i="1"/>
  <c r="G41" i="1" s="1"/>
  <c r="I41" i="1" s="1"/>
  <c r="E35" i="2"/>
  <c r="F35" i="1"/>
  <c r="G35" i="1" s="1"/>
  <c r="H35" i="1" s="1"/>
  <c r="E21" i="2"/>
  <c r="F38" i="1"/>
  <c r="G38" i="1" s="1"/>
  <c r="H38" i="1" s="1"/>
  <c r="F33" i="1"/>
  <c r="G33" i="1" s="1"/>
  <c r="I33" i="1" s="1"/>
  <c r="E34" i="2"/>
  <c r="K45" i="1"/>
  <c r="C11" i="1"/>
  <c r="C12" i="1"/>
  <c r="O66" i="1" l="1"/>
  <c r="O65" i="1"/>
  <c r="O67" i="1"/>
  <c r="O64" i="1"/>
  <c r="O68" i="1"/>
  <c r="O53" i="1"/>
  <c r="O37" i="1"/>
  <c r="O34" i="1"/>
  <c r="O25" i="1"/>
  <c r="O47" i="1"/>
  <c r="O42" i="1"/>
  <c r="O50" i="1"/>
  <c r="O26" i="1"/>
  <c r="O59" i="1"/>
  <c r="O54" i="1"/>
  <c r="O30" i="1"/>
  <c r="O55" i="1"/>
  <c r="O27" i="1"/>
  <c r="O43" i="1"/>
  <c r="O33" i="1"/>
  <c r="O45" i="1"/>
  <c r="O21" i="1"/>
  <c r="O24" i="1"/>
  <c r="O61" i="1"/>
  <c r="O56" i="1"/>
  <c r="O23" i="1"/>
  <c r="O39" i="1"/>
  <c r="O44" i="1"/>
  <c r="O60" i="1"/>
  <c r="O36" i="1"/>
  <c r="O58" i="1"/>
  <c r="O32" i="1"/>
  <c r="O35" i="1"/>
  <c r="O52" i="1"/>
  <c r="O40" i="1"/>
  <c r="O31" i="1"/>
  <c r="O38" i="1"/>
  <c r="C15" i="1"/>
  <c r="O49" i="1"/>
  <c r="O63" i="1"/>
  <c r="O62" i="1"/>
  <c r="O29" i="1"/>
  <c r="O41" i="1"/>
  <c r="O46" i="1"/>
  <c r="O57" i="1"/>
  <c r="O28" i="1"/>
  <c r="O51" i="1"/>
  <c r="O22" i="1"/>
  <c r="O48" i="1"/>
  <c r="C16" i="1"/>
  <c r="D18" i="1" s="1"/>
  <c r="K48" i="1"/>
  <c r="C18" i="1" l="1"/>
  <c r="F18" i="1"/>
  <c r="F19" i="1" s="1"/>
</calcChain>
</file>

<file path=xl/sharedStrings.xml><?xml version="1.0" encoding="utf-8"?>
<sst xmlns="http://schemas.openxmlformats.org/spreadsheetml/2006/main" count="388" uniqueCount="194">
  <si>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</si>
  <si>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</si>
  <si>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</si>
  <si>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</si>
  <si>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</si>
  <si>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</si>
  <si>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</si>
  <si>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</si>
  <si>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</si>
  <si>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</si>
  <si>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</si>
  <si>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</si>
  <si>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</si>
  <si>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</si>
  <si>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</si>
  <si>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</si>
  <si>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</si>
  <si>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</si>
  <si>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</si>
  <si>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</si>
  <si>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</si>
  <si>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</si>
  <si>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</si>
  <si>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</si>
  <si>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</si>
  <si>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</si>
  <si>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</si>
  <si>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</si>
  <si>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</si>
  <si>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Bull.18</t>
  </si>
  <si>
    <t>B</t>
  </si>
  <si>
    <t>Peter H</t>
  </si>
  <si>
    <t>BBSAG Bull.27</t>
  </si>
  <si>
    <t>BBSAG Bull.37</t>
  </si>
  <si>
    <t>Srivastava 1987</t>
  </si>
  <si>
    <t>I</t>
  </si>
  <si>
    <t>II</t>
  </si>
  <si>
    <t>Srivastava 1987Ap&amp;SS.133…71S</t>
  </si>
  <si>
    <t># of data points:</t>
  </si>
  <si>
    <t>EA/DM</t>
  </si>
  <si>
    <t>VZ Hya / GSC 04874-00811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</si>
  <si>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</si>
  <si>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</si>
  <si>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</si>
  <si>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</si>
  <si>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</si>
  <si>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</si>
  <si>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IBVS 5894</t>
  </si>
  <si>
    <t>Start of linear fit &gt;&gt;&gt;&gt;&gt;&gt;&gt;&gt;&gt;&gt;&gt;&gt;&gt;&gt;&gt;&gt;&gt;&gt;&gt;&gt;&gt;</t>
  </si>
  <si>
    <t>Add cycle</t>
  </si>
  <si>
    <t>Old Cycle</t>
  </si>
  <si>
    <t>IBVS 2185</t>
  </si>
  <si>
    <t>PE</t>
  </si>
  <si>
    <t>IBVS 5918</t>
  </si>
  <si>
    <t>JAVSO..40....1</t>
  </si>
  <si>
    <t>VSS_2013-01-28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</si>
  <si>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</si>
  <si>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</si>
  <si>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</si>
  <si>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</si>
  <si>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</si>
  <si>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</si>
  <si>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</si>
  <si>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</si>
  <si>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</si>
  <si>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</si>
  <si>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</si>
  <si>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2421925.825 </t>
  </si>
  <si>
    <t> 28.11.1918 07:48 </t>
  </si>
  <si>
    <t> 0.000 </t>
  </si>
  <si>
    <t> D.J.O'Connell </t>
  </si>
  <si>
    <t> HB 889 </t>
  </si>
  <si>
    <t>2423535.601 </t>
  </si>
  <si>
    <t> 26.04.1923 02:25 </t>
  </si>
  <si>
    <t> 0.794 </t>
  </si>
  <si>
    <t> S.Gaposchkin </t>
  </si>
  <si>
    <t> HA 113.74 </t>
  </si>
  <si>
    <t>2427840.437 </t>
  </si>
  <si>
    <t> 06.02.1935 22:29 </t>
  </si>
  <si>
    <t> 0.006 </t>
  </si>
  <si>
    <t>V </t>
  </si>
  <si>
    <t> F.Lause </t>
  </si>
  <si>
    <t> AN 277.41 </t>
  </si>
  <si>
    <t>2427856.412 </t>
  </si>
  <si>
    <t> 22.02.1935 21:53 </t>
  </si>
  <si>
    <t> 0.007 </t>
  </si>
  <si>
    <t>2429604.794 </t>
  </si>
  <si>
    <t> 07.12.1939 07:03 </t>
  </si>
  <si>
    <t> 0.001 </t>
  </si>
  <si>
    <t> F.B.Wood </t>
  </si>
  <si>
    <t> CPRI 21.62 </t>
  </si>
  <si>
    <t>2429681.751 </t>
  </si>
  <si>
    <t> 22.02.1940 06:01 </t>
  </si>
  <si>
    <t> -0.006 </t>
  </si>
  <si>
    <t>2429700.634 </t>
  </si>
  <si>
    <t> 12.03.1940 03:12 </t>
  </si>
  <si>
    <t> -0.001 </t>
  </si>
  <si>
    <t>2429748.556 </t>
  </si>
  <si>
    <t> 29.04.1940 01:20 </t>
  </si>
  <si>
    <t> -0.000 </t>
  </si>
  <si>
    <t>2430015.742 </t>
  </si>
  <si>
    <t> 21.01.1941 05:48 </t>
  </si>
  <si>
    <t> -0.010 </t>
  </si>
  <si>
    <t>2430034.626 </t>
  </si>
  <si>
    <t> 09.02.1941 03:01 </t>
  </si>
  <si>
    <t> -0.004 </t>
  </si>
  <si>
    <t>2439926.673 </t>
  </si>
  <si>
    <t> 11.03.1968 04:09 </t>
  </si>
  <si>
    <t> -0.002 </t>
  </si>
  <si>
    <t> S.Cook </t>
  </si>
  <si>
    <t> AVSJ 3.61 </t>
  </si>
  <si>
    <t>2440254.861 </t>
  </si>
  <si>
    <t> 02.02.1969 08:39 </t>
  </si>
  <si>
    <t> R.L.Walker </t>
  </si>
  <si>
    <t> AJ 75.722 </t>
  </si>
  <si>
    <t>2440654.201 </t>
  </si>
  <si>
    <t> 08.03.1970 16:49 </t>
  </si>
  <si>
    <t>E </t>
  </si>
  <si>
    <t>?</t>
  </si>
  <si>
    <t> Padalia&amp;Srivastava </t>
  </si>
  <si>
    <t> ASS 35.249 </t>
  </si>
  <si>
    <t>2440686.154 </t>
  </si>
  <si>
    <t> 09.04.1970 15:41 </t>
  </si>
  <si>
    <t> 0.005 </t>
  </si>
  <si>
    <t>2440998.362 </t>
  </si>
  <si>
    <t> 15.02.1971 20:41 </t>
  </si>
  <si>
    <t>2441033.212 </t>
  </si>
  <si>
    <t> 22.03.1971 17:05 </t>
  </si>
  <si>
    <t>2441743.305 </t>
  </si>
  <si>
    <t> 01.03.1973 19:19 </t>
  </si>
  <si>
    <t> -0.009 </t>
  </si>
  <si>
    <t> K.Locher </t>
  </si>
  <si>
    <t> BBS 8 </t>
  </si>
  <si>
    <t>2442354.668 </t>
  </si>
  <si>
    <t> 03.11.1974 04:01 </t>
  </si>
  <si>
    <t> BBS 18 </t>
  </si>
  <si>
    <t>2442848.401 </t>
  </si>
  <si>
    <t> 10.03.1976 21:37 </t>
  </si>
  <si>
    <t> H.Peter </t>
  </si>
  <si>
    <t> BBS 27 </t>
  </si>
  <si>
    <t>2443577.372 </t>
  </si>
  <si>
    <t> 09.03.1978 20:55 </t>
  </si>
  <si>
    <t> -0.008 </t>
  </si>
  <si>
    <t> BBS 37 </t>
  </si>
  <si>
    <t>2444236.6532 </t>
  </si>
  <si>
    <t> 29.12.1979 03:40 </t>
  </si>
  <si>
    <t> -0.0025 </t>
  </si>
  <si>
    <t> G.Wolf et al. </t>
  </si>
  <si>
    <t>IBVS 2185 </t>
  </si>
  <si>
    <t>2447971.5876 </t>
  </si>
  <si>
    <t> 21.03.1990 02:06 </t>
  </si>
  <si>
    <t> 0.0023 </t>
  </si>
  <si>
    <t> Smith &amp; Caton </t>
  </si>
  <si>
    <t>IBVS 5745 </t>
  </si>
  <si>
    <t>2451253.434 </t>
  </si>
  <si>
    <t> 15.03.1999 22:24 </t>
  </si>
  <si>
    <t> R.Meyer </t>
  </si>
  <si>
    <t>BAVM 122 </t>
  </si>
  <si>
    <t>2451256.352 </t>
  </si>
  <si>
    <t> 18.03.1999 20:26 </t>
  </si>
  <si>
    <t> 0.004 </t>
  </si>
  <si>
    <t>2452702.6936 </t>
  </si>
  <si>
    <t> 04.03.2003 04:38 </t>
  </si>
  <si>
    <t> 0.0040 </t>
  </si>
  <si>
    <t>2453846.9875 </t>
  </si>
  <si>
    <t> 21.04.2006 11:42 </t>
  </si>
  <si>
    <t> 0.0037 </t>
  </si>
  <si>
    <t> K. Nagai et al. </t>
  </si>
  <si>
    <t>VSB 45 </t>
  </si>
  <si>
    <t>2454848.9718 </t>
  </si>
  <si>
    <t> 17.01.2009 11:19 </t>
  </si>
  <si>
    <t> 0.0046 </t>
  </si>
  <si>
    <t>C </t>
  </si>
  <si>
    <t> R.Diethelm </t>
  </si>
  <si>
    <t>IBVS 5894 </t>
  </si>
  <si>
    <t>2454866.3976 </t>
  </si>
  <si>
    <t> 03.02.2009 21:32 </t>
  </si>
  <si>
    <t>-I</t>
  </si>
  <si>
    <t> P.Frank </t>
  </si>
  <si>
    <t>BAVM 209 </t>
  </si>
  <si>
    <t>2455923.5621 </t>
  </si>
  <si>
    <t> 28.12.2011 01:29 </t>
  </si>
  <si>
    <t>5395</t>
  </si>
  <si>
    <t>R</t>
  </si>
  <si>
    <t> L.Corp </t>
  </si>
  <si>
    <t> JAAVSO 40;975 </t>
  </si>
  <si>
    <t>BAD?</t>
  </si>
  <si>
    <t>OEJV 0181</t>
  </si>
  <si>
    <t>VSB 067</t>
  </si>
  <si>
    <t>Ic</t>
  </si>
  <si>
    <t>VSB 069</t>
  </si>
  <si>
    <t>U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</si>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</sst>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20" fontId="0" fillId="0" borderId="0" xfId="0" applyNumberFormat="1" applyAlignment="1"/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center"/>
      <protection locked="0"/>
    </xf>
    <xf numFmtId="165" fontId="37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Hya - O-C Diagr.</a:t>
            </a:r>
          </a:p>
        </c:rich>
      </c:tx>
      <c:layout>
        <c:manualLayout>
          <c:xMode val="edge"/>
          <c:yMode val="edge"/>
          <c:x val="0.399730820995962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5181695827725"/>
          <c:y val="0.14723926380368099"/>
          <c:w val="0.82907133243607001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-6.2199997046263888E-5</c:v>
                </c:pt>
                <c:pt idx="3">
                  <c:v>-1.3835199999448378E-2</c:v>
                </c:pt>
                <c:pt idx="4">
                  <c:v>5.7951000017055776E-3</c:v>
                </c:pt>
                <c:pt idx="5">
                  <c:v>7.1462000014435034E-3</c:v>
                </c:pt>
                <c:pt idx="6">
                  <c:v>6.6660000447882339E-4</c:v>
                </c:pt>
                <c:pt idx="7">
                  <c:v>-6.2780999978713226E-3</c:v>
                </c:pt>
                <c:pt idx="8">
                  <c:v>-1.2267999991308898E-3</c:v>
                </c:pt>
                <c:pt idx="9">
                  <c:v>-1.7349999689031392E-4</c:v>
                </c:pt>
                <c:pt idx="10">
                  <c:v>-9.755099999892991E-3</c:v>
                </c:pt>
                <c:pt idx="11">
                  <c:v>-3.7037999973108526E-3</c:v>
                </c:pt>
                <c:pt idx="13">
                  <c:v>0</c:v>
                </c:pt>
                <c:pt idx="14">
                  <c:v>2.9999999969732016E-4</c:v>
                </c:pt>
                <c:pt idx="15">
                  <c:v>-9.2249999579507858E-4</c:v>
                </c:pt>
                <c:pt idx="16">
                  <c:v>4.7797000079299323E-3</c:v>
                </c:pt>
                <c:pt idx="17">
                  <c:v>5.5120000615715981E-4</c:v>
                </c:pt>
                <c:pt idx="18">
                  <c:v>-1.0464000006322749E-3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0-47A4-9D55-D25F9161BB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3.378000037628226E-4</c:v>
                </c:pt>
                <c:pt idx="12">
                  <c:v>-1.8225999956484884E-3</c:v>
                </c:pt>
                <c:pt idx="19">
                  <c:v>-9.347499995783437E-3</c:v>
                </c:pt>
                <c:pt idx="20">
                  <c:v>-1.4554000008502044E-3</c:v>
                </c:pt>
                <c:pt idx="21">
                  <c:v>5.7860000379150733E-4</c:v>
                </c:pt>
                <c:pt idx="22">
                  <c:v>-7.6711999936378561E-3</c:v>
                </c:pt>
                <c:pt idx="26">
                  <c:v>3.6575999984052032E-3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0-47A4-9D55-D25F9161BB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3">
                  <c:v>-2.5257999950554222E-3</c:v>
                </c:pt>
                <c:pt idx="30">
                  <c:v>4.6062000037636608E-3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0-47A4-9D55-D25F9161BB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4">
                  <c:v>2.3313999990932643E-3</c:v>
                </c:pt>
                <c:pt idx="27">
                  <c:v>3.9572000023326837E-3</c:v>
                </c:pt>
                <c:pt idx="28">
                  <c:v>3.7360000060289167E-3</c:v>
                </c:pt>
                <c:pt idx="29">
                  <c:v>4.6050000019022264E-3</c:v>
                </c:pt>
                <c:pt idx="31">
                  <c:v>3.9790000082575716E-3</c:v>
                </c:pt>
                <c:pt idx="32">
                  <c:v>4.5366000049398281E-3</c:v>
                </c:pt>
                <c:pt idx="33">
                  <c:v>8.6066000003484078E-3</c:v>
                </c:pt>
                <c:pt idx="34">
                  <c:v>5.3108000065549277E-3</c:v>
                </c:pt>
                <c:pt idx="35">
                  <c:v>4.6064999987720512E-3</c:v>
                </c:pt>
                <c:pt idx="36">
                  <c:v>6.0064999997848645E-3</c:v>
                </c:pt>
                <c:pt idx="37">
                  <c:v>6.3064999994821846E-3</c:v>
                </c:pt>
                <c:pt idx="38">
                  <c:v>4.4849999976577237E-3</c:v>
                </c:pt>
                <c:pt idx="39">
                  <c:v>4.885000002104789E-3</c:v>
                </c:pt>
                <c:pt idx="40">
                  <c:v>6.0850000008940697E-3</c:v>
                </c:pt>
                <c:pt idx="41">
                  <c:v>6.7849999977624975E-3</c:v>
                </c:pt>
                <c:pt idx="42">
                  <c:v>6.3284002171712928E-3</c:v>
                </c:pt>
                <c:pt idx="43">
                  <c:v>6.384100008290261E-3</c:v>
                </c:pt>
                <c:pt idx="44">
                  <c:v>6.5841001342050731E-3</c:v>
                </c:pt>
                <c:pt idx="45">
                  <c:v>6.4023001614259556E-3</c:v>
                </c:pt>
                <c:pt idx="46">
                  <c:v>4.9045000341720879E-3</c:v>
                </c:pt>
                <c:pt idx="47">
                  <c:v>4.9045000341720879E-3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0-47A4-9D55-D25F9161BB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0-47A4-9D55-D25F9161BB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0-47A4-9D55-D25F9161BB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0-47A4-9D55-D25F9161BB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-5.5291438976075077E-3</c:v>
                </c:pt>
                <c:pt idx="1">
                  <c:v>-5.5291438976075077E-3</c:v>
                </c:pt>
                <c:pt idx="2">
                  <c:v>-5.0368081054281465E-3</c:v>
                </c:pt>
                <c:pt idx="3">
                  <c:v>-4.0774414265285983E-3</c:v>
                </c:pt>
                <c:pt idx="4">
                  <c:v>-3.7209530215511167E-3</c:v>
                </c:pt>
                <c:pt idx="5">
                  <c:v>-3.7160696187432062E-3</c:v>
                </c:pt>
                <c:pt idx="6">
                  <c:v>-3.181558984131889E-3</c:v>
                </c:pt>
                <c:pt idx="7">
                  <c:v>-3.1580298615119557E-3</c:v>
                </c:pt>
                <c:pt idx="8">
                  <c:v>-3.152258567284425E-3</c:v>
                </c:pt>
                <c:pt idx="9">
                  <c:v>-3.1376083588606925E-3</c:v>
                </c:pt>
                <c:pt idx="10">
                  <c:v>-3.0559223482556409E-3</c:v>
                </c:pt>
                <c:pt idx="11">
                  <c:v>-3.0501510540281102E-3</c:v>
                </c:pt>
                <c:pt idx="12">
                  <c:v>-2.599287880195386E-5</c:v>
                </c:pt>
                <c:pt idx="13">
                  <c:v>7.4338851615120619E-5</c:v>
                </c:pt>
                <c:pt idx="14">
                  <c:v>7.4338851615120619E-5</c:v>
                </c:pt>
                <c:pt idx="15">
                  <c:v>1.9642392181288824E-4</c:v>
                </c:pt>
                <c:pt idx="16">
                  <c:v>2.0619072742870964E-4</c:v>
                </c:pt>
                <c:pt idx="17">
                  <c:v>3.0163905503787338E-4</c:v>
                </c:pt>
                <c:pt idx="18">
                  <c:v>3.1229375207331492E-4</c:v>
                </c:pt>
                <c:pt idx="19">
                  <c:v>5.2938320417043622E-4</c:v>
                </c:pt>
                <c:pt idx="20">
                  <c:v>7.1628434800047325E-4</c:v>
                </c:pt>
                <c:pt idx="21">
                  <c:v>8.6722588933589497E-4</c:v>
                </c:pt>
                <c:pt idx="22">
                  <c:v>1.0900866356605471E-3</c:v>
                </c:pt>
                <c:pt idx="23">
                  <c:v>1.2916379879143161E-3</c:v>
                </c:pt>
                <c:pt idx="24">
                  <c:v>2.4334663535458007E-3</c:v>
                </c:pt>
                <c:pt idx="25">
                  <c:v>3.4367836577165458E-3</c:v>
                </c:pt>
                <c:pt idx="26">
                  <c:v>3.4376715491361656E-3</c:v>
                </c:pt>
                <c:pt idx="27">
                  <c:v>3.8798414761069895E-3</c:v>
                </c:pt>
                <c:pt idx="28">
                  <c:v>4.2296706954373202E-3</c:v>
                </c:pt>
                <c:pt idx="29">
                  <c:v>4.5359932352062645E-3</c:v>
                </c:pt>
                <c:pt idx="30">
                  <c:v>4.5413205837239847E-3</c:v>
                </c:pt>
                <c:pt idx="31">
                  <c:v>4.8645130604657114E-3</c:v>
                </c:pt>
                <c:pt idx="32">
                  <c:v>4.8982529344112763E-3</c:v>
                </c:pt>
                <c:pt idx="33">
                  <c:v>5.4309877861833536E-3</c:v>
                </c:pt>
                <c:pt idx="34">
                  <c:v>5.4496335059953755E-3</c:v>
                </c:pt>
                <c:pt idx="35">
                  <c:v>5.6525166953785748E-3</c:v>
                </c:pt>
                <c:pt idx="36">
                  <c:v>5.6525166953785748E-3</c:v>
                </c:pt>
                <c:pt idx="37">
                  <c:v>5.6525166953785748E-3</c:v>
                </c:pt>
                <c:pt idx="38">
                  <c:v>5.7790412226744435E-3</c:v>
                </c:pt>
                <c:pt idx="39">
                  <c:v>5.7790412226744435E-3</c:v>
                </c:pt>
                <c:pt idx="40">
                  <c:v>5.7790412226744435E-3</c:v>
                </c:pt>
                <c:pt idx="41">
                  <c:v>5.7790412226744435E-3</c:v>
                </c:pt>
                <c:pt idx="42">
                  <c:v>5.9717136607320117E-3</c:v>
                </c:pt>
                <c:pt idx="43">
                  <c:v>5.9970185661911849E-3</c:v>
                </c:pt>
                <c:pt idx="44">
                  <c:v>5.9970185661911849E-3</c:v>
                </c:pt>
                <c:pt idx="45">
                  <c:v>6.0778166853766163E-3</c:v>
                </c:pt>
                <c:pt idx="46">
                  <c:v>6.0875834909924383E-3</c:v>
                </c:pt>
                <c:pt idx="47">
                  <c:v>6.0875834909924383E-3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0-47A4-9D55-D25F9161BB5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-0.65790129999732017</c:v>
                </c:pt>
                <c:pt idx="25">
                  <c:v>-1.0042599998996593E-2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50-47A4-9D55-D25F9161B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59144"/>
        <c:axId val="1"/>
      </c:scatterChart>
      <c:valAx>
        <c:axId val="47355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3674293405113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5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80215343203231"/>
          <c:y val="0.92024539877300615"/>
          <c:w val="0.6473755047106324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Hya - O-C Diagr.</a:t>
            </a:r>
          </a:p>
        </c:rich>
      </c:tx>
      <c:layout>
        <c:manualLayout>
          <c:xMode val="edge"/>
          <c:yMode val="edge"/>
          <c:x val="0.3991941128326700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4746178734799"/>
          <c:y val="0.14678942920199375"/>
          <c:w val="0.84543121722637504"/>
          <c:h val="0.68501733627597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-6.2199997046263888E-5</c:v>
                </c:pt>
                <c:pt idx="3">
                  <c:v>-1.3835199999448378E-2</c:v>
                </c:pt>
                <c:pt idx="4">
                  <c:v>5.7951000017055776E-3</c:v>
                </c:pt>
                <c:pt idx="5">
                  <c:v>7.1462000014435034E-3</c:v>
                </c:pt>
                <c:pt idx="6">
                  <c:v>6.6660000447882339E-4</c:v>
                </c:pt>
                <c:pt idx="7">
                  <c:v>-6.2780999978713226E-3</c:v>
                </c:pt>
                <c:pt idx="8">
                  <c:v>-1.2267999991308898E-3</c:v>
                </c:pt>
                <c:pt idx="9">
                  <c:v>-1.7349999689031392E-4</c:v>
                </c:pt>
                <c:pt idx="10">
                  <c:v>-9.755099999892991E-3</c:v>
                </c:pt>
                <c:pt idx="11">
                  <c:v>-3.7037999973108526E-3</c:v>
                </c:pt>
                <c:pt idx="13">
                  <c:v>0</c:v>
                </c:pt>
                <c:pt idx="14">
                  <c:v>2.9999999969732016E-4</c:v>
                </c:pt>
                <c:pt idx="15">
                  <c:v>-9.2249999579507858E-4</c:v>
                </c:pt>
                <c:pt idx="16">
                  <c:v>4.7797000079299323E-3</c:v>
                </c:pt>
                <c:pt idx="17">
                  <c:v>5.5120000615715981E-4</c:v>
                </c:pt>
                <c:pt idx="18">
                  <c:v>-1.0464000006322749E-3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84-4088-B54D-A1253A7D61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3.378000037628226E-4</c:v>
                </c:pt>
                <c:pt idx="12">
                  <c:v>-1.8225999956484884E-3</c:v>
                </c:pt>
                <c:pt idx="19">
                  <c:v>-9.347499995783437E-3</c:v>
                </c:pt>
                <c:pt idx="20">
                  <c:v>-1.4554000008502044E-3</c:v>
                </c:pt>
                <c:pt idx="21">
                  <c:v>5.7860000379150733E-4</c:v>
                </c:pt>
                <c:pt idx="22">
                  <c:v>-7.6711999936378561E-3</c:v>
                </c:pt>
                <c:pt idx="26">
                  <c:v>3.6575999984052032E-3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84-4088-B54D-A1253A7D61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3">
                  <c:v>-2.5257999950554222E-3</c:v>
                </c:pt>
                <c:pt idx="30">
                  <c:v>4.6062000037636608E-3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84-4088-B54D-A1253A7D61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4">
                  <c:v>2.3313999990932643E-3</c:v>
                </c:pt>
                <c:pt idx="27">
                  <c:v>3.9572000023326837E-3</c:v>
                </c:pt>
                <c:pt idx="28">
                  <c:v>3.7360000060289167E-3</c:v>
                </c:pt>
                <c:pt idx="29">
                  <c:v>4.6050000019022264E-3</c:v>
                </c:pt>
                <c:pt idx="31">
                  <c:v>3.9790000082575716E-3</c:v>
                </c:pt>
                <c:pt idx="32">
                  <c:v>4.5366000049398281E-3</c:v>
                </c:pt>
                <c:pt idx="33">
                  <c:v>8.6066000003484078E-3</c:v>
                </c:pt>
                <c:pt idx="34">
                  <c:v>5.3108000065549277E-3</c:v>
                </c:pt>
                <c:pt idx="35">
                  <c:v>4.6064999987720512E-3</c:v>
                </c:pt>
                <c:pt idx="36">
                  <c:v>6.0064999997848645E-3</c:v>
                </c:pt>
                <c:pt idx="37">
                  <c:v>6.3064999994821846E-3</c:v>
                </c:pt>
                <c:pt idx="38">
                  <c:v>4.4849999976577237E-3</c:v>
                </c:pt>
                <c:pt idx="39">
                  <c:v>4.885000002104789E-3</c:v>
                </c:pt>
                <c:pt idx="40">
                  <c:v>6.0850000008940697E-3</c:v>
                </c:pt>
                <c:pt idx="41">
                  <c:v>6.7849999977624975E-3</c:v>
                </c:pt>
                <c:pt idx="42">
                  <c:v>6.3284002171712928E-3</c:v>
                </c:pt>
                <c:pt idx="43">
                  <c:v>6.384100008290261E-3</c:v>
                </c:pt>
                <c:pt idx="44">
                  <c:v>6.5841001342050731E-3</c:v>
                </c:pt>
                <c:pt idx="45">
                  <c:v>6.4023001614259556E-3</c:v>
                </c:pt>
                <c:pt idx="46">
                  <c:v>4.9045000341720879E-3</c:v>
                </c:pt>
                <c:pt idx="47">
                  <c:v>4.9045000341720879E-3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84-4088-B54D-A1253A7D61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84-4088-B54D-A1253A7D61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84-4088-B54D-A1253A7D61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84-4088-B54D-A1253A7D61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-5.5291438976075077E-3</c:v>
                </c:pt>
                <c:pt idx="1">
                  <c:v>-5.5291438976075077E-3</c:v>
                </c:pt>
                <c:pt idx="2">
                  <c:v>-5.0368081054281465E-3</c:v>
                </c:pt>
                <c:pt idx="3">
                  <c:v>-4.0774414265285983E-3</c:v>
                </c:pt>
                <c:pt idx="4">
                  <c:v>-3.7209530215511167E-3</c:v>
                </c:pt>
                <c:pt idx="5">
                  <c:v>-3.7160696187432062E-3</c:v>
                </c:pt>
                <c:pt idx="6">
                  <c:v>-3.181558984131889E-3</c:v>
                </c:pt>
                <c:pt idx="7">
                  <c:v>-3.1580298615119557E-3</c:v>
                </c:pt>
                <c:pt idx="8">
                  <c:v>-3.152258567284425E-3</c:v>
                </c:pt>
                <c:pt idx="9">
                  <c:v>-3.1376083588606925E-3</c:v>
                </c:pt>
                <c:pt idx="10">
                  <c:v>-3.0559223482556409E-3</c:v>
                </c:pt>
                <c:pt idx="11">
                  <c:v>-3.0501510540281102E-3</c:v>
                </c:pt>
                <c:pt idx="12">
                  <c:v>-2.599287880195386E-5</c:v>
                </c:pt>
                <c:pt idx="13">
                  <c:v>7.4338851615120619E-5</c:v>
                </c:pt>
                <c:pt idx="14">
                  <c:v>7.4338851615120619E-5</c:v>
                </c:pt>
                <c:pt idx="15">
                  <c:v>1.9642392181288824E-4</c:v>
                </c:pt>
                <c:pt idx="16">
                  <c:v>2.0619072742870964E-4</c:v>
                </c:pt>
                <c:pt idx="17">
                  <c:v>3.0163905503787338E-4</c:v>
                </c:pt>
                <c:pt idx="18">
                  <c:v>3.1229375207331492E-4</c:v>
                </c:pt>
                <c:pt idx="19">
                  <c:v>5.2938320417043622E-4</c:v>
                </c:pt>
                <c:pt idx="20">
                  <c:v>7.1628434800047325E-4</c:v>
                </c:pt>
                <c:pt idx="21">
                  <c:v>8.6722588933589497E-4</c:v>
                </c:pt>
                <c:pt idx="22">
                  <c:v>1.0900866356605471E-3</c:v>
                </c:pt>
                <c:pt idx="23">
                  <c:v>1.2916379879143161E-3</c:v>
                </c:pt>
                <c:pt idx="24">
                  <c:v>2.4334663535458007E-3</c:v>
                </c:pt>
                <c:pt idx="25">
                  <c:v>3.4367836577165458E-3</c:v>
                </c:pt>
                <c:pt idx="26">
                  <c:v>3.4376715491361656E-3</c:v>
                </c:pt>
                <c:pt idx="27">
                  <c:v>3.8798414761069895E-3</c:v>
                </c:pt>
                <c:pt idx="28">
                  <c:v>4.2296706954373202E-3</c:v>
                </c:pt>
                <c:pt idx="29">
                  <c:v>4.5359932352062645E-3</c:v>
                </c:pt>
                <c:pt idx="30">
                  <c:v>4.5413205837239847E-3</c:v>
                </c:pt>
                <c:pt idx="31">
                  <c:v>4.8645130604657114E-3</c:v>
                </c:pt>
                <c:pt idx="32">
                  <c:v>4.8982529344112763E-3</c:v>
                </c:pt>
                <c:pt idx="33">
                  <c:v>5.4309877861833536E-3</c:v>
                </c:pt>
                <c:pt idx="34">
                  <c:v>5.4496335059953755E-3</c:v>
                </c:pt>
                <c:pt idx="35">
                  <c:v>5.6525166953785748E-3</c:v>
                </c:pt>
                <c:pt idx="36">
                  <c:v>5.6525166953785748E-3</c:v>
                </c:pt>
                <c:pt idx="37">
                  <c:v>5.6525166953785748E-3</c:v>
                </c:pt>
                <c:pt idx="38">
                  <c:v>5.7790412226744435E-3</c:v>
                </c:pt>
                <c:pt idx="39">
                  <c:v>5.7790412226744435E-3</c:v>
                </c:pt>
                <c:pt idx="40">
                  <c:v>5.7790412226744435E-3</c:v>
                </c:pt>
                <c:pt idx="41">
                  <c:v>5.7790412226744435E-3</c:v>
                </c:pt>
                <c:pt idx="42">
                  <c:v>5.9717136607320117E-3</c:v>
                </c:pt>
                <c:pt idx="43">
                  <c:v>5.9970185661911849E-3</c:v>
                </c:pt>
                <c:pt idx="44">
                  <c:v>5.9970185661911849E-3</c:v>
                </c:pt>
                <c:pt idx="45">
                  <c:v>6.0778166853766163E-3</c:v>
                </c:pt>
                <c:pt idx="46">
                  <c:v>6.0875834909924383E-3</c:v>
                </c:pt>
                <c:pt idx="47">
                  <c:v>6.0875834909924383E-3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84-4088-B54D-A1253A7D61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-0.65790129999732017</c:v>
                </c:pt>
                <c:pt idx="25">
                  <c:v>-1.0042599998996593E-2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84-4088-B54D-A1253A7D6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62424"/>
        <c:axId val="1"/>
      </c:scatterChart>
      <c:valAx>
        <c:axId val="47356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19958795473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43010752688172E-2"/>
              <c:y val="0.39755480106271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6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43038974966839"/>
          <c:y val="0.9204921861831491"/>
          <c:w val="0.6465062230124458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466725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4B8B2AB-5F78-A243-0771-0458C44CD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533399</xdr:colOff>
      <xdr:row>0</xdr:row>
      <xdr:rowOff>0</xdr:rowOff>
    </xdr:from>
    <xdr:to>
      <xdr:col>27</xdr:col>
      <xdr:colOff>200024</xdr:colOff>
      <xdr:row>17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ACFCF2C-0AEF-0BAB-CDC9-2EC4627E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22" TargetMode="External"/><Relationship Id="rId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2185" TargetMode="External"/><Relationship Id="rId6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745" TargetMode="External"/><Relationship Id="rId4" Type="http://schemas.openxmlformats.org/officeDocument/2006/relationships/hyperlink" Target="http://www.bav-astro.de/sfs/BAVM_link.php?BAVMnr=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67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8" t="s">
        <v>39</v>
      </c>
    </row>
    <row r="3" spans="1:6" ht="13.5" thickBot="1" x14ac:dyDescent="0.25">
      <c r="C3" t="s">
        <v>37</v>
      </c>
    </row>
    <row r="4" spans="1:6" ht="14.25" thickTop="1" thickBot="1" x14ac:dyDescent="0.25">
      <c r="A4" s="5" t="s">
        <v>0</v>
      </c>
      <c r="C4" s="2">
        <v>40254.860699999997</v>
      </c>
      <c r="D4" s="3">
        <v>2.9042998</v>
      </c>
    </row>
    <row r="5" spans="1:6" ht="13.5" thickTop="1" x14ac:dyDescent="0.2">
      <c r="A5" s="10" t="s">
        <v>41</v>
      </c>
      <c r="B5" s="11"/>
      <c r="C5" s="12">
        <v>-9.5</v>
      </c>
      <c r="D5" s="11" t="s">
        <v>42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40254.860699999997</v>
      </c>
    </row>
    <row r="8" spans="1:6" x14ac:dyDescent="0.2">
      <c r="A8" t="s">
        <v>3</v>
      </c>
      <c r="C8">
        <f>+D4</f>
        <v>2.9042998</v>
      </c>
    </row>
    <row r="9" spans="1:6" x14ac:dyDescent="0.2">
      <c r="A9" s="30" t="s">
        <v>48</v>
      </c>
      <c r="B9" s="31">
        <v>45</v>
      </c>
      <c r="C9" s="28" t="str">
        <f>"F"&amp;B9</f>
        <v>F45</v>
      </c>
      <c r="D9" s="29" t="str">
        <f>"G"&amp;B9</f>
        <v>G45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27">
        <f ca="1">INTERCEPT(INDIRECT($D$9):G990,INDIRECT($C$9):F990)</f>
        <v>7.4338851615120619E-5</v>
      </c>
      <c r="D11" s="13"/>
      <c r="E11" s="11"/>
    </row>
    <row r="12" spans="1:6" x14ac:dyDescent="0.2">
      <c r="A12" s="11" t="s">
        <v>17</v>
      </c>
      <c r="B12" s="11"/>
      <c r="C12" s="27">
        <f ca="1">SLOPE(INDIRECT($D$9):G990,INDIRECT($C$9):F990)</f>
        <v>8.8789141962012807E-7</v>
      </c>
      <c r="D12" s="13"/>
      <c r="E12" s="11"/>
    </row>
    <row r="13" spans="1:6" x14ac:dyDescent="0.2">
      <c r="A13" s="11" t="s">
        <v>19</v>
      </c>
      <c r="B13" s="11"/>
      <c r="C13" s="13" t="s">
        <v>14</v>
      </c>
    </row>
    <row r="14" spans="1:6" x14ac:dyDescent="0.2">
      <c r="A14" s="11"/>
      <c r="B14" s="11"/>
      <c r="C14" s="11"/>
    </row>
    <row r="15" spans="1:6" x14ac:dyDescent="0.2">
      <c r="A15" s="14" t="s">
        <v>18</v>
      </c>
      <c r="B15" s="11"/>
      <c r="C15" s="15">
        <f ca="1">(C7+C11)+(C8+C12)*INT(MAX(F21:F3531))</f>
        <v>59922.785032739543</v>
      </c>
      <c r="E15" s="16" t="s">
        <v>49</v>
      </c>
      <c r="F15" s="12">
        <v>1</v>
      </c>
    </row>
    <row r="16" spans="1:6" x14ac:dyDescent="0.2">
      <c r="A16" s="18" t="s">
        <v>4</v>
      </c>
      <c r="B16" s="11"/>
      <c r="C16" s="19">
        <f ca="1">+C8+C12</f>
        <v>2.9043006878914195</v>
      </c>
      <c r="E16" s="16" t="s">
        <v>43</v>
      </c>
      <c r="F16" s="17">
        <f ca="1">NOW()+15018.5+$C$5/24</f>
        <v>60356.70899594907</v>
      </c>
    </row>
    <row r="17" spans="1:23" ht="13.5" thickBot="1" x14ac:dyDescent="0.25">
      <c r="A17" s="16" t="s">
        <v>38</v>
      </c>
      <c r="B17" s="11"/>
      <c r="C17" s="11">
        <f>COUNT(C21:C2189)</f>
        <v>48</v>
      </c>
      <c r="E17" s="16" t="s">
        <v>50</v>
      </c>
      <c r="F17" s="17">
        <f ca="1">ROUND(2*(F16-$C$7)/$C$8,0)/2+F15</f>
        <v>6922.5</v>
      </c>
    </row>
    <row r="18" spans="1:23" ht="14.25" thickTop="1" thickBot="1" x14ac:dyDescent="0.25">
      <c r="A18" s="18" t="s">
        <v>5</v>
      </c>
      <c r="B18" s="11"/>
      <c r="C18" s="21">
        <f ca="1">+C15</f>
        <v>59922.785032739543</v>
      </c>
      <c r="D18" s="22">
        <f ca="1">+C16</f>
        <v>2.9043006878914195</v>
      </c>
      <c r="E18" s="16" t="s">
        <v>44</v>
      </c>
      <c r="F18" s="29">
        <f ca="1">ROUND(2*(F16-$C$15)/$C$16,0)/2+F15</f>
        <v>150.5</v>
      </c>
    </row>
    <row r="19" spans="1:23" ht="13.5" thickTop="1" x14ac:dyDescent="0.2">
      <c r="E19" s="16" t="s">
        <v>45</v>
      </c>
      <c r="F19" s="20">
        <f ca="1">+$C$15+$C$16*F18-15018.5-$C$5/24</f>
        <v>45341.778119600538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52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186</v>
      </c>
    </row>
    <row r="21" spans="1:23" s="23" customFormat="1" ht="12.75" customHeight="1" x14ac:dyDescent="0.2">
      <c r="A21" s="23" t="s">
        <v>34</v>
      </c>
      <c r="B21" s="23" t="s">
        <v>35</v>
      </c>
      <c r="C21" s="24">
        <v>21925.8246</v>
      </c>
      <c r="D21" s="24"/>
      <c r="E21" s="23">
        <f t="shared" ref="E21:E55" si="0">+(C21-C$7)/C$8</f>
        <v>-6311.0000214165211</v>
      </c>
      <c r="F21" s="23">
        <f t="shared" ref="F21:F62" si="1">ROUND(2*E21,0)/2</f>
        <v>-6311</v>
      </c>
      <c r="G21" s="23">
        <f>+C21-(C$7+F21*C$8)</f>
        <v>-6.2199997046263888E-5</v>
      </c>
      <c r="H21" s="23">
        <f>G21</f>
        <v>-6.2199997046263888E-5</v>
      </c>
      <c r="O21" s="23">
        <f t="shared" ref="O21:O55" ca="1" si="2">+C$11+C$12*$F21</f>
        <v>-5.5291438976075077E-3</v>
      </c>
      <c r="Q21" s="25">
        <f t="shared" ref="Q21:Q55" si="3">+C21-15018.5</f>
        <v>6907.3245999999999</v>
      </c>
      <c r="W21" s="23" t="s">
        <v>37</v>
      </c>
    </row>
    <row r="22" spans="1:23" x14ac:dyDescent="0.2">
      <c r="A22" s="52" t="s">
        <v>71</v>
      </c>
      <c r="B22" s="54" t="s">
        <v>35</v>
      </c>
      <c r="C22" s="53">
        <v>21925.825000000001</v>
      </c>
      <c r="D22" s="53" t="s">
        <v>65</v>
      </c>
      <c r="E22" s="23">
        <f t="shared" si="0"/>
        <v>-6310.9998836896921</v>
      </c>
      <c r="F22" s="23">
        <f t="shared" si="1"/>
        <v>-6311</v>
      </c>
      <c r="G22" s="23">
        <f>+C22-(C$7+F22*C$8)</f>
        <v>3.378000037628226E-4</v>
      </c>
      <c r="H22" s="23"/>
      <c r="I22" s="23">
        <f>+G22</f>
        <v>3.378000037628226E-4</v>
      </c>
      <c r="J22" s="23"/>
      <c r="L22" s="23"/>
      <c r="M22" s="23"/>
      <c r="O22" s="23">
        <f t="shared" ca="1" si="2"/>
        <v>-5.5291438976075077E-3</v>
      </c>
      <c r="P22" s="23"/>
      <c r="Q22" s="25">
        <f t="shared" si="3"/>
        <v>6907.3250000000007</v>
      </c>
    </row>
    <row r="23" spans="1:23" x14ac:dyDescent="0.2">
      <c r="A23" s="52" t="s">
        <v>76</v>
      </c>
      <c r="B23" s="54" t="s">
        <v>35</v>
      </c>
      <c r="C23" s="53">
        <v>23535.600999999999</v>
      </c>
      <c r="D23" s="53" t="s">
        <v>65</v>
      </c>
      <c r="E23" s="23">
        <f t="shared" si="0"/>
        <v>-5756.7265266485228</v>
      </c>
      <c r="F23" s="23">
        <f t="shared" si="1"/>
        <v>-5756.5</v>
      </c>
      <c r="H23" s="23"/>
      <c r="I23" s="23"/>
      <c r="J23" s="23"/>
      <c r="L23" s="23"/>
      <c r="M23" s="23"/>
      <c r="N23" s="23"/>
      <c r="O23" s="23">
        <f t="shared" ca="1" si="2"/>
        <v>-5.0368081054281465E-3</v>
      </c>
      <c r="P23" s="23"/>
      <c r="Q23" s="25">
        <f t="shared" si="3"/>
        <v>8517.1009999999987</v>
      </c>
      <c r="U23" s="23">
        <f>+C23-(C$7+F23*C$8)</f>
        <v>-0.65790129999732017</v>
      </c>
    </row>
    <row r="24" spans="1:23" s="23" customFormat="1" ht="12.75" customHeight="1" x14ac:dyDescent="0.2">
      <c r="A24" s="23" t="s">
        <v>34</v>
      </c>
      <c r="B24" s="23" t="s">
        <v>35</v>
      </c>
      <c r="C24" s="24">
        <v>26674.341</v>
      </c>
      <c r="D24" s="24"/>
      <c r="E24" s="23">
        <f t="shared" si="0"/>
        <v>-4676.0047636955378</v>
      </c>
      <c r="F24" s="23">
        <f t="shared" si="1"/>
        <v>-4676</v>
      </c>
      <c r="G24" s="23">
        <f t="shared" ref="G24:G45" si="4">+C24-(C$7+F24*C$8)</f>
        <v>-1.3835199999448378E-2</v>
      </c>
      <c r="H24" s="23">
        <f t="shared" ref="H24:H32" si="5">G24</f>
        <v>-1.3835199999448378E-2</v>
      </c>
      <c r="O24" s="23">
        <f t="shared" ca="1" si="2"/>
        <v>-4.0774414265285983E-3</v>
      </c>
      <c r="Q24" s="25">
        <f t="shared" si="3"/>
        <v>11655.841</v>
      </c>
    </row>
    <row r="25" spans="1:23" s="23" customFormat="1" ht="12.75" customHeight="1" x14ac:dyDescent="0.2">
      <c r="A25" s="23" t="s">
        <v>34</v>
      </c>
      <c r="B25" s="23" t="s">
        <v>36</v>
      </c>
      <c r="C25" s="24">
        <v>27840.437000000002</v>
      </c>
      <c r="D25" s="24"/>
      <c r="E25" s="23">
        <f t="shared" si="0"/>
        <v>-4274.4980046481414</v>
      </c>
      <c r="F25" s="23">
        <f t="shared" si="1"/>
        <v>-4274.5</v>
      </c>
      <c r="G25" s="23">
        <f t="shared" si="4"/>
        <v>5.7951000017055776E-3</v>
      </c>
      <c r="H25" s="23">
        <f t="shared" si="5"/>
        <v>5.7951000017055776E-3</v>
      </c>
      <c r="O25" s="23">
        <f t="shared" ca="1" si="2"/>
        <v>-3.7209530215511167E-3</v>
      </c>
      <c r="Q25" s="25">
        <f t="shared" si="3"/>
        <v>12821.937000000002</v>
      </c>
    </row>
    <row r="26" spans="1:23" s="23" customFormat="1" ht="12.75" customHeight="1" x14ac:dyDescent="0.2">
      <c r="A26" s="23" t="s">
        <v>34</v>
      </c>
      <c r="B26" s="23" t="s">
        <v>35</v>
      </c>
      <c r="C26" s="24">
        <v>27856.412</v>
      </c>
      <c r="D26" s="24"/>
      <c r="E26" s="23">
        <f t="shared" si="0"/>
        <v>-4268.9975394413477</v>
      </c>
      <c r="F26" s="23">
        <f t="shared" si="1"/>
        <v>-4269</v>
      </c>
      <c r="G26" s="23">
        <f t="shared" si="4"/>
        <v>7.1462000014435034E-3</v>
      </c>
      <c r="H26" s="23">
        <f t="shared" si="5"/>
        <v>7.1462000014435034E-3</v>
      </c>
      <c r="O26" s="23">
        <f t="shared" ca="1" si="2"/>
        <v>-3.7160696187432062E-3</v>
      </c>
      <c r="Q26" s="25">
        <f t="shared" si="3"/>
        <v>12837.912</v>
      </c>
    </row>
    <row r="27" spans="1:23" s="23" customFormat="1" ht="12.75" customHeight="1" x14ac:dyDescent="0.2">
      <c r="A27" s="23" t="s">
        <v>34</v>
      </c>
      <c r="B27" s="23" t="s">
        <v>35</v>
      </c>
      <c r="C27" s="24">
        <v>29604.794000000002</v>
      </c>
      <c r="D27" s="24"/>
      <c r="E27" s="23">
        <f t="shared" si="0"/>
        <v>-3666.999770478239</v>
      </c>
      <c r="F27" s="23">
        <f t="shared" si="1"/>
        <v>-3667</v>
      </c>
      <c r="G27" s="23">
        <f t="shared" si="4"/>
        <v>6.6660000447882339E-4</v>
      </c>
      <c r="H27" s="23">
        <f t="shared" si="5"/>
        <v>6.6660000447882339E-4</v>
      </c>
      <c r="O27" s="23">
        <f t="shared" ca="1" si="2"/>
        <v>-3.181558984131889E-3</v>
      </c>
      <c r="Q27" s="25">
        <f t="shared" si="3"/>
        <v>14586.294000000002</v>
      </c>
    </row>
    <row r="28" spans="1:23" s="23" customFormat="1" ht="12.75" customHeight="1" x14ac:dyDescent="0.2">
      <c r="A28" s="23" t="s">
        <v>34</v>
      </c>
      <c r="B28" s="23" t="s">
        <v>36</v>
      </c>
      <c r="C28" s="24">
        <v>29681.751</v>
      </c>
      <c r="D28" s="24"/>
      <c r="E28" s="23">
        <f t="shared" si="0"/>
        <v>-3640.5021616570016</v>
      </c>
      <c r="F28" s="23">
        <f t="shared" si="1"/>
        <v>-3640.5</v>
      </c>
      <c r="G28" s="23">
        <f t="shared" si="4"/>
        <v>-6.2780999978713226E-3</v>
      </c>
      <c r="H28" s="23">
        <f t="shared" si="5"/>
        <v>-6.2780999978713226E-3</v>
      </c>
      <c r="O28" s="23">
        <f t="shared" ca="1" si="2"/>
        <v>-3.1580298615119557E-3</v>
      </c>
      <c r="Q28" s="25">
        <f t="shared" si="3"/>
        <v>14663.251</v>
      </c>
    </row>
    <row r="29" spans="1:23" s="23" customFormat="1" ht="12.75" customHeight="1" x14ac:dyDescent="0.2">
      <c r="A29" s="23" t="s">
        <v>34</v>
      </c>
      <c r="B29" s="23" t="s">
        <v>35</v>
      </c>
      <c r="C29" s="24">
        <v>29700.633999999998</v>
      </c>
      <c r="D29" s="24"/>
      <c r="E29" s="23">
        <f t="shared" si="0"/>
        <v>-3634.0004224081822</v>
      </c>
      <c r="F29" s="23">
        <f t="shared" si="1"/>
        <v>-3634</v>
      </c>
      <c r="G29" s="23">
        <f t="shared" si="4"/>
        <v>-1.2267999991308898E-3</v>
      </c>
      <c r="H29" s="23">
        <f t="shared" si="5"/>
        <v>-1.2267999991308898E-3</v>
      </c>
      <c r="O29" s="23">
        <f t="shared" ca="1" si="2"/>
        <v>-3.152258567284425E-3</v>
      </c>
      <c r="Q29" s="25">
        <f t="shared" si="3"/>
        <v>14682.133999999998</v>
      </c>
    </row>
    <row r="30" spans="1:23" s="23" customFormat="1" ht="12.75" customHeight="1" x14ac:dyDescent="0.2">
      <c r="A30" s="23" t="s">
        <v>34</v>
      </c>
      <c r="B30" s="23" t="s">
        <v>36</v>
      </c>
      <c r="C30" s="24">
        <v>29748.556</v>
      </c>
      <c r="D30" s="24"/>
      <c r="E30" s="23">
        <f t="shared" si="0"/>
        <v>-3617.5000597390108</v>
      </c>
      <c r="F30" s="23">
        <f t="shared" si="1"/>
        <v>-3617.5</v>
      </c>
      <c r="G30" s="23">
        <f t="shared" si="4"/>
        <v>-1.7349999689031392E-4</v>
      </c>
      <c r="H30" s="23">
        <f t="shared" si="5"/>
        <v>-1.7349999689031392E-4</v>
      </c>
      <c r="O30" s="23">
        <f t="shared" ca="1" si="2"/>
        <v>-3.1376083588606925E-3</v>
      </c>
      <c r="Q30" s="25">
        <f t="shared" si="3"/>
        <v>14730.056</v>
      </c>
    </row>
    <row r="31" spans="1:23" s="23" customFormat="1" ht="12.75" customHeight="1" x14ac:dyDescent="0.2">
      <c r="A31" s="23" t="s">
        <v>34</v>
      </c>
      <c r="B31" s="23" t="s">
        <v>36</v>
      </c>
      <c r="C31" s="24">
        <v>30015.741999999998</v>
      </c>
      <c r="D31" s="24"/>
      <c r="E31" s="23">
        <f t="shared" si="0"/>
        <v>-3525.5033588474575</v>
      </c>
      <c r="F31" s="23">
        <f t="shared" si="1"/>
        <v>-3525.5</v>
      </c>
      <c r="G31" s="23">
        <f t="shared" si="4"/>
        <v>-9.755099999892991E-3</v>
      </c>
      <c r="H31" s="23">
        <f t="shared" si="5"/>
        <v>-9.755099999892991E-3</v>
      </c>
      <c r="O31" s="23">
        <f t="shared" ca="1" si="2"/>
        <v>-3.0559223482556409E-3</v>
      </c>
      <c r="Q31" s="25">
        <f t="shared" si="3"/>
        <v>14997.241999999998</v>
      </c>
    </row>
    <row r="32" spans="1:23" s="23" customFormat="1" ht="12.75" customHeight="1" x14ac:dyDescent="0.2">
      <c r="A32" s="23" t="s">
        <v>34</v>
      </c>
      <c r="B32" s="23" t="s">
        <v>35</v>
      </c>
      <c r="C32" s="24">
        <v>30034.626</v>
      </c>
      <c r="D32" s="24"/>
      <c r="E32" s="23">
        <f t="shared" si="0"/>
        <v>-3519.001275281566</v>
      </c>
      <c r="F32" s="23">
        <f t="shared" si="1"/>
        <v>-3519</v>
      </c>
      <c r="G32" s="23">
        <f t="shared" si="4"/>
        <v>-3.7037999973108526E-3</v>
      </c>
      <c r="H32" s="23">
        <f t="shared" si="5"/>
        <v>-3.7037999973108526E-3</v>
      </c>
      <c r="O32" s="23">
        <f t="shared" ca="1" si="2"/>
        <v>-3.0501510540281102E-3</v>
      </c>
      <c r="Q32" s="25">
        <f t="shared" si="3"/>
        <v>15016.126</v>
      </c>
    </row>
    <row r="33" spans="1:30" x14ac:dyDescent="0.2">
      <c r="A33" s="52" t="s">
        <v>110</v>
      </c>
      <c r="B33" s="54" t="s">
        <v>35</v>
      </c>
      <c r="C33" s="53">
        <v>39926.673000000003</v>
      </c>
      <c r="D33" s="53" t="s">
        <v>65</v>
      </c>
      <c r="E33" s="23">
        <f t="shared" si="0"/>
        <v>-113.00062755229159</v>
      </c>
      <c r="F33" s="23">
        <f t="shared" si="1"/>
        <v>-113</v>
      </c>
      <c r="G33" s="23">
        <f t="shared" si="4"/>
        <v>-1.8225999956484884E-3</v>
      </c>
      <c r="H33" s="23"/>
      <c r="I33" s="23">
        <f>+G33</f>
        <v>-1.8225999956484884E-3</v>
      </c>
      <c r="J33" s="23"/>
      <c r="L33" s="23"/>
      <c r="M33" s="23"/>
      <c r="O33" s="23">
        <f t="shared" ca="1" si="2"/>
        <v>-2.599287880195386E-5</v>
      </c>
      <c r="P33" s="23"/>
      <c r="Q33" s="25">
        <f t="shared" si="3"/>
        <v>24908.173000000003</v>
      </c>
    </row>
    <row r="34" spans="1:30" s="23" customFormat="1" ht="12.75" customHeight="1" x14ac:dyDescent="0.2">
      <c r="A34" s="23" t="s">
        <v>12</v>
      </c>
      <c r="C34" s="24">
        <v>40254.860699999997</v>
      </c>
      <c r="D34" s="24" t="s">
        <v>14</v>
      </c>
      <c r="E34" s="23">
        <f t="shared" si="0"/>
        <v>0</v>
      </c>
      <c r="F34" s="23">
        <f t="shared" si="1"/>
        <v>0</v>
      </c>
      <c r="G34" s="23">
        <f t="shared" si="4"/>
        <v>0</v>
      </c>
      <c r="H34" s="23">
        <f>+G34</f>
        <v>0</v>
      </c>
      <c r="O34" s="23">
        <f t="shared" ca="1" si="2"/>
        <v>7.4338851615120619E-5</v>
      </c>
      <c r="Q34" s="25">
        <f t="shared" si="3"/>
        <v>25236.360699999997</v>
      </c>
    </row>
    <row r="35" spans="1:30" x14ac:dyDescent="0.2">
      <c r="A35" s="52" t="s">
        <v>114</v>
      </c>
      <c r="B35" s="54" t="s">
        <v>35</v>
      </c>
      <c r="C35" s="53">
        <v>40254.860999999997</v>
      </c>
      <c r="D35" s="53" t="s">
        <v>65</v>
      </c>
      <c r="E35" s="23">
        <f t="shared" si="0"/>
        <v>1.0329512115013752E-4</v>
      </c>
      <c r="F35" s="23">
        <f t="shared" si="1"/>
        <v>0</v>
      </c>
      <c r="G35" s="23">
        <f t="shared" si="4"/>
        <v>2.9999999969732016E-4</v>
      </c>
      <c r="H35" s="23">
        <f>+G35</f>
        <v>2.9999999969732016E-4</v>
      </c>
      <c r="J35" s="23"/>
      <c r="L35" s="23"/>
      <c r="M35" s="23"/>
      <c r="O35" s="23">
        <f t="shared" ca="1" si="2"/>
        <v>7.4338851615120619E-5</v>
      </c>
      <c r="P35" s="23"/>
      <c r="Q35" s="25">
        <f t="shared" si="3"/>
        <v>25236.360999999997</v>
      </c>
    </row>
    <row r="36" spans="1:30" s="23" customFormat="1" ht="12.75" customHeight="1" x14ac:dyDescent="0.2">
      <c r="A36" s="23" t="s">
        <v>34</v>
      </c>
      <c r="B36" s="23" t="s">
        <v>36</v>
      </c>
      <c r="C36" s="24">
        <v>40654.201000000001</v>
      </c>
      <c r="D36" s="24"/>
      <c r="E36" s="23">
        <f t="shared" si="0"/>
        <v>137.49968236750334</v>
      </c>
      <c r="F36" s="23">
        <f t="shared" si="1"/>
        <v>137.5</v>
      </c>
      <c r="G36" s="23">
        <f t="shared" si="4"/>
        <v>-9.2249999579507858E-4</v>
      </c>
      <c r="H36" s="23">
        <f>G36</f>
        <v>-9.2249999579507858E-4</v>
      </c>
      <c r="O36" s="23">
        <f t="shared" ca="1" si="2"/>
        <v>1.9642392181288824E-4</v>
      </c>
      <c r="Q36" s="25">
        <f t="shared" si="3"/>
        <v>25635.701000000001</v>
      </c>
    </row>
    <row r="37" spans="1:30" s="23" customFormat="1" ht="12.75" customHeight="1" x14ac:dyDescent="0.2">
      <c r="A37" s="23" t="s">
        <v>34</v>
      </c>
      <c r="B37" s="23" t="s">
        <v>36</v>
      </c>
      <c r="C37" s="24">
        <v>40686.154000000002</v>
      </c>
      <c r="D37" s="24"/>
      <c r="E37" s="23">
        <f t="shared" si="0"/>
        <v>148.50164573230518</v>
      </c>
      <c r="F37" s="23">
        <f t="shared" si="1"/>
        <v>148.5</v>
      </c>
      <c r="G37" s="23">
        <f t="shared" si="4"/>
        <v>4.7797000079299323E-3</v>
      </c>
      <c r="H37" s="23">
        <f>G37</f>
        <v>4.7797000079299323E-3</v>
      </c>
      <c r="O37" s="23">
        <f t="shared" ca="1" si="2"/>
        <v>2.0619072742870964E-4</v>
      </c>
      <c r="Q37" s="25">
        <f t="shared" si="3"/>
        <v>25667.654000000002</v>
      </c>
    </row>
    <row r="38" spans="1:30" s="23" customFormat="1" ht="12.75" customHeight="1" x14ac:dyDescent="0.2">
      <c r="A38" s="23" t="s">
        <v>34</v>
      </c>
      <c r="B38" s="23" t="s">
        <v>35</v>
      </c>
      <c r="C38" s="24">
        <v>40998.362000000001</v>
      </c>
      <c r="D38" s="24"/>
      <c r="E38" s="23">
        <f t="shared" si="0"/>
        <v>256.00018978757066</v>
      </c>
      <c r="F38" s="23">
        <f t="shared" si="1"/>
        <v>256</v>
      </c>
      <c r="G38" s="23">
        <f t="shared" si="4"/>
        <v>5.5120000615715981E-4</v>
      </c>
      <c r="H38" s="23">
        <f>G38</f>
        <v>5.5120000615715981E-4</v>
      </c>
      <c r="O38" s="23">
        <f t="shared" ca="1" si="2"/>
        <v>3.0163905503787338E-4</v>
      </c>
      <c r="Q38" s="25">
        <f t="shared" si="3"/>
        <v>25979.862000000001</v>
      </c>
    </row>
    <row r="39" spans="1:30" s="23" customFormat="1" ht="12.75" customHeight="1" x14ac:dyDescent="0.2">
      <c r="A39" s="23" t="s">
        <v>34</v>
      </c>
      <c r="B39" s="23" t="s">
        <v>35</v>
      </c>
      <c r="C39" s="24">
        <v>41033.212</v>
      </c>
      <c r="D39" s="24"/>
      <c r="E39" s="23">
        <f t="shared" si="0"/>
        <v>267.99963970661776</v>
      </c>
      <c r="F39" s="23">
        <f t="shared" si="1"/>
        <v>268</v>
      </c>
      <c r="G39" s="23">
        <f t="shared" si="4"/>
        <v>-1.0464000006322749E-3</v>
      </c>
      <c r="H39" s="23">
        <f>G39</f>
        <v>-1.0464000006322749E-3</v>
      </c>
      <c r="O39" s="23">
        <f t="shared" ca="1" si="2"/>
        <v>3.1229375207331492E-4</v>
      </c>
      <c r="Q39" s="25">
        <f t="shared" si="3"/>
        <v>26014.712</v>
      </c>
    </row>
    <row r="40" spans="1:30" x14ac:dyDescent="0.2">
      <c r="A40" s="52" t="s">
        <v>132</v>
      </c>
      <c r="B40" s="54" t="s">
        <v>36</v>
      </c>
      <c r="C40" s="53">
        <v>41743.305</v>
      </c>
      <c r="D40" s="53" t="s">
        <v>65</v>
      </c>
      <c r="E40" s="23">
        <f t="shared" si="0"/>
        <v>512.49678149618126</v>
      </c>
      <c r="F40" s="23">
        <f t="shared" si="1"/>
        <v>512.5</v>
      </c>
      <c r="G40" s="23">
        <f t="shared" si="4"/>
        <v>-9.347499995783437E-3</v>
      </c>
      <c r="H40" s="23"/>
      <c r="I40" s="23">
        <f>+G40</f>
        <v>-9.347499995783437E-3</v>
      </c>
      <c r="J40" s="23"/>
      <c r="L40" s="23"/>
      <c r="M40" s="23"/>
      <c r="O40" s="23">
        <f t="shared" ca="1" si="2"/>
        <v>5.2938320417043622E-4</v>
      </c>
      <c r="P40" s="23"/>
      <c r="Q40" s="25">
        <f t="shared" si="3"/>
        <v>26724.805</v>
      </c>
    </row>
    <row r="41" spans="1:30" s="23" customFormat="1" ht="12.75" customHeight="1" x14ac:dyDescent="0.2">
      <c r="A41" s="23" t="s">
        <v>29</v>
      </c>
      <c r="C41" s="24">
        <v>42354.667999999998</v>
      </c>
      <c r="D41" s="24"/>
      <c r="E41" s="23">
        <f t="shared" si="0"/>
        <v>722.99949888093522</v>
      </c>
      <c r="F41" s="23">
        <f t="shared" si="1"/>
        <v>723</v>
      </c>
      <c r="G41" s="23">
        <f t="shared" si="4"/>
        <v>-1.4554000008502044E-3</v>
      </c>
      <c r="I41" s="23">
        <f>+G41</f>
        <v>-1.4554000008502044E-3</v>
      </c>
      <c r="O41" s="23">
        <f t="shared" ca="1" si="2"/>
        <v>7.1628434800047325E-4</v>
      </c>
      <c r="Q41" s="25">
        <f t="shared" si="3"/>
        <v>27336.167999999998</v>
      </c>
      <c r="AA41" s="23">
        <v>8</v>
      </c>
      <c r="AB41" s="23" t="s">
        <v>28</v>
      </c>
      <c r="AD41" s="23" t="s">
        <v>30</v>
      </c>
    </row>
    <row r="42" spans="1:30" s="23" customFormat="1" ht="12.75" customHeight="1" x14ac:dyDescent="0.2">
      <c r="A42" s="26" t="s">
        <v>32</v>
      </c>
      <c r="B42" s="26"/>
      <c r="C42" s="32">
        <v>42848.400999999998</v>
      </c>
      <c r="D42" s="32"/>
      <c r="E42" s="23">
        <f t="shared" si="0"/>
        <v>893.00019922185743</v>
      </c>
      <c r="F42" s="23">
        <f t="shared" si="1"/>
        <v>893</v>
      </c>
      <c r="G42" s="23">
        <f t="shared" si="4"/>
        <v>5.7860000379150733E-4</v>
      </c>
      <c r="I42" s="23">
        <f>+G42</f>
        <v>5.7860000379150733E-4</v>
      </c>
      <c r="O42" s="23">
        <f t="shared" ca="1" si="2"/>
        <v>8.6722588933589497E-4</v>
      </c>
      <c r="Q42" s="25">
        <f t="shared" si="3"/>
        <v>27829.900999999998</v>
      </c>
      <c r="AA42" s="23">
        <v>10</v>
      </c>
      <c r="AB42" s="23" t="s">
        <v>31</v>
      </c>
      <c r="AD42" s="23" t="s">
        <v>30</v>
      </c>
    </row>
    <row r="43" spans="1:30" s="23" customFormat="1" ht="12.75" customHeight="1" x14ac:dyDescent="0.2">
      <c r="A43" s="26" t="s">
        <v>33</v>
      </c>
      <c r="B43" s="26"/>
      <c r="C43" s="32">
        <v>43577.372000000003</v>
      </c>
      <c r="D43" s="32"/>
      <c r="E43" s="23">
        <f t="shared" si="0"/>
        <v>1143.9973586748881</v>
      </c>
      <c r="F43" s="23">
        <f t="shared" si="1"/>
        <v>1144</v>
      </c>
      <c r="G43" s="23">
        <f t="shared" si="4"/>
        <v>-7.6711999936378561E-3</v>
      </c>
      <c r="I43" s="23">
        <f>+G43</f>
        <v>-7.6711999936378561E-3</v>
      </c>
      <c r="O43" s="23">
        <f t="shared" ca="1" si="2"/>
        <v>1.0900866356605471E-3</v>
      </c>
      <c r="Q43" s="25">
        <f t="shared" si="3"/>
        <v>28558.872000000003</v>
      </c>
      <c r="AA43" s="23">
        <v>8</v>
      </c>
      <c r="AB43" s="23" t="s">
        <v>31</v>
      </c>
      <c r="AD43" s="23" t="s">
        <v>30</v>
      </c>
    </row>
    <row r="44" spans="1:30" s="23" customFormat="1" ht="12.75" customHeight="1" x14ac:dyDescent="0.2">
      <c r="A44" s="32" t="s">
        <v>51</v>
      </c>
      <c r="B44" s="33" t="s">
        <v>35</v>
      </c>
      <c r="C44" s="32">
        <v>44236.653200000001</v>
      </c>
      <c r="D44" s="32" t="s">
        <v>52</v>
      </c>
      <c r="E44" s="23">
        <f t="shared" si="0"/>
        <v>1370.9991303239435</v>
      </c>
      <c r="F44" s="23">
        <f t="shared" si="1"/>
        <v>1371</v>
      </c>
      <c r="G44" s="23">
        <f t="shared" si="4"/>
        <v>-2.5257999950554222E-3</v>
      </c>
      <c r="J44" s="23">
        <f>+G44</f>
        <v>-2.5257999950554222E-3</v>
      </c>
      <c r="O44" s="23">
        <f t="shared" ca="1" si="2"/>
        <v>1.2916379879143161E-3</v>
      </c>
      <c r="Q44" s="25">
        <f t="shared" si="3"/>
        <v>29218.153200000001</v>
      </c>
    </row>
    <row r="45" spans="1:30" s="23" customFormat="1" ht="12.75" customHeight="1" x14ac:dyDescent="0.2">
      <c r="A45" s="26" t="s">
        <v>46</v>
      </c>
      <c r="B45" s="33" t="s">
        <v>35</v>
      </c>
      <c r="C45" s="32">
        <v>47971.587599999999</v>
      </c>
      <c r="D45" s="32">
        <v>2.9999999999999997E-4</v>
      </c>
      <c r="E45" s="23">
        <f t="shared" si="0"/>
        <v>2657.0008027408194</v>
      </c>
      <c r="F45" s="23">
        <f t="shared" si="1"/>
        <v>2657</v>
      </c>
      <c r="G45" s="23">
        <f t="shared" si="4"/>
        <v>2.3313999990932643E-3</v>
      </c>
      <c r="K45" s="23">
        <f>+G45</f>
        <v>2.3313999990932643E-3</v>
      </c>
      <c r="O45" s="23">
        <f t="shared" ca="1" si="2"/>
        <v>2.4334663535458007E-3</v>
      </c>
      <c r="Q45" s="25">
        <f t="shared" si="3"/>
        <v>32953.087599999999</v>
      </c>
    </row>
    <row r="46" spans="1:30" x14ac:dyDescent="0.2">
      <c r="A46" s="52" t="s">
        <v>157</v>
      </c>
      <c r="B46" s="54" t="s">
        <v>35</v>
      </c>
      <c r="C46" s="53">
        <v>51253.434000000001</v>
      </c>
      <c r="D46" s="53" t="s">
        <v>65</v>
      </c>
      <c r="E46" s="23">
        <f t="shared" si="0"/>
        <v>3786.9965421613856</v>
      </c>
      <c r="F46" s="23">
        <f t="shared" si="1"/>
        <v>3787</v>
      </c>
      <c r="H46" s="23"/>
      <c r="I46" s="23"/>
      <c r="J46" s="23"/>
      <c r="L46" s="23"/>
      <c r="M46" s="23"/>
      <c r="N46" s="23"/>
      <c r="O46" s="23">
        <f t="shared" ca="1" si="2"/>
        <v>3.4367836577165458E-3</v>
      </c>
      <c r="P46" s="23"/>
      <c r="Q46" s="25">
        <f t="shared" si="3"/>
        <v>36234.934000000001</v>
      </c>
      <c r="U46" s="23">
        <f>+C46-(C$7+F46*C$8)</f>
        <v>-1.0042599998996593E-2</v>
      </c>
    </row>
    <row r="47" spans="1:30" x14ac:dyDescent="0.2">
      <c r="A47" s="52" t="s">
        <v>157</v>
      </c>
      <c r="B47" s="54" t="s">
        <v>35</v>
      </c>
      <c r="C47" s="53">
        <v>51256.351999999999</v>
      </c>
      <c r="D47" s="53" t="s">
        <v>65</v>
      </c>
      <c r="E47" s="23">
        <f t="shared" si="0"/>
        <v>3788.0012593741189</v>
      </c>
      <c r="F47" s="23">
        <f t="shared" si="1"/>
        <v>3788</v>
      </c>
      <c r="G47" s="23">
        <f t="shared" ref="G47:G55" si="6">+C47-(C$7+F47*C$8)</f>
        <v>3.6575999984052032E-3</v>
      </c>
      <c r="H47" s="23"/>
      <c r="I47" s="23">
        <f>+G47</f>
        <v>3.6575999984052032E-3</v>
      </c>
      <c r="J47" s="23"/>
      <c r="L47" s="23"/>
      <c r="M47" s="23"/>
      <c r="O47" s="23">
        <f t="shared" ca="1" si="2"/>
        <v>3.4376715491361656E-3</v>
      </c>
      <c r="P47" s="23"/>
      <c r="Q47" s="25">
        <f t="shared" si="3"/>
        <v>36237.851999999999</v>
      </c>
    </row>
    <row r="48" spans="1:30" s="23" customFormat="1" ht="12.75" customHeight="1" x14ac:dyDescent="0.2">
      <c r="A48" s="26" t="s">
        <v>46</v>
      </c>
      <c r="B48" s="33" t="s">
        <v>35</v>
      </c>
      <c r="C48" s="32">
        <v>52702.693599999999</v>
      </c>
      <c r="D48" s="32">
        <v>1E-4</v>
      </c>
      <c r="E48" s="23">
        <f t="shared" si="0"/>
        <v>4286.0013625315132</v>
      </c>
      <c r="F48" s="23">
        <f t="shared" si="1"/>
        <v>4286</v>
      </c>
      <c r="G48" s="23">
        <f t="shared" si="6"/>
        <v>3.9572000023326837E-3</v>
      </c>
      <c r="K48" s="23">
        <f>+G48</f>
        <v>3.9572000023326837E-3</v>
      </c>
      <c r="O48" s="23">
        <f t="shared" ca="1" si="2"/>
        <v>3.8798414761069895E-3</v>
      </c>
      <c r="Q48" s="25">
        <f t="shared" si="3"/>
        <v>37684.193599999999</v>
      </c>
    </row>
    <row r="49" spans="1:18" x14ac:dyDescent="0.2">
      <c r="A49" s="52" t="s">
        <v>168</v>
      </c>
      <c r="B49" s="54" t="s">
        <v>35</v>
      </c>
      <c r="C49" s="53">
        <v>53846.987500000003</v>
      </c>
      <c r="D49" s="53" t="s">
        <v>65</v>
      </c>
      <c r="E49" s="23">
        <f t="shared" si="0"/>
        <v>4680.0012863685788</v>
      </c>
      <c r="F49" s="23">
        <f t="shared" si="1"/>
        <v>4680</v>
      </c>
      <c r="G49" s="23">
        <f t="shared" si="6"/>
        <v>3.7360000060289167E-3</v>
      </c>
      <c r="H49" s="23"/>
      <c r="I49" s="23"/>
      <c r="J49" s="23"/>
      <c r="K49" s="23">
        <f>+G49</f>
        <v>3.7360000060289167E-3</v>
      </c>
      <c r="L49" s="23"/>
      <c r="M49" s="23"/>
      <c r="O49" s="23">
        <f t="shared" ca="1" si="2"/>
        <v>4.2296706954373202E-3</v>
      </c>
      <c r="P49" s="23"/>
      <c r="Q49" s="25">
        <f t="shared" si="3"/>
        <v>38828.487500000003</v>
      </c>
    </row>
    <row r="50" spans="1:18" s="23" customFormat="1" ht="12.75" customHeight="1" x14ac:dyDescent="0.2">
      <c r="A50" s="34" t="s">
        <v>47</v>
      </c>
      <c r="B50" s="35" t="s">
        <v>35</v>
      </c>
      <c r="C50" s="34">
        <v>54848.971799999999</v>
      </c>
      <c r="D50" s="34">
        <v>2.9999999999999997E-4</v>
      </c>
      <c r="E50" s="23">
        <f t="shared" si="0"/>
        <v>5025.0015855801121</v>
      </c>
      <c r="F50" s="23">
        <f t="shared" si="1"/>
        <v>5025</v>
      </c>
      <c r="G50" s="23">
        <f t="shared" si="6"/>
        <v>4.6050000019022264E-3</v>
      </c>
      <c r="K50" s="23">
        <f>+G50</f>
        <v>4.6050000019022264E-3</v>
      </c>
      <c r="O50" s="23">
        <f t="shared" ca="1" si="2"/>
        <v>4.5359932352062645E-3</v>
      </c>
      <c r="Q50" s="25">
        <f t="shared" si="3"/>
        <v>39830.471799999999</v>
      </c>
    </row>
    <row r="51" spans="1:18" x14ac:dyDescent="0.2">
      <c r="A51" s="32" t="s">
        <v>53</v>
      </c>
      <c r="B51" s="33" t="s">
        <v>35</v>
      </c>
      <c r="C51" s="32">
        <v>54866.397599999997</v>
      </c>
      <c r="D51" s="32">
        <v>2.9999999999999997E-4</v>
      </c>
      <c r="E51" s="23">
        <f t="shared" si="0"/>
        <v>5031.0015859932919</v>
      </c>
      <c r="F51" s="23">
        <f t="shared" si="1"/>
        <v>5031</v>
      </c>
      <c r="G51" s="23">
        <f t="shared" si="6"/>
        <v>4.6062000037636608E-3</v>
      </c>
      <c r="H51" s="23"/>
      <c r="I51" s="23"/>
      <c r="J51" s="23">
        <f>+G51</f>
        <v>4.6062000037636608E-3</v>
      </c>
      <c r="L51" s="23"/>
      <c r="M51" s="23"/>
      <c r="N51" s="23"/>
      <c r="O51" s="23">
        <f t="shared" ca="1" si="2"/>
        <v>4.5413205837239847E-3</v>
      </c>
      <c r="P51" s="23"/>
      <c r="Q51" s="25">
        <f t="shared" si="3"/>
        <v>39847.897599999997</v>
      </c>
      <c r="R51" s="23"/>
    </row>
    <row r="52" spans="1:18" x14ac:dyDescent="0.2">
      <c r="A52" s="36" t="s">
        <v>54</v>
      </c>
      <c r="B52" s="37" t="s">
        <v>35</v>
      </c>
      <c r="C52" s="38">
        <v>55923.562100000003</v>
      </c>
      <c r="D52" s="38">
        <v>2.9999999999999997E-4</v>
      </c>
      <c r="E52" s="23">
        <f t="shared" si="0"/>
        <v>5395.0013700376267</v>
      </c>
      <c r="F52" s="23">
        <f t="shared" si="1"/>
        <v>5395</v>
      </c>
      <c r="G52" s="23">
        <f t="shared" si="6"/>
        <v>3.9790000082575716E-3</v>
      </c>
      <c r="H52" s="23"/>
      <c r="I52" s="23"/>
      <c r="J52" s="23"/>
      <c r="K52" s="23">
        <f>+G52</f>
        <v>3.9790000082575716E-3</v>
      </c>
      <c r="L52" s="23"/>
      <c r="M52" s="23"/>
      <c r="N52" s="23"/>
      <c r="O52" s="23">
        <f t="shared" ca="1" si="2"/>
        <v>4.8645130604657114E-3</v>
      </c>
      <c r="P52" s="23"/>
      <c r="Q52" s="25">
        <f t="shared" si="3"/>
        <v>40905.062100000003</v>
      </c>
    </row>
    <row r="53" spans="1:18" x14ac:dyDescent="0.2">
      <c r="A53" s="36" t="s">
        <v>55</v>
      </c>
      <c r="B53" s="37" t="s">
        <v>35</v>
      </c>
      <c r="C53" s="38">
        <v>56033.926050000002</v>
      </c>
      <c r="D53" s="38">
        <v>8.0000000000000007E-5</v>
      </c>
      <c r="E53" s="23">
        <f t="shared" si="0"/>
        <v>5433.001562028825</v>
      </c>
      <c r="F53" s="23">
        <f t="shared" si="1"/>
        <v>5433</v>
      </c>
      <c r="G53" s="23">
        <f t="shared" si="6"/>
        <v>4.5366000049398281E-3</v>
      </c>
      <c r="H53" s="23"/>
      <c r="I53" s="23"/>
      <c r="J53" s="23"/>
      <c r="K53" s="23">
        <f>+G53</f>
        <v>4.5366000049398281E-3</v>
      </c>
      <c r="L53" s="23"/>
      <c r="M53" s="23"/>
      <c r="O53" s="23">
        <f t="shared" ca="1" si="2"/>
        <v>4.8982529344112763E-3</v>
      </c>
      <c r="P53" s="23"/>
      <c r="Q53" s="25">
        <f t="shared" si="3"/>
        <v>41015.426050000002</v>
      </c>
    </row>
    <row r="54" spans="1:18" x14ac:dyDescent="0.2">
      <c r="A54" s="56" t="s">
        <v>187</v>
      </c>
      <c r="B54" s="57" t="s">
        <v>35</v>
      </c>
      <c r="C54" s="58">
        <v>57776.51</v>
      </c>
      <c r="D54" s="58">
        <v>8.0000000000000002E-3</v>
      </c>
      <c r="E54" s="23">
        <f t="shared" si="0"/>
        <v>6033.0029633993036</v>
      </c>
      <c r="F54" s="23">
        <f t="shared" si="1"/>
        <v>6033</v>
      </c>
      <c r="G54" s="23">
        <f t="shared" si="6"/>
        <v>8.6066000003484078E-3</v>
      </c>
      <c r="H54" s="23"/>
      <c r="J54" s="23"/>
      <c r="K54" s="23">
        <f t="shared" ref="K54:K63" si="7">G54</f>
        <v>8.6066000003484078E-3</v>
      </c>
      <c r="L54" s="23"/>
      <c r="M54" s="23"/>
      <c r="N54" s="23"/>
      <c r="O54" s="23">
        <f t="shared" ca="1" si="2"/>
        <v>5.4309877861833536E-3</v>
      </c>
      <c r="P54" s="23"/>
      <c r="Q54" s="25">
        <f t="shared" si="3"/>
        <v>42758.01</v>
      </c>
    </row>
    <row r="55" spans="1:18" x14ac:dyDescent="0.2">
      <c r="A55" s="56" t="s">
        <v>187</v>
      </c>
      <c r="B55" s="57" t="s">
        <v>35</v>
      </c>
      <c r="C55" s="58">
        <v>57837.497000000003</v>
      </c>
      <c r="D55" s="58">
        <v>4.0000000000000001E-3</v>
      </c>
      <c r="E55" s="23">
        <f t="shared" si="0"/>
        <v>6054.0018285991018</v>
      </c>
      <c r="F55" s="23">
        <f t="shared" si="1"/>
        <v>6054</v>
      </c>
      <c r="G55" s="23">
        <f t="shared" si="6"/>
        <v>5.3108000065549277E-3</v>
      </c>
      <c r="H55" s="23"/>
      <c r="J55" s="23"/>
      <c r="K55" s="23">
        <f t="shared" si="7"/>
        <v>5.3108000065549277E-3</v>
      </c>
      <c r="L55" s="23"/>
      <c r="M55" s="23"/>
      <c r="N55" s="23"/>
      <c r="O55" s="23">
        <f t="shared" ca="1" si="2"/>
        <v>5.4496335059953755E-3</v>
      </c>
      <c r="P55" s="23"/>
      <c r="Q55" s="25">
        <f t="shared" si="3"/>
        <v>42818.997000000003</v>
      </c>
      <c r="R55" s="59"/>
    </row>
    <row r="56" spans="1:18" x14ac:dyDescent="0.2">
      <c r="A56" s="60" t="s">
        <v>188</v>
      </c>
      <c r="B56" s="61" t="s">
        <v>36</v>
      </c>
      <c r="C56" s="62">
        <v>58501.128799999999</v>
      </c>
      <c r="D56" s="62" t="s">
        <v>64</v>
      </c>
      <c r="E56" s="23">
        <f t="shared" ref="E56:E62" si="8">+(C56-C$7)/C$8</f>
        <v>6282.5015860965868</v>
      </c>
      <c r="F56" s="23">
        <f t="shared" si="1"/>
        <v>6282.5</v>
      </c>
      <c r="G56" s="23">
        <f t="shared" ref="G56:G62" si="9">+C56-(C$7+F56*C$8)</f>
        <v>4.6064999987720512E-3</v>
      </c>
      <c r="H56" s="23"/>
      <c r="J56" s="23"/>
      <c r="K56" s="23">
        <f t="shared" si="7"/>
        <v>4.6064999987720512E-3</v>
      </c>
      <c r="L56" s="23"/>
      <c r="M56" s="23"/>
      <c r="N56" s="23"/>
      <c r="O56" s="23">
        <f t="shared" ref="O56:O62" ca="1" si="10">+C$11+C$12*$F56</f>
        <v>5.6525166953785748E-3</v>
      </c>
      <c r="P56" s="23"/>
      <c r="Q56" s="25">
        <f t="shared" ref="Q56:Q62" si="11">+C56-15018.5</f>
        <v>43482.628799999999</v>
      </c>
      <c r="R56" s="59"/>
    </row>
    <row r="57" spans="1:18" x14ac:dyDescent="0.2">
      <c r="A57" s="60" t="s">
        <v>188</v>
      </c>
      <c r="B57" s="61" t="s">
        <v>36</v>
      </c>
      <c r="C57" s="62">
        <v>58501.1302</v>
      </c>
      <c r="D57" s="62" t="s">
        <v>30</v>
      </c>
      <c r="E57" s="23">
        <f t="shared" si="8"/>
        <v>6282.5020681404867</v>
      </c>
      <c r="F57" s="23">
        <f t="shared" si="1"/>
        <v>6282.5</v>
      </c>
      <c r="G57" s="23">
        <f t="shared" si="9"/>
        <v>6.0064999997848645E-3</v>
      </c>
      <c r="H57" s="23"/>
      <c r="J57" s="23"/>
      <c r="K57" s="23">
        <f t="shared" si="7"/>
        <v>6.0064999997848645E-3</v>
      </c>
      <c r="L57" s="23"/>
      <c r="M57" s="23"/>
      <c r="N57" s="23"/>
      <c r="O57" s="23">
        <f t="shared" ca="1" si="10"/>
        <v>5.6525166953785748E-3</v>
      </c>
      <c r="P57" s="23"/>
      <c r="Q57" s="25">
        <f t="shared" si="11"/>
        <v>43482.6302</v>
      </c>
      <c r="R57" s="59"/>
    </row>
    <row r="58" spans="1:18" x14ac:dyDescent="0.2">
      <c r="A58" s="60" t="s">
        <v>188</v>
      </c>
      <c r="B58" s="61" t="s">
        <v>36</v>
      </c>
      <c r="C58" s="62">
        <v>58501.130499999999</v>
      </c>
      <c r="D58" s="62" t="s">
        <v>189</v>
      </c>
      <c r="E58" s="23">
        <f t="shared" si="8"/>
        <v>6282.502171435608</v>
      </c>
      <c r="F58" s="23">
        <f t="shared" si="1"/>
        <v>6282.5</v>
      </c>
      <c r="G58" s="23">
        <f t="shared" si="9"/>
        <v>6.3064999994821846E-3</v>
      </c>
      <c r="H58" s="23"/>
      <c r="J58" s="23"/>
      <c r="K58" s="23">
        <f t="shared" si="7"/>
        <v>6.3064999994821846E-3</v>
      </c>
      <c r="L58" s="23"/>
      <c r="M58" s="23"/>
      <c r="N58" s="23"/>
      <c r="O58" s="23">
        <f t="shared" ca="1" si="10"/>
        <v>5.6525166953785748E-3</v>
      </c>
      <c r="P58" s="23"/>
      <c r="Q58" s="25">
        <f t="shared" si="11"/>
        <v>43482.630499999999</v>
      </c>
      <c r="R58" s="59"/>
    </row>
    <row r="59" spans="1:18" x14ac:dyDescent="0.2">
      <c r="A59" s="63" t="s">
        <v>190</v>
      </c>
      <c r="B59" s="64" t="s">
        <v>35</v>
      </c>
      <c r="C59" s="65">
        <v>58914.991399999999</v>
      </c>
      <c r="D59" s="65" t="s">
        <v>191</v>
      </c>
      <c r="E59" s="23">
        <f t="shared" si="8"/>
        <v>6425.0015442620634</v>
      </c>
      <c r="F59" s="23">
        <f t="shared" si="1"/>
        <v>6425</v>
      </c>
      <c r="G59" s="23">
        <f t="shared" si="9"/>
        <v>4.4849999976577237E-3</v>
      </c>
      <c r="H59" s="23"/>
      <c r="J59" s="23"/>
      <c r="K59" s="23">
        <f t="shared" si="7"/>
        <v>4.4849999976577237E-3</v>
      </c>
      <c r="L59" s="23"/>
      <c r="M59" s="23"/>
      <c r="N59" s="23"/>
      <c r="O59" s="23">
        <f t="shared" ca="1" si="10"/>
        <v>5.7790412226744435E-3</v>
      </c>
      <c r="P59" s="23"/>
      <c r="Q59" s="25">
        <f t="shared" si="11"/>
        <v>43896.491399999999</v>
      </c>
      <c r="R59" s="59"/>
    </row>
    <row r="60" spans="1:18" x14ac:dyDescent="0.2">
      <c r="A60" s="63" t="s">
        <v>190</v>
      </c>
      <c r="B60" s="64" t="s">
        <v>35</v>
      </c>
      <c r="C60" s="65">
        <v>58914.991800000003</v>
      </c>
      <c r="D60" s="65" t="s">
        <v>64</v>
      </c>
      <c r="E60" s="23">
        <f t="shared" si="8"/>
        <v>6425.0016819888933</v>
      </c>
      <c r="F60" s="23">
        <f t="shared" si="1"/>
        <v>6425</v>
      </c>
      <c r="G60" s="23">
        <f t="shared" si="9"/>
        <v>4.885000002104789E-3</v>
      </c>
      <c r="H60" s="23"/>
      <c r="J60" s="23"/>
      <c r="K60" s="23">
        <f t="shared" si="7"/>
        <v>4.885000002104789E-3</v>
      </c>
      <c r="L60" s="23"/>
      <c r="M60" s="23"/>
      <c r="N60" s="23"/>
      <c r="O60" s="23">
        <f t="shared" ca="1" si="10"/>
        <v>5.7790412226744435E-3</v>
      </c>
      <c r="P60" s="23"/>
      <c r="Q60" s="25">
        <f t="shared" si="11"/>
        <v>43896.491800000003</v>
      </c>
      <c r="R60" s="59"/>
    </row>
    <row r="61" spans="1:18" x14ac:dyDescent="0.2">
      <c r="A61" s="63" t="s">
        <v>190</v>
      </c>
      <c r="B61" s="64" t="s">
        <v>35</v>
      </c>
      <c r="C61" s="65">
        <v>58914.993000000002</v>
      </c>
      <c r="D61" s="65" t="s">
        <v>30</v>
      </c>
      <c r="E61" s="23">
        <f t="shared" si="8"/>
        <v>6425.0020951693778</v>
      </c>
      <c r="F61" s="23">
        <f t="shared" si="1"/>
        <v>6425</v>
      </c>
      <c r="G61" s="23">
        <f t="shared" si="9"/>
        <v>6.0850000008940697E-3</v>
      </c>
      <c r="H61" s="23"/>
      <c r="J61" s="23"/>
      <c r="K61" s="23">
        <f t="shared" si="7"/>
        <v>6.0850000008940697E-3</v>
      </c>
      <c r="L61" s="23"/>
      <c r="M61" s="23"/>
      <c r="N61" s="23"/>
      <c r="O61" s="23">
        <f t="shared" ca="1" si="10"/>
        <v>5.7790412226744435E-3</v>
      </c>
      <c r="P61" s="23"/>
      <c r="Q61" s="25">
        <f t="shared" si="11"/>
        <v>43896.493000000002</v>
      </c>
      <c r="R61" s="59"/>
    </row>
    <row r="62" spans="1:18" x14ac:dyDescent="0.2">
      <c r="A62" s="63" t="s">
        <v>190</v>
      </c>
      <c r="B62" s="64" t="s">
        <v>35</v>
      </c>
      <c r="C62" s="65">
        <v>58914.993699999999</v>
      </c>
      <c r="D62" s="65" t="s">
        <v>189</v>
      </c>
      <c r="E62" s="23">
        <f t="shared" si="8"/>
        <v>6425.0023361913263</v>
      </c>
      <c r="F62" s="23">
        <f t="shared" si="1"/>
        <v>6425</v>
      </c>
      <c r="G62" s="23">
        <f t="shared" si="9"/>
        <v>6.7849999977624975E-3</v>
      </c>
      <c r="H62" s="23"/>
      <c r="J62" s="23"/>
      <c r="K62" s="23">
        <f t="shared" si="7"/>
        <v>6.7849999977624975E-3</v>
      </c>
      <c r="L62" s="23"/>
      <c r="M62" s="23"/>
      <c r="N62" s="23"/>
      <c r="O62" s="23">
        <f t="shared" ca="1" si="10"/>
        <v>5.7790412226744435E-3</v>
      </c>
      <c r="P62" s="23"/>
      <c r="Q62" s="25">
        <f t="shared" si="11"/>
        <v>43896.493699999999</v>
      </c>
      <c r="R62" s="59"/>
    </row>
    <row r="63" spans="1:18" x14ac:dyDescent="0.2">
      <c r="A63" s="66" t="s">
        <v>192</v>
      </c>
      <c r="B63" s="67" t="s">
        <v>35</v>
      </c>
      <c r="C63" s="68">
        <v>59545.226300000213</v>
      </c>
      <c r="D63" s="66" t="s">
        <v>189</v>
      </c>
      <c r="E63" s="23">
        <f t="shared" ref="E63" si="12">+(C63-C$7)/C$8</f>
        <v>6642.0021789762259</v>
      </c>
      <c r="F63" s="23">
        <f t="shared" ref="F63" si="13">ROUND(2*E63,0)/2</f>
        <v>6642</v>
      </c>
      <c r="G63" s="23">
        <f t="shared" ref="G63" si="14">+C63-(C$7+F63*C$8)</f>
        <v>6.3284002171712928E-3</v>
      </c>
      <c r="H63" s="23"/>
      <c r="J63" s="23"/>
      <c r="K63" s="23">
        <f t="shared" si="7"/>
        <v>6.3284002171712928E-3</v>
      </c>
      <c r="L63" s="23"/>
      <c r="M63" s="23"/>
      <c r="N63" s="23"/>
      <c r="O63" s="23">
        <f t="shared" ref="O63" ca="1" si="15">+C$11+C$12*$F63</f>
        <v>5.9717136607320117E-3</v>
      </c>
      <c r="P63" s="23"/>
      <c r="Q63" s="25">
        <f t="shared" ref="Q63" si="16">+C63-15018.5</f>
        <v>44526.726300000213</v>
      </c>
    </row>
    <row r="64" spans="1:18" x14ac:dyDescent="0.2">
      <c r="A64" s="69" t="s">
        <v>193</v>
      </c>
      <c r="B64" s="70" t="s">
        <v>36</v>
      </c>
      <c r="C64" s="71">
        <v>59627.998900000006</v>
      </c>
      <c r="D64" s="9"/>
      <c r="E64" s="23">
        <f t="shared" ref="E64:E68" si="17">+(C64-C$7)/C$8</f>
        <v>6670.5021981546151</v>
      </c>
      <c r="F64" s="23">
        <f t="shared" ref="F64:F68" si="18">ROUND(2*E64,0)/2</f>
        <v>6670.5</v>
      </c>
      <c r="G64" s="23">
        <f t="shared" ref="G64:G68" si="19">+C64-(C$7+F64*C$8)</f>
        <v>6.384100008290261E-3</v>
      </c>
      <c r="H64" s="23"/>
      <c r="J64" s="23"/>
      <c r="K64" s="23">
        <f t="shared" ref="K64:K68" si="20">G64</f>
        <v>6.384100008290261E-3</v>
      </c>
      <c r="L64" s="23"/>
      <c r="M64" s="23"/>
      <c r="N64" s="23"/>
      <c r="O64" s="23">
        <f t="shared" ref="O64:O68" ca="1" si="21">+C$11+C$12*$F64</f>
        <v>5.9970185661911849E-3</v>
      </c>
      <c r="P64" s="23"/>
      <c r="Q64" s="25">
        <f t="shared" ref="Q64:Q68" si="22">+C64-15018.5</f>
        <v>44609.498900000006</v>
      </c>
    </row>
    <row r="65" spans="1:17" x14ac:dyDescent="0.2">
      <c r="A65" s="69" t="s">
        <v>193</v>
      </c>
      <c r="B65" s="70" t="s">
        <v>36</v>
      </c>
      <c r="C65" s="71">
        <v>59627.999100000132</v>
      </c>
      <c r="D65" s="9"/>
      <c r="E65" s="23">
        <f t="shared" si="17"/>
        <v>6670.5022670180724</v>
      </c>
      <c r="F65" s="23">
        <f t="shared" si="18"/>
        <v>6670.5</v>
      </c>
      <c r="G65" s="23">
        <f t="shared" si="19"/>
        <v>6.5841001342050731E-3</v>
      </c>
      <c r="H65" s="23"/>
      <c r="J65" s="23"/>
      <c r="K65" s="23">
        <f t="shared" si="20"/>
        <v>6.5841001342050731E-3</v>
      </c>
      <c r="L65" s="23"/>
      <c r="M65" s="23"/>
      <c r="N65" s="23"/>
      <c r="O65" s="23">
        <f t="shared" ca="1" si="21"/>
        <v>5.9970185661911849E-3</v>
      </c>
      <c r="P65" s="23"/>
      <c r="Q65" s="25">
        <f t="shared" si="22"/>
        <v>44609.499100000132</v>
      </c>
    </row>
    <row r="66" spans="1:17" x14ac:dyDescent="0.2">
      <c r="A66" s="69" t="s">
        <v>193</v>
      </c>
      <c r="B66" s="70" t="s">
        <v>36</v>
      </c>
      <c r="C66" s="71">
        <v>59892.290200000163</v>
      </c>
      <c r="D66" s="9"/>
      <c r="E66" s="23">
        <f t="shared" si="17"/>
        <v>6761.5022044212401</v>
      </c>
      <c r="F66" s="23">
        <f t="shared" si="18"/>
        <v>6761.5</v>
      </c>
      <c r="G66" s="23">
        <f t="shared" si="19"/>
        <v>6.4023001614259556E-3</v>
      </c>
      <c r="H66" s="23"/>
      <c r="J66" s="23"/>
      <c r="K66" s="23">
        <f t="shared" si="20"/>
        <v>6.4023001614259556E-3</v>
      </c>
      <c r="L66" s="23"/>
      <c r="M66" s="23"/>
      <c r="N66" s="23"/>
      <c r="O66" s="23">
        <f t="shared" ca="1" si="21"/>
        <v>6.0778166853766163E-3</v>
      </c>
      <c r="P66" s="23"/>
      <c r="Q66" s="25">
        <f t="shared" si="22"/>
        <v>44873.790200000163</v>
      </c>
    </row>
    <row r="67" spans="1:17" x14ac:dyDescent="0.2">
      <c r="A67" s="69" t="s">
        <v>193</v>
      </c>
      <c r="B67" s="70" t="s">
        <v>36</v>
      </c>
      <c r="C67" s="71">
        <v>59924.236000000034</v>
      </c>
      <c r="D67" s="9"/>
      <c r="E67" s="23">
        <f t="shared" si="17"/>
        <v>6772.5016887030861</v>
      </c>
      <c r="F67" s="23">
        <f t="shared" si="18"/>
        <v>6772.5</v>
      </c>
      <c r="G67" s="23">
        <f t="shared" si="19"/>
        <v>4.9045000341720879E-3</v>
      </c>
      <c r="H67" s="23"/>
      <c r="J67" s="23"/>
      <c r="K67" s="23">
        <f t="shared" si="20"/>
        <v>4.9045000341720879E-3</v>
      </c>
      <c r="L67" s="23"/>
      <c r="M67" s="23"/>
      <c r="N67" s="23"/>
      <c r="O67" s="23">
        <f t="shared" ca="1" si="21"/>
        <v>6.0875834909924383E-3</v>
      </c>
      <c r="P67" s="23"/>
      <c r="Q67" s="25">
        <f t="shared" si="22"/>
        <v>44905.736000000034</v>
      </c>
    </row>
    <row r="68" spans="1:17" x14ac:dyDescent="0.2">
      <c r="A68" s="69" t="s">
        <v>193</v>
      </c>
      <c r="B68" s="70" t="s">
        <v>36</v>
      </c>
      <c r="C68" s="71">
        <v>59924.236000000034</v>
      </c>
      <c r="D68" s="9"/>
      <c r="E68" s="23">
        <f t="shared" si="17"/>
        <v>6772.5016887030861</v>
      </c>
      <c r="F68" s="23">
        <f t="shared" si="18"/>
        <v>6772.5</v>
      </c>
      <c r="G68" s="23">
        <f t="shared" si="19"/>
        <v>4.9045000341720879E-3</v>
      </c>
      <c r="H68" s="23"/>
      <c r="J68" s="23"/>
      <c r="K68" s="23">
        <f t="shared" si="20"/>
        <v>4.9045000341720879E-3</v>
      </c>
      <c r="L68" s="23"/>
      <c r="M68" s="23"/>
      <c r="N68" s="23"/>
      <c r="O68" s="23">
        <f t="shared" ca="1" si="21"/>
        <v>6.0875834909924383E-3</v>
      </c>
      <c r="P68" s="23"/>
      <c r="Q68" s="25">
        <f t="shared" si="22"/>
        <v>44905.736000000034</v>
      </c>
    </row>
    <row r="69" spans="1:17" x14ac:dyDescent="0.2">
      <c r="C69" s="9"/>
      <c r="D69" s="9"/>
    </row>
    <row r="70" spans="1:17" x14ac:dyDescent="0.2">
      <c r="C70" s="9"/>
      <c r="D70" s="9"/>
    </row>
    <row r="71" spans="1:17" x14ac:dyDescent="0.2">
      <c r="C71" s="9"/>
      <c r="D71" s="9"/>
    </row>
    <row r="72" spans="1:17" x14ac:dyDescent="0.2">
      <c r="C72" s="9"/>
      <c r="D72" s="9"/>
    </row>
    <row r="73" spans="1:17" x14ac:dyDescent="0.2">
      <c r="C73" s="9"/>
      <c r="D73" s="9"/>
    </row>
    <row r="74" spans="1:17" x14ac:dyDescent="0.2">
      <c r="C74" s="9"/>
      <c r="D74" s="9"/>
    </row>
    <row r="75" spans="1:17" x14ac:dyDescent="0.2">
      <c r="C75" s="9"/>
      <c r="D75" s="9"/>
    </row>
    <row r="76" spans="1:17" x14ac:dyDescent="0.2">
      <c r="C76" s="9"/>
      <c r="D76" s="9"/>
    </row>
    <row r="77" spans="1:17" x14ac:dyDescent="0.2">
      <c r="C77" s="9"/>
      <c r="D77" s="9"/>
    </row>
    <row r="78" spans="1:17" x14ac:dyDescent="0.2">
      <c r="C78" s="9"/>
      <c r="D78" s="9"/>
    </row>
    <row r="79" spans="1:17" x14ac:dyDescent="0.2">
      <c r="C79" s="9"/>
      <c r="D79" s="9"/>
    </row>
    <row r="80" spans="1:17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</sheetData>
  <protectedRanges>
    <protectedRange sqref="A56:D6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7"/>
  <sheetViews>
    <sheetView workbookViewId="0">
      <selection activeCell="A32" sqref="A32:D39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9" t="s">
        <v>56</v>
      </c>
      <c r="I1" s="40" t="s">
        <v>57</v>
      </c>
      <c r="J1" s="41" t="s">
        <v>58</v>
      </c>
    </row>
    <row r="2" spans="1:16" x14ac:dyDescent="0.2">
      <c r="I2" s="42" t="s">
        <v>59</v>
      </c>
      <c r="J2" s="43" t="s">
        <v>52</v>
      </c>
    </row>
    <row r="3" spans="1:16" x14ac:dyDescent="0.2">
      <c r="A3" s="44" t="s">
        <v>60</v>
      </c>
      <c r="I3" s="42" t="s">
        <v>61</v>
      </c>
      <c r="J3" s="43" t="s">
        <v>62</v>
      </c>
    </row>
    <row r="4" spans="1:16" x14ac:dyDescent="0.2">
      <c r="I4" s="42" t="s">
        <v>63</v>
      </c>
      <c r="J4" s="43" t="s">
        <v>62</v>
      </c>
    </row>
    <row r="5" spans="1:16" ht="13.5" thickBot="1" x14ac:dyDescent="0.25">
      <c r="I5" s="45" t="s">
        <v>64</v>
      </c>
      <c r="J5" s="46" t="s">
        <v>65</v>
      </c>
    </row>
    <row r="10" spans="1:16" ht="13.5" thickBot="1" x14ac:dyDescent="0.25"/>
    <row r="11" spans="1:16" ht="12.75" customHeight="1" thickBot="1" x14ac:dyDescent="0.25">
      <c r="A11" s="9" t="str">
        <f t="shared" ref="A11:A39" si="0">P11</f>
        <v> AN 277.41 </v>
      </c>
      <c r="B11" s="13" t="str">
        <f t="shared" ref="B11:B39" si="1">IF(H11=INT(H11),"I","II")</f>
        <v>II</v>
      </c>
      <c r="C11" s="9">
        <f t="shared" ref="C11:C39" si="2">1*G11</f>
        <v>27840.437000000002</v>
      </c>
      <c r="D11" s="11" t="str">
        <f t="shared" ref="D11:D39" si="3">VLOOKUP(F11,I$1:J$5,2,FALSE)</f>
        <v>vis</v>
      </c>
      <c r="E11" s="47">
        <f>VLOOKUP(C11,Active!C$21:E$973,3,FALSE)</f>
        <v>-4274.4980046481414</v>
      </c>
      <c r="F11" s="13" t="s">
        <v>64</v>
      </c>
      <c r="G11" s="11" t="str">
        <f t="shared" ref="G11:G39" si="4">MID(I11,3,LEN(I11)-3)</f>
        <v>27840.437</v>
      </c>
      <c r="H11" s="9">
        <f t="shared" ref="H11:H39" si="5">1*K11</f>
        <v>-4274.5</v>
      </c>
      <c r="I11" s="48" t="s">
        <v>77</v>
      </c>
      <c r="J11" s="49" t="s">
        <v>78</v>
      </c>
      <c r="K11" s="48">
        <v>-4274.5</v>
      </c>
      <c r="L11" s="48" t="s">
        <v>79</v>
      </c>
      <c r="M11" s="49" t="s">
        <v>80</v>
      </c>
      <c r="N11" s="49"/>
      <c r="O11" s="50" t="s">
        <v>81</v>
      </c>
      <c r="P11" s="50" t="s">
        <v>82</v>
      </c>
    </row>
    <row r="12" spans="1:16" ht="12.75" customHeight="1" thickBot="1" x14ac:dyDescent="0.25">
      <c r="A12" s="9" t="str">
        <f t="shared" si="0"/>
        <v> AN 277.41 </v>
      </c>
      <c r="B12" s="13" t="str">
        <f t="shared" si="1"/>
        <v>I</v>
      </c>
      <c r="C12" s="9">
        <f t="shared" si="2"/>
        <v>27856.412</v>
      </c>
      <c r="D12" s="11" t="str">
        <f t="shared" si="3"/>
        <v>vis</v>
      </c>
      <c r="E12" s="47">
        <f>VLOOKUP(C12,Active!C$21:E$973,3,FALSE)</f>
        <v>-4268.9975394413477</v>
      </c>
      <c r="F12" s="13" t="s">
        <v>64</v>
      </c>
      <c r="G12" s="11" t="str">
        <f t="shared" si="4"/>
        <v>27856.412</v>
      </c>
      <c r="H12" s="9">
        <f t="shared" si="5"/>
        <v>-4269</v>
      </c>
      <c r="I12" s="48" t="s">
        <v>83</v>
      </c>
      <c r="J12" s="49" t="s">
        <v>84</v>
      </c>
      <c r="K12" s="48">
        <v>-4269</v>
      </c>
      <c r="L12" s="48" t="s">
        <v>85</v>
      </c>
      <c r="M12" s="49" t="s">
        <v>80</v>
      </c>
      <c r="N12" s="49"/>
      <c r="O12" s="50" t="s">
        <v>81</v>
      </c>
      <c r="P12" s="50" t="s">
        <v>82</v>
      </c>
    </row>
    <row r="13" spans="1:16" ht="12.75" customHeight="1" thickBot="1" x14ac:dyDescent="0.25">
      <c r="A13" s="9" t="str">
        <f t="shared" si="0"/>
        <v> CPRI 21.62 </v>
      </c>
      <c r="B13" s="13" t="str">
        <f t="shared" si="1"/>
        <v>I</v>
      </c>
      <c r="C13" s="9">
        <f t="shared" si="2"/>
        <v>29604.794000000002</v>
      </c>
      <c r="D13" s="11" t="str">
        <f t="shared" si="3"/>
        <v>vis</v>
      </c>
      <c r="E13" s="47">
        <f>VLOOKUP(C13,Active!C$21:E$973,3,FALSE)</f>
        <v>-3666.999770478239</v>
      </c>
      <c r="F13" s="13" t="s">
        <v>64</v>
      </c>
      <c r="G13" s="11" t="str">
        <f t="shared" si="4"/>
        <v>29604.794</v>
      </c>
      <c r="H13" s="9">
        <f t="shared" si="5"/>
        <v>-3667</v>
      </c>
      <c r="I13" s="48" t="s">
        <v>86</v>
      </c>
      <c r="J13" s="49" t="s">
        <v>87</v>
      </c>
      <c r="K13" s="48">
        <v>-3667</v>
      </c>
      <c r="L13" s="48" t="s">
        <v>88</v>
      </c>
      <c r="M13" s="49" t="s">
        <v>80</v>
      </c>
      <c r="N13" s="49"/>
      <c r="O13" s="50" t="s">
        <v>89</v>
      </c>
      <c r="P13" s="50" t="s">
        <v>90</v>
      </c>
    </row>
    <row r="14" spans="1:16" ht="12.75" customHeight="1" thickBot="1" x14ac:dyDescent="0.25">
      <c r="A14" s="9" t="str">
        <f t="shared" si="0"/>
        <v> CPRI 21.62 </v>
      </c>
      <c r="B14" s="13" t="str">
        <f t="shared" si="1"/>
        <v>II</v>
      </c>
      <c r="C14" s="9">
        <f t="shared" si="2"/>
        <v>29681.751</v>
      </c>
      <c r="D14" s="11" t="str">
        <f t="shared" si="3"/>
        <v>vis</v>
      </c>
      <c r="E14" s="47">
        <f>VLOOKUP(C14,Active!C$21:E$973,3,FALSE)</f>
        <v>-3640.5021616570016</v>
      </c>
      <c r="F14" s="13" t="s">
        <v>64</v>
      </c>
      <c r="G14" s="11" t="str">
        <f t="shared" si="4"/>
        <v>29681.751</v>
      </c>
      <c r="H14" s="9">
        <f t="shared" si="5"/>
        <v>-3640.5</v>
      </c>
      <c r="I14" s="48" t="s">
        <v>91</v>
      </c>
      <c r="J14" s="49" t="s">
        <v>92</v>
      </c>
      <c r="K14" s="48">
        <v>-3640.5</v>
      </c>
      <c r="L14" s="48" t="s">
        <v>93</v>
      </c>
      <c r="M14" s="49" t="s">
        <v>80</v>
      </c>
      <c r="N14" s="49"/>
      <c r="O14" s="50" t="s">
        <v>89</v>
      </c>
      <c r="P14" s="50" t="s">
        <v>90</v>
      </c>
    </row>
    <row r="15" spans="1:16" ht="12.75" customHeight="1" thickBot="1" x14ac:dyDescent="0.25">
      <c r="A15" s="9" t="str">
        <f t="shared" si="0"/>
        <v> CPRI 21.62 </v>
      </c>
      <c r="B15" s="13" t="str">
        <f t="shared" si="1"/>
        <v>I</v>
      </c>
      <c r="C15" s="9">
        <f t="shared" si="2"/>
        <v>29700.633999999998</v>
      </c>
      <c r="D15" s="11" t="str">
        <f t="shared" si="3"/>
        <v>vis</v>
      </c>
      <c r="E15" s="47">
        <f>VLOOKUP(C15,Active!C$21:E$973,3,FALSE)</f>
        <v>-3634.0004224081822</v>
      </c>
      <c r="F15" s="13" t="s">
        <v>64</v>
      </c>
      <c r="G15" s="11" t="str">
        <f t="shared" si="4"/>
        <v>29700.634</v>
      </c>
      <c r="H15" s="9">
        <f t="shared" si="5"/>
        <v>-3634</v>
      </c>
      <c r="I15" s="48" t="s">
        <v>94</v>
      </c>
      <c r="J15" s="49" t="s">
        <v>95</v>
      </c>
      <c r="K15" s="48">
        <v>-3634</v>
      </c>
      <c r="L15" s="48" t="s">
        <v>96</v>
      </c>
      <c r="M15" s="49" t="s">
        <v>80</v>
      </c>
      <c r="N15" s="49"/>
      <c r="O15" s="50" t="s">
        <v>89</v>
      </c>
      <c r="P15" s="50" t="s">
        <v>90</v>
      </c>
    </row>
    <row r="16" spans="1:16" ht="12.75" customHeight="1" thickBot="1" x14ac:dyDescent="0.25">
      <c r="A16" s="9" t="str">
        <f t="shared" si="0"/>
        <v> CPRI 21.62 </v>
      </c>
      <c r="B16" s="13" t="str">
        <f t="shared" si="1"/>
        <v>II</v>
      </c>
      <c r="C16" s="9">
        <f t="shared" si="2"/>
        <v>29748.556</v>
      </c>
      <c r="D16" s="11" t="str">
        <f t="shared" si="3"/>
        <v>vis</v>
      </c>
      <c r="E16" s="47">
        <f>VLOOKUP(C16,Active!C$21:E$973,3,FALSE)</f>
        <v>-3617.5000597390108</v>
      </c>
      <c r="F16" s="13" t="s">
        <v>64</v>
      </c>
      <c r="G16" s="11" t="str">
        <f t="shared" si="4"/>
        <v>29748.556</v>
      </c>
      <c r="H16" s="9">
        <f t="shared" si="5"/>
        <v>-3617.5</v>
      </c>
      <c r="I16" s="48" t="s">
        <v>97</v>
      </c>
      <c r="J16" s="49" t="s">
        <v>98</v>
      </c>
      <c r="K16" s="48">
        <v>-3617.5</v>
      </c>
      <c r="L16" s="48" t="s">
        <v>99</v>
      </c>
      <c r="M16" s="49" t="s">
        <v>80</v>
      </c>
      <c r="N16" s="49"/>
      <c r="O16" s="50" t="s">
        <v>89</v>
      </c>
      <c r="P16" s="50" t="s">
        <v>90</v>
      </c>
    </row>
    <row r="17" spans="1:16" ht="12.75" customHeight="1" thickBot="1" x14ac:dyDescent="0.25">
      <c r="A17" s="9" t="str">
        <f t="shared" si="0"/>
        <v> CPRI 21.62 </v>
      </c>
      <c r="B17" s="13" t="str">
        <f t="shared" si="1"/>
        <v>II</v>
      </c>
      <c r="C17" s="9">
        <f t="shared" si="2"/>
        <v>30015.741999999998</v>
      </c>
      <c r="D17" s="11" t="str">
        <f t="shared" si="3"/>
        <v>vis</v>
      </c>
      <c r="E17" s="47">
        <f>VLOOKUP(C17,Active!C$21:E$973,3,FALSE)</f>
        <v>-3525.5033588474575</v>
      </c>
      <c r="F17" s="13" t="s">
        <v>64</v>
      </c>
      <c r="G17" s="11" t="str">
        <f t="shared" si="4"/>
        <v>30015.742</v>
      </c>
      <c r="H17" s="9">
        <f t="shared" si="5"/>
        <v>-3525.5</v>
      </c>
      <c r="I17" s="48" t="s">
        <v>100</v>
      </c>
      <c r="J17" s="49" t="s">
        <v>101</v>
      </c>
      <c r="K17" s="48">
        <v>-3525.5</v>
      </c>
      <c r="L17" s="48" t="s">
        <v>102</v>
      </c>
      <c r="M17" s="49" t="s">
        <v>80</v>
      </c>
      <c r="N17" s="49"/>
      <c r="O17" s="50" t="s">
        <v>89</v>
      </c>
      <c r="P17" s="50" t="s">
        <v>90</v>
      </c>
    </row>
    <row r="18" spans="1:16" ht="12.75" customHeight="1" thickBot="1" x14ac:dyDescent="0.25">
      <c r="A18" s="9" t="str">
        <f t="shared" si="0"/>
        <v> CPRI 21.62 </v>
      </c>
      <c r="B18" s="13" t="str">
        <f t="shared" si="1"/>
        <v>I</v>
      </c>
      <c r="C18" s="9">
        <f t="shared" si="2"/>
        <v>30034.626</v>
      </c>
      <c r="D18" s="11" t="str">
        <f t="shared" si="3"/>
        <v>vis</v>
      </c>
      <c r="E18" s="47">
        <f>VLOOKUP(C18,Active!C$21:E$973,3,FALSE)</f>
        <v>-3519.001275281566</v>
      </c>
      <c r="F18" s="13" t="s">
        <v>64</v>
      </c>
      <c r="G18" s="11" t="str">
        <f t="shared" si="4"/>
        <v>30034.626</v>
      </c>
      <c r="H18" s="9">
        <f t="shared" si="5"/>
        <v>-3519</v>
      </c>
      <c r="I18" s="48" t="s">
        <v>103</v>
      </c>
      <c r="J18" s="49" t="s">
        <v>104</v>
      </c>
      <c r="K18" s="48">
        <v>-3519</v>
      </c>
      <c r="L18" s="48" t="s">
        <v>105</v>
      </c>
      <c r="M18" s="49" t="s">
        <v>80</v>
      </c>
      <c r="N18" s="49"/>
      <c r="O18" s="50" t="s">
        <v>89</v>
      </c>
      <c r="P18" s="50" t="s">
        <v>90</v>
      </c>
    </row>
    <row r="19" spans="1:16" ht="12.75" customHeight="1" thickBot="1" x14ac:dyDescent="0.25">
      <c r="A19" s="9" t="str">
        <f t="shared" si="0"/>
        <v> ASS 35.249 </v>
      </c>
      <c r="B19" s="13" t="str">
        <f t="shared" si="1"/>
        <v>II</v>
      </c>
      <c r="C19" s="9">
        <f t="shared" si="2"/>
        <v>40654.201000000001</v>
      </c>
      <c r="D19" s="11" t="str">
        <f t="shared" si="3"/>
        <v>vis</v>
      </c>
      <c r="E19" s="47">
        <f>VLOOKUP(C19,Active!C$21:E$973,3,FALSE)</f>
        <v>137.49968236750334</v>
      </c>
      <c r="F19" s="13" t="s">
        <v>64</v>
      </c>
      <c r="G19" s="11" t="str">
        <f t="shared" si="4"/>
        <v>40654.201</v>
      </c>
      <c r="H19" s="9">
        <f t="shared" si="5"/>
        <v>137.5</v>
      </c>
      <c r="I19" s="48" t="s">
        <v>115</v>
      </c>
      <c r="J19" s="49" t="s">
        <v>116</v>
      </c>
      <c r="K19" s="48">
        <v>137.5</v>
      </c>
      <c r="L19" s="48" t="s">
        <v>96</v>
      </c>
      <c r="M19" s="49" t="s">
        <v>117</v>
      </c>
      <c r="N19" s="49" t="s">
        <v>118</v>
      </c>
      <c r="O19" s="50" t="s">
        <v>119</v>
      </c>
      <c r="P19" s="50" t="s">
        <v>120</v>
      </c>
    </row>
    <row r="20" spans="1:16" ht="12.75" customHeight="1" thickBot="1" x14ac:dyDescent="0.25">
      <c r="A20" s="9" t="str">
        <f t="shared" si="0"/>
        <v> ASS 35.249 </v>
      </c>
      <c r="B20" s="13" t="str">
        <f t="shared" si="1"/>
        <v>II</v>
      </c>
      <c r="C20" s="9">
        <f t="shared" si="2"/>
        <v>40686.154000000002</v>
      </c>
      <c r="D20" s="11" t="str">
        <f t="shared" si="3"/>
        <v>vis</v>
      </c>
      <c r="E20" s="47">
        <f>VLOOKUP(C20,Active!C$21:E$973,3,FALSE)</f>
        <v>148.50164573230518</v>
      </c>
      <c r="F20" s="13" t="s">
        <v>64</v>
      </c>
      <c r="G20" s="11" t="str">
        <f t="shared" si="4"/>
        <v>40686.154</v>
      </c>
      <c r="H20" s="9">
        <f t="shared" si="5"/>
        <v>148.5</v>
      </c>
      <c r="I20" s="48" t="s">
        <v>121</v>
      </c>
      <c r="J20" s="49" t="s">
        <v>122</v>
      </c>
      <c r="K20" s="48">
        <v>148.5</v>
      </c>
      <c r="L20" s="48" t="s">
        <v>123</v>
      </c>
      <c r="M20" s="49" t="s">
        <v>117</v>
      </c>
      <c r="N20" s="49" t="s">
        <v>118</v>
      </c>
      <c r="O20" s="50" t="s">
        <v>119</v>
      </c>
      <c r="P20" s="50" t="s">
        <v>120</v>
      </c>
    </row>
    <row r="21" spans="1:16" ht="12.75" customHeight="1" thickBot="1" x14ac:dyDescent="0.25">
      <c r="A21" s="9" t="str">
        <f t="shared" si="0"/>
        <v> ASS 35.249 </v>
      </c>
      <c r="B21" s="13" t="str">
        <f t="shared" si="1"/>
        <v>I</v>
      </c>
      <c r="C21" s="9">
        <f t="shared" si="2"/>
        <v>40998.362000000001</v>
      </c>
      <c r="D21" s="11" t="str">
        <f t="shared" si="3"/>
        <v>vis</v>
      </c>
      <c r="E21" s="47">
        <f>VLOOKUP(C21,Active!C$21:E$973,3,FALSE)</f>
        <v>256.00018978757066</v>
      </c>
      <c r="F21" s="13" t="s">
        <v>64</v>
      </c>
      <c r="G21" s="11" t="str">
        <f t="shared" si="4"/>
        <v>40998.362</v>
      </c>
      <c r="H21" s="9">
        <f t="shared" si="5"/>
        <v>256</v>
      </c>
      <c r="I21" s="48" t="s">
        <v>124</v>
      </c>
      <c r="J21" s="49" t="s">
        <v>125</v>
      </c>
      <c r="K21" s="48">
        <v>256</v>
      </c>
      <c r="L21" s="48" t="s">
        <v>88</v>
      </c>
      <c r="M21" s="49" t="s">
        <v>117</v>
      </c>
      <c r="N21" s="49" t="s">
        <v>118</v>
      </c>
      <c r="O21" s="50" t="s">
        <v>119</v>
      </c>
      <c r="P21" s="50" t="s">
        <v>120</v>
      </c>
    </row>
    <row r="22" spans="1:16" ht="12.75" customHeight="1" thickBot="1" x14ac:dyDescent="0.25">
      <c r="A22" s="9" t="str">
        <f t="shared" si="0"/>
        <v> ASS 35.249 </v>
      </c>
      <c r="B22" s="13" t="str">
        <f t="shared" si="1"/>
        <v>I</v>
      </c>
      <c r="C22" s="9">
        <f t="shared" si="2"/>
        <v>41033.212</v>
      </c>
      <c r="D22" s="11" t="str">
        <f t="shared" si="3"/>
        <v>vis</v>
      </c>
      <c r="E22" s="47">
        <f>VLOOKUP(C22,Active!C$21:E$973,3,FALSE)</f>
        <v>267.99963970661776</v>
      </c>
      <c r="F22" s="13" t="s">
        <v>64</v>
      </c>
      <c r="G22" s="11" t="str">
        <f t="shared" si="4"/>
        <v>41033.212</v>
      </c>
      <c r="H22" s="9">
        <f t="shared" si="5"/>
        <v>268</v>
      </c>
      <c r="I22" s="48" t="s">
        <v>126</v>
      </c>
      <c r="J22" s="49" t="s">
        <v>127</v>
      </c>
      <c r="K22" s="48">
        <v>268</v>
      </c>
      <c r="L22" s="48" t="s">
        <v>96</v>
      </c>
      <c r="M22" s="49" t="s">
        <v>117</v>
      </c>
      <c r="N22" s="49" t="s">
        <v>118</v>
      </c>
      <c r="O22" s="50" t="s">
        <v>119</v>
      </c>
      <c r="P22" s="50" t="s">
        <v>120</v>
      </c>
    </row>
    <row r="23" spans="1:16" ht="12.75" customHeight="1" thickBot="1" x14ac:dyDescent="0.25">
      <c r="A23" s="9" t="str">
        <f t="shared" si="0"/>
        <v> BBS 18 </v>
      </c>
      <c r="B23" s="13" t="str">
        <f t="shared" si="1"/>
        <v>I</v>
      </c>
      <c r="C23" s="9">
        <f t="shared" si="2"/>
        <v>42354.667999999998</v>
      </c>
      <c r="D23" s="11" t="str">
        <f t="shared" si="3"/>
        <v>vis</v>
      </c>
      <c r="E23" s="47">
        <f>VLOOKUP(C23,Active!C$21:E$973,3,FALSE)</f>
        <v>722.99949888093522</v>
      </c>
      <c r="F23" s="13" t="s">
        <v>64</v>
      </c>
      <c r="G23" s="11" t="str">
        <f t="shared" si="4"/>
        <v>42354.668</v>
      </c>
      <c r="H23" s="9">
        <f t="shared" si="5"/>
        <v>723</v>
      </c>
      <c r="I23" s="48" t="s">
        <v>133</v>
      </c>
      <c r="J23" s="49" t="s">
        <v>134</v>
      </c>
      <c r="K23" s="48">
        <v>723</v>
      </c>
      <c r="L23" s="48" t="s">
        <v>96</v>
      </c>
      <c r="M23" s="49" t="s">
        <v>80</v>
      </c>
      <c r="N23" s="49"/>
      <c r="O23" s="50" t="s">
        <v>131</v>
      </c>
      <c r="P23" s="50" t="s">
        <v>135</v>
      </c>
    </row>
    <row r="24" spans="1:16" ht="12.75" customHeight="1" thickBot="1" x14ac:dyDescent="0.25">
      <c r="A24" s="9" t="str">
        <f t="shared" si="0"/>
        <v> BBS 27 </v>
      </c>
      <c r="B24" s="13" t="str">
        <f t="shared" si="1"/>
        <v>I</v>
      </c>
      <c r="C24" s="9">
        <f t="shared" si="2"/>
        <v>42848.400999999998</v>
      </c>
      <c r="D24" s="11" t="str">
        <f t="shared" si="3"/>
        <v>vis</v>
      </c>
      <c r="E24" s="47">
        <f>VLOOKUP(C24,Active!C$21:E$973,3,FALSE)</f>
        <v>893.00019922185743</v>
      </c>
      <c r="F24" s="13" t="s">
        <v>64</v>
      </c>
      <c r="G24" s="11" t="str">
        <f t="shared" si="4"/>
        <v>42848.401</v>
      </c>
      <c r="H24" s="9">
        <f t="shared" si="5"/>
        <v>893</v>
      </c>
      <c r="I24" s="48" t="s">
        <v>136</v>
      </c>
      <c r="J24" s="49" t="s">
        <v>137</v>
      </c>
      <c r="K24" s="48">
        <v>893</v>
      </c>
      <c r="L24" s="48" t="s">
        <v>88</v>
      </c>
      <c r="M24" s="49" t="s">
        <v>80</v>
      </c>
      <c r="N24" s="49"/>
      <c r="O24" s="50" t="s">
        <v>138</v>
      </c>
      <c r="P24" s="50" t="s">
        <v>139</v>
      </c>
    </row>
    <row r="25" spans="1:16" ht="12.75" customHeight="1" thickBot="1" x14ac:dyDescent="0.25">
      <c r="A25" s="9" t="str">
        <f t="shared" si="0"/>
        <v> BBS 37 </v>
      </c>
      <c r="B25" s="13" t="str">
        <f t="shared" si="1"/>
        <v>I</v>
      </c>
      <c r="C25" s="9">
        <f t="shared" si="2"/>
        <v>43577.372000000003</v>
      </c>
      <c r="D25" s="11" t="str">
        <f t="shared" si="3"/>
        <v>vis</v>
      </c>
      <c r="E25" s="47">
        <f>VLOOKUP(C25,Active!C$21:E$973,3,FALSE)</f>
        <v>1143.9973586748881</v>
      </c>
      <c r="F25" s="13" t="s">
        <v>64</v>
      </c>
      <c r="G25" s="11" t="str">
        <f t="shared" si="4"/>
        <v>43577.372</v>
      </c>
      <c r="H25" s="9">
        <f t="shared" si="5"/>
        <v>1144</v>
      </c>
      <c r="I25" s="48" t="s">
        <v>140</v>
      </c>
      <c r="J25" s="49" t="s">
        <v>141</v>
      </c>
      <c r="K25" s="48">
        <v>1144</v>
      </c>
      <c r="L25" s="48" t="s">
        <v>142</v>
      </c>
      <c r="M25" s="49" t="s">
        <v>80</v>
      </c>
      <c r="N25" s="49"/>
      <c r="O25" s="50" t="s">
        <v>138</v>
      </c>
      <c r="P25" s="50" t="s">
        <v>143</v>
      </c>
    </row>
    <row r="26" spans="1:16" ht="12.75" customHeight="1" thickBot="1" x14ac:dyDescent="0.25">
      <c r="A26" s="9" t="str">
        <f t="shared" si="0"/>
        <v>IBVS 2185 </v>
      </c>
      <c r="B26" s="13" t="str">
        <f t="shared" si="1"/>
        <v>I</v>
      </c>
      <c r="C26" s="9">
        <f t="shared" si="2"/>
        <v>44236.653200000001</v>
      </c>
      <c r="D26" s="11" t="str">
        <f t="shared" si="3"/>
        <v>vis</v>
      </c>
      <c r="E26" s="47">
        <f>VLOOKUP(C26,Active!C$21:E$973,3,FALSE)</f>
        <v>1370.9991303239435</v>
      </c>
      <c r="F26" s="13" t="s">
        <v>64</v>
      </c>
      <c r="G26" s="11" t="str">
        <f t="shared" si="4"/>
        <v>44236.6532</v>
      </c>
      <c r="H26" s="9">
        <f t="shared" si="5"/>
        <v>1371</v>
      </c>
      <c r="I26" s="48" t="s">
        <v>144</v>
      </c>
      <c r="J26" s="49" t="s">
        <v>145</v>
      </c>
      <c r="K26" s="48">
        <v>1371</v>
      </c>
      <c r="L26" s="48" t="s">
        <v>146</v>
      </c>
      <c r="M26" s="49" t="s">
        <v>117</v>
      </c>
      <c r="N26" s="49" t="s">
        <v>118</v>
      </c>
      <c r="O26" s="50" t="s">
        <v>147</v>
      </c>
      <c r="P26" s="51" t="s">
        <v>148</v>
      </c>
    </row>
    <row r="27" spans="1:16" ht="12.75" customHeight="1" thickBot="1" x14ac:dyDescent="0.25">
      <c r="A27" s="9" t="str">
        <f t="shared" si="0"/>
        <v>IBVS 5745 </v>
      </c>
      <c r="B27" s="13" t="str">
        <f t="shared" si="1"/>
        <v>I</v>
      </c>
      <c r="C27" s="9">
        <f t="shared" si="2"/>
        <v>47971.587599999999</v>
      </c>
      <c r="D27" s="11" t="str">
        <f t="shared" si="3"/>
        <v>vis</v>
      </c>
      <c r="E27" s="47">
        <f>VLOOKUP(C27,Active!C$21:E$973,3,FALSE)</f>
        <v>2657.0008027408194</v>
      </c>
      <c r="F27" s="13" t="s">
        <v>64</v>
      </c>
      <c r="G27" s="11" t="str">
        <f t="shared" si="4"/>
        <v>47971.5876</v>
      </c>
      <c r="H27" s="9">
        <f t="shared" si="5"/>
        <v>2657</v>
      </c>
      <c r="I27" s="48" t="s">
        <v>149</v>
      </c>
      <c r="J27" s="49" t="s">
        <v>150</v>
      </c>
      <c r="K27" s="48">
        <v>2657</v>
      </c>
      <c r="L27" s="48" t="s">
        <v>151</v>
      </c>
      <c r="M27" s="49" t="s">
        <v>117</v>
      </c>
      <c r="N27" s="49" t="s">
        <v>118</v>
      </c>
      <c r="O27" s="50" t="s">
        <v>152</v>
      </c>
      <c r="P27" s="51" t="s">
        <v>153</v>
      </c>
    </row>
    <row r="28" spans="1:16" ht="12.75" customHeight="1" thickBot="1" x14ac:dyDescent="0.25">
      <c r="A28" s="9" t="str">
        <f t="shared" si="0"/>
        <v>IBVS 5745 </v>
      </c>
      <c r="B28" s="13" t="str">
        <f t="shared" si="1"/>
        <v>I</v>
      </c>
      <c r="C28" s="9">
        <f t="shared" si="2"/>
        <v>52702.693599999999</v>
      </c>
      <c r="D28" s="11" t="str">
        <f t="shared" si="3"/>
        <v>vis</v>
      </c>
      <c r="E28" s="47">
        <f>VLOOKUP(C28,Active!C$21:E$973,3,FALSE)</f>
        <v>4286.0013625315132</v>
      </c>
      <c r="F28" s="13" t="s">
        <v>64</v>
      </c>
      <c r="G28" s="11" t="str">
        <f t="shared" si="4"/>
        <v>52702.6936</v>
      </c>
      <c r="H28" s="9">
        <f t="shared" si="5"/>
        <v>4286</v>
      </c>
      <c r="I28" s="48" t="s">
        <v>161</v>
      </c>
      <c r="J28" s="49" t="s">
        <v>162</v>
      </c>
      <c r="K28" s="48">
        <v>4286</v>
      </c>
      <c r="L28" s="48" t="s">
        <v>163</v>
      </c>
      <c r="M28" s="49" t="s">
        <v>117</v>
      </c>
      <c r="N28" s="49" t="s">
        <v>118</v>
      </c>
      <c r="O28" s="50" t="s">
        <v>152</v>
      </c>
      <c r="P28" s="51" t="s">
        <v>153</v>
      </c>
    </row>
    <row r="29" spans="1:16" ht="12.75" customHeight="1" thickBot="1" x14ac:dyDescent="0.25">
      <c r="A29" s="9" t="str">
        <f t="shared" si="0"/>
        <v>IBVS 5894 </v>
      </c>
      <c r="B29" s="13" t="str">
        <f t="shared" si="1"/>
        <v>I</v>
      </c>
      <c r="C29" s="9">
        <f t="shared" si="2"/>
        <v>54848.971799999999</v>
      </c>
      <c r="D29" s="11" t="str">
        <f t="shared" si="3"/>
        <v>vis</v>
      </c>
      <c r="E29" s="47">
        <f>VLOOKUP(C29,Active!C$21:E$973,3,FALSE)</f>
        <v>5025.0015855801121</v>
      </c>
      <c r="F29" s="13" t="s">
        <v>64</v>
      </c>
      <c r="G29" s="11" t="str">
        <f t="shared" si="4"/>
        <v>54848.9718</v>
      </c>
      <c r="H29" s="9">
        <f t="shared" si="5"/>
        <v>5025</v>
      </c>
      <c r="I29" s="48" t="s">
        <v>169</v>
      </c>
      <c r="J29" s="49" t="s">
        <v>170</v>
      </c>
      <c r="K29" s="48">
        <v>5025</v>
      </c>
      <c r="L29" s="48" t="s">
        <v>171</v>
      </c>
      <c r="M29" s="49" t="s">
        <v>172</v>
      </c>
      <c r="N29" s="49" t="s">
        <v>64</v>
      </c>
      <c r="O29" s="50" t="s">
        <v>173</v>
      </c>
      <c r="P29" s="51" t="s">
        <v>174</v>
      </c>
    </row>
    <row r="30" spans="1:16" ht="12.75" customHeight="1" thickBot="1" x14ac:dyDescent="0.25">
      <c r="A30" s="9" t="str">
        <f t="shared" si="0"/>
        <v>BAVM 209 </v>
      </c>
      <c r="B30" s="13" t="str">
        <f t="shared" si="1"/>
        <v>I</v>
      </c>
      <c r="C30" s="9">
        <f t="shared" si="2"/>
        <v>54866.397599999997</v>
      </c>
      <c r="D30" s="11" t="str">
        <f t="shared" si="3"/>
        <v>vis</v>
      </c>
      <c r="E30" s="47">
        <f>VLOOKUP(C30,Active!C$21:E$973,3,FALSE)</f>
        <v>5031.0015859932919</v>
      </c>
      <c r="F30" s="13" t="s">
        <v>64</v>
      </c>
      <c r="G30" s="11" t="str">
        <f t="shared" si="4"/>
        <v>54866.3976</v>
      </c>
      <c r="H30" s="9">
        <f t="shared" si="5"/>
        <v>5031</v>
      </c>
      <c r="I30" s="48" t="s">
        <v>175</v>
      </c>
      <c r="J30" s="49" t="s">
        <v>176</v>
      </c>
      <c r="K30" s="48">
        <v>5031</v>
      </c>
      <c r="L30" s="48" t="s">
        <v>171</v>
      </c>
      <c r="M30" s="49" t="s">
        <v>172</v>
      </c>
      <c r="N30" s="49" t="s">
        <v>177</v>
      </c>
      <c r="O30" s="50" t="s">
        <v>178</v>
      </c>
      <c r="P30" s="51" t="s">
        <v>179</v>
      </c>
    </row>
    <row r="31" spans="1:16" ht="12.75" customHeight="1" thickBot="1" x14ac:dyDescent="0.25">
      <c r="A31" s="9" t="str">
        <f t="shared" si="0"/>
        <v> JAAVSO 40;975 </v>
      </c>
      <c r="B31" s="13" t="str">
        <f t="shared" si="1"/>
        <v>I</v>
      </c>
      <c r="C31" s="9">
        <f t="shared" si="2"/>
        <v>55923.562100000003</v>
      </c>
      <c r="D31" s="11" t="str">
        <f t="shared" si="3"/>
        <v>vis</v>
      </c>
      <c r="E31" s="47">
        <f>VLOOKUP(C31,Active!C$21:E$973,3,FALSE)</f>
        <v>5395.0013700376267</v>
      </c>
      <c r="F31" s="13" t="s">
        <v>64</v>
      </c>
      <c r="G31" s="11" t="str">
        <f t="shared" si="4"/>
        <v>55923.5621</v>
      </c>
      <c r="H31" s="9">
        <f t="shared" si="5"/>
        <v>5395</v>
      </c>
      <c r="I31" s="48" t="s">
        <v>180</v>
      </c>
      <c r="J31" s="49" t="s">
        <v>181</v>
      </c>
      <c r="K31" s="48" t="s">
        <v>182</v>
      </c>
      <c r="L31" s="48" t="s">
        <v>163</v>
      </c>
      <c r="M31" s="49" t="s">
        <v>172</v>
      </c>
      <c r="N31" s="49" t="s">
        <v>183</v>
      </c>
      <c r="O31" s="50" t="s">
        <v>184</v>
      </c>
      <c r="P31" s="50" t="s">
        <v>185</v>
      </c>
    </row>
    <row r="32" spans="1:16" ht="12.75" customHeight="1" thickBot="1" x14ac:dyDescent="0.25">
      <c r="A32" s="9" t="str">
        <f t="shared" si="0"/>
        <v> HB 889 </v>
      </c>
      <c r="B32" s="13" t="str">
        <f t="shared" si="1"/>
        <v>I</v>
      </c>
      <c r="C32" s="9">
        <f t="shared" si="2"/>
        <v>21925.825000000001</v>
      </c>
      <c r="D32" s="11" t="str">
        <f t="shared" si="3"/>
        <v>vis</v>
      </c>
      <c r="E32" s="47">
        <f>VLOOKUP(C32,Active!C$21:E$973,3,FALSE)</f>
        <v>-6310.9998836896921</v>
      </c>
      <c r="F32" s="13" t="s">
        <v>64</v>
      </c>
      <c r="G32" s="11" t="str">
        <f t="shared" si="4"/>
        <v>21925.825</v>
      </c>
      <c r="H32" s="9">
        <f t="shared" si="5"/>
        <v>-6311</v>
      </c>
      <c r="I32" s="48" t="s">
        <v>67</v>
      </c>
      <c r="J32" s="49" t="s">
        <v>68</v>
      </c>
      <c r="K32" s="48">
        <v>-6311</v>
      </c>
      <c r="L32" s="48" t="s">
        <v>69</v>
      </c>
      <c r="M32" s="49" t="s">
        <v>66</v>
      </c>
      <c r="N32" s="49"/>
      <c r="O32" s="50" t="s">
        <v>70</v>
      </c>
      <c r="P32" s="50" t="s">
        <v>71</v>
      </c>
    </row>
    <row r="33" spans="1:16" ht="12.75" customHeight="1" thickBot="1" x14ac:dyDescent="0.25">
      <c r="A33" s="9" t="str">
        <f t="shared" si="0"/>
        <v> HA 113.74 </v>
      </c>
      <c r="B33" s="13" t="str">
        <f t="shared" si="1"/>
        <v>I</v>
      </c>
      <c r="C33" s="9">
        <f t="shared" si="2"/>
        <v>23535.600999999999</v>
      </c>
      <c r="D33" s="11" t="str">
        <f t="shared" si="3"/>
        <v>vis</v>
      </c>
      <c r="E33" s="47">
        <f>VLOOKUP(C33,Active!C$21:E$973,3,FALSE)</f>
        <v>-5756.7265266485228</v>
      </c>
      <c r="F33" s="13" t="s">
        <v>64</v>
      </c>
      <c r="G33" s="11" t="str">
        <f t="shared" si="4"/>
        <v>23535.601</v>
      </c>
      <c r="H33" s="9">
        <f t="shared" si="5"/>
        <v>-5757</v>
      </c>
      <c r="I33" s="48" t="s">
        <v>72</v>
      </c>
      <c r="J33" s="49" t="s">
        <v>73</v>
      </c>
      <c r="K33" s="48">
        <v>-5757</v>
      </c>
      <c r="L33" s="48" t="s">
        <v>74</v>
      </c>
      <c r="M33" s="49" t="s">
        <v>66</v>
      </c>
      <c r="N33" s="49"/>
      <c r="O33" s="50" t="s">
        <v>75</v>
      </c>
      <c r="P33" s="50" t="s">
        <v>76</v>
      </c>
    </row>
    <row r="34" spans="1:16" ht="12.75" customHeight="1" thickBot="1" x14ac:dyDescent="0.25">
      <c r="A34" s="9" t="str">
        <f t="shared" si="0"/>
        <v> AVSJ 3.61 </v>
      </c>
      <c r="B34" s="13" t="str">
        <f t="shared" si="1"/>
        <v>I</v>
      </c>
      <c r="C34" s="9">
        <f t="shared" si="2"/>
        <v>39926.673000000003</v>
      </c>
      <c r="D34" s="11" t="str">
        <f t="shared" si="3"/>
        <v>vis</v>
      </c>
      <c r="E34" s="47">
        <f>VLOOKUP(C34,Active!C$21:E$973,3,FALSE)</f>
        <v>-113.00062755229159</v>
      </c>
      <c r="F34" s="13" t="s">
        <v>64</v>
      </c>
      <c r="G34" s="11" t="str">
        <f t="shared" si="4"/>
        <v>39926.673</v>
      </c>
      <c r="H34" s="9">
        <f t="shared" si="5"/>
        <v>-113</v>
      </c>
      <c r="I34" s="48" t="s">
        <v>106</v>
      </c>
      <c r="J34" s="49" t="s">
        <v>107</v>
      </c>
      <c r="K34" s="48">
        <v>-113</v>
      </c>
      <c r="L34" s="48" t="s">
        <v>108</v>
      </c>
      <c r="M34" s="49" t="s">
        <v>80</v>
      </c>
      <c r="N34" s="49"/>
      <c r="O34" s="50" t="s">
        <v>109</v>
      </c>
      <c r="P34" s="50" t="s">
        <v>110</v>
      </c>
    </row>
    <row r="35" spans="1:16" ht="12.75" customHeight="1" thickBot="1" x14ac:dyDescent="0.25">
      <c r="A35" s="9" t="str">
        <f t="shared" si="0"/>
        <v> AJ 75.722 </v>
      </c>
      <c r="B35" s="13" t="str">
        <f t="shared" si="1"/>
        <v>I</v>
      </c>
      <c r="C35" s="9">
        <f t="shared" si="2"/>
        <v>40254.860999999997</v>
      </c>
      <c r="D35" s="11" t="str">
        <f t="shared" si="3"/>
        <v>vis</v>
      </c>
      <c r="E35" s="47">
        <f>VLOOKUP(C35,Active!C$21:E$973,3,FALSE)</f>
        <v>1.0329512115013752E-4</v>
      </c>
      <c r="F35" s="13" t="s">
        <v>64</v>
      </c>
      <c r="G35" s="11" t="str">
        <f t="shared" si="4"/>
        <v>40254.861</v>
      </c>
      <c r="H35" s="9">
        <f t="shared" si="5"/>
        <v>0</v>
      </c>
      <c r="I35" s="48" t="s">
        <v>111</v>
      </c>
      <c r="J35" s="49" t="s">
        <v>112</v>
      </c>
      <c r="K35" s="48">
        <v>0</v>
      </c>
      <c r="L35" s="48" t="s">
        <v>69</v>
      </c>
      <c r="M35" s="49" t="s">
        <v>80</v>
      </c>
      <c r="N35" s="49"/>
      <c r="O35" s="50" t="s">
        <v>113</v>
      </c>
      <c r="P35" s="50" t="s">
        <v>114</v>
      </c>
    </row>
    <row r="36" spans="1:16" ht="12.75" customHeight="1" thickBot="1" x14ac:dyDescent="0.25">
      <c r="A36" s="9" t="str">
        <f t="shared" si="0"/>
        <v> BBS 8 </v>
      </c>
      <c r="B36" s="13" t="str">
        <f t="shared" si="1"/>
        <v>II</v>
      </c>
      <c r="C36" s="9">
        <f t="shared" si="2"/>
        <v>41743.305</v>
      </c>
      <c r="D36" s="11" t="str">
        <f t="shared" si="3"/>
        <v>vis</v>
      </c>
      <c r="E36" s="47">
        <f>VLOOKUP(C36,Active!C$21:E$973,3,FALSE)</f>
        <v>512.49678149618126</v>
      </c>
      <c r="F36" s="13" t="s">
        <v>64</v>
      </c>
      <c r="G36" s="11" t="str">
        <f t="shared" si="4"/>
        <v>41743.305</v>
      </c>
      <c r="H36" s="9">
        <f t="shared" si="5"/>
        <v>512.5</v>
      </c>
      <c r="I36" s="48" t="s">
        <v>128</v>
      </c>
      <c r="J36" s="49" t="s">
        <v>129</v>
      </c>
      <c r="K36" s="48">
        <v>512.5</v>
      </c>
      <c r="L36" s="48" t="s">
        <v>130</v>
      </c>
      <c r="M36" s="49" t="s">
        <v>80</v>
      </c>
      <c r="N36" s="49"/>
      <c r="O36" s="50" t="s">
        <v>131</v>
      </c>
      <c r="P36" s="50" t="s">
        <v>132</v>
      </c>
    </row>
    <row r="37" spans="1:16" ht="12.75" customHeight="1" thickBot="1" x14ac:dyDescent="0.25">
      <c r="A37" s="9" t="str">
        <f t="shared" si="0"/>
        <v>BAVM 122 </v>
      </c>
      <c r="B37" s="13" t="str">
        <f t="shared" si="1"/>
        <v>I</v>
      </c>
      <c r="C37" s="9">
        <f t="shared" si="2"/>
        <v>51253.434000000001</v>
      </c>
      <c r="D37" s="11" t="str">
        <f t="shared" si="3"/>
        <v>vis</v>
      </c>
      <c r="E37" s="47">
        <f>VLOOKUP(C37,Active!C$21:E$973,3,FALSE)</f>
        <v>3786.9965421613856</v>
      </c>
      <c r="F37" s="13" t="s">
        <v>64</v>
      </c>
      <c r="G37" s="11" t="str">
        <f t="shared" si="4"/>
        <v>51253.434</v>
      </c>
      <c r="H37" s="9">
        <f t="shared" si="5"/>
        <v>3787</v>
      </c>
      <c r="I37" s="48" t="s">
        <v>154</v>
      </c>
      <c r="J37" s="49" t="s">
        <v>155</v>
      </c>
      <c r="K37" s="48">
        <v>3787</v>
      </c>
      <c r="L37" s="48" t="s">
        <v>102</v>
      </c>
      <c r="M37" s="49" t="s">
        <v>80</v>
      </c>
      <c r="N37" s="49"/>
      <c r="O37" s="50" t="s">
        <v>156</v>
      </c>
      <c r="P37" s="51" t="s">
        <v>157</v>
      </c>
    </row>
    <row r="38" spans="1:16" ht="12.75" customHeight="1" thickBot="1" x14ac:dyDescent="0.25">
      <c r="A38" s="9" t="str">
        <f t="shared" si="0"/>
        <v>BAVM 122 </v>
      </c>
      <c r="B38" s="13" t="str">
        <f t="shared" si="1"/>
        <v>I</v>
      </c>
      <c r="C38" s="9">
        <f t="shared" si="2"/>
        <v>51256.351999999999</v>
      </c>
      <c r="D38" s="11" t="str">
        <f t="shared" si="3"/>
        <v>vis</v>
      </c>
      <c r="E38" s="47">
        <f>VLOOKUP(C38,Active!C$21:E$973,3,FALSE)</f>
        <v>3788.0012593741189</v>
      </c>
      <c r="F38" s="13" t="s">
        <v>64</v>
      </c>
      <c r="G38" s="11" t="str">
        <f t="shared" si="4"/>
        <v>51256.352</v>
      </c>
      <c r="H38" s="9">
        <f t="shared" si="5"/>
        <v>3788</v>
      </c>
      <c r="I38" s="48" t="s">
        <v>158</v>
      </c>
      <c r="J38" s="49" t="s">
        <v>159</v>
      </c>
      <c r="K38" s="48">
        <v>3788</v>
      </c>
      <c r="L38" s="48" t="s">
        <v>160</v>
      </c>
      <c r="M38" s="49" t="s">
        <v>80</v>
      </c>
      <c r="N38" s="49"/>
      <c r="O38" s="50" t="s">
        <v>156</v>
      </c>
      <c r="P38" s="51" t="s">
        <v>157</v>
      </c>
    </row>
    <row r="39" spans="1:16" ht="12.75" customHeight="1" thickBot="1" x14ac:dyDescent="0.25">
      <c r="A39" s="9" t="str">
        <f t="shared" si="0"/>
        <v>VSB 45 </v>
      </c>
      <c r="B39" s="13" t="str">
        <f t="shared" si="1"/>
        <v>I</v>
      </c>
      <c r="C39" s="9">
        <f t="shared" si="2"/>
        <v>53846.987500000003</v>
      </c>
      <c r="D39" s="11" t="str">
        <f t="shared" si="3"/>
        <v>vis</v>
      </c>
      <c r="E39" s="47">
        <f>VLOOKUP(C39,Active!C$21:E$973,3,FALSE)</f>
        <v>4680.0012863685788</v>
      </c>
      <c r="F39" s="13" t="s">
        <v>64</v>
      </c>
      <c r="G39" s="11" t="str">
        <f t="shared" si="4"/>
        <v>53846.9875</v>
      </c>
      <c r="H39" s="9">
        <f t="shared" si="5"/>
        <v>4680</v>
      </c>
      <c r="I39" s="48" t="s">
        <v>164</v>
      </c>
      <c r="J39" s="49" t="s">
        <v>165</v>
      </c>
      <c r="K39" s="48">
        <v>4680</v>
      </c>
      <c r="L39" s="48" t="s">
        <v>166</v>
      </c>
      <c r="M39" s="49" t="s">
        <v>117</v>
      </c>
      <c r="N39" s="49" t="s">
        <v>118</v>
      </c>
      <c r="O39" s="50" t="s">
        <v>167</v>
      </c>
      <c r="P39" s="51" t="s">
        <v>168</v>
      </c>
    </row>
    <row r="40" spans="1:16" x14ac:dyDescent="0.2">
      <c r="B40" s="13"/>
      <c r="F40" s="13"/>
    </row>
    <row r="41" spans="1:16" x14ac:dyDescent="0.2">
      <c r="B41" s="13"/>
      <c r="F41" s="13"/>
    </row>
    <row r="42" spans="1:16" x14ac:dyDescent="0.2">
      <c r="B42" s="13"/>
      <c r="F42" s="13"/>
    </row>
    <row r="43" spans="1:16" x14ac:dyDescent="0.2">
      <c r="B43" s="13"/>
      <c r="F43" s="13"/>
    </row>
    <row r="44" spans="1:16" x14ac:dyDescent="0.2">
      <c r="B44" s="13"/>
      <c r="F44" s="13"/>
    </row>
    <row r="45" spans="1:16" x14ac:dyDescent="0.2">
      <c r="B45" s="13"/>
      <c r="F45" s="13"/>
    </row>
    <row r="46" spans="1:16" x14ac:dyDescent="0.2">
      <c r="B46" s="13"/>
      <c r="F46" s="13"/>
    </row>
    <row r="47" spans="1:16" x14ac:dyDescent="0.2">
      <c r="B47" s="13"/>
      <c r="F47" s="13"/>
    </row>
    <row r="48" spans="1:16" x14ac:dyDescent="0.2">
      <c r="B48" s="13"/>
      <c r="F48" s="13"/>
    </row>
    <row r="49" spans="2:6" x14ac:dyDescent="0.2">
      <c r="B49" s="13"/>
      <c r="F49" s="13"/>
    </row>
    <row r="50" spans="2:6" x14ac:dyDescent="0.2">
      <c r="B50" s="13"/>
      <c r="F50" s="13"/>
    </row>
    <row r="51" spans="2:6" x14ac:dyDescent="0.2">
      <c r="B51" s="13"/>
      <c r="F51" s="13"/>
    </row>
    <row r="52" spans="2:6" x14ac:dyDescent="0.2">
      <c r="B52" s="13"/>
      <c r="F52" s="13"/>
    </row>
    <row r="53" spans="2:6" x14ac:dyDescent="0.2">
      <c r="B53" s="13"/>
      <c r="F53" s="13"/>
    </row>
    <row r="54" spans="2:6" x14ac:dyDescent="0.2">
      <c r="B54" s="13"/>
      <c r="F54" s="13"/>
    </row>
    <row r="55" spans="2:6" x14ac:dyDescent="0.2">
      <c r="B55" s="13"/>
      <c r="F55" s="13"/>
    </row>
    <row r="56" spans="2:6" x14ac:dyDescent="0.2">
      <c r="B56" s="13"/>
      <c r="F56" s="13"/>
    </row>
    <row r="57" spans="2:6" x14ac:dyDescent="0.2">
      <c r="B57" s="13"/>
      <c r="F57" s="13"/>
    </row>
    <row r="58" spans="2:6" x14ac:dyDescent="0.2">
      <c r="B58" s="13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</sheetData>
  <phoneticPr fontId="7" type="noConversion"/>
  <hyperlinks>
    <hyperlink ref="P26" r:id="rId1" display="http://www.konkoly.hu/cgi-bin/IBVS?2185" xr:uid="{00000000-0004-0000-0100-000000000000}"/>
    <hyperlink ref="P27" r:id="rId2" display="http://www.konkoly.hu/cgi-bin/IBVS?5745" xr:uid="{00000000-0004-0000-0100-000001000000}"/>
    <hyperlink ref="P37" r:id="rId3" display="http://www.bav-astro.de/sfs/BAVM_link.php?BAVMnr=122" xr:uid="{00000000-0004-0000-0100-000002000000}"/>
    <hyperlink ref="P38" r:id="rId4" display="http://www.bav-astro.de/sfs/BAVM_link.php?BAVMnr=122" xr:uid="{00000000-0004-0000-0100-000003000000}"/>
    <hyperlink ref="P28" r:id="rId5" display="http://www.konkoly.hu/cgi-bin/IBVS?5745" xr:uid="{00000000-0004-0000-0100-000004000000}"/>
    <hyperlink ref="P39" r:id="rId6" display="http://vsolj.cetus-net.org/no45.pdf" xr:uid="{00000000-0004-0000-0100-000005000000}"/>
    <hyperlink ref="P29" r:id="rId7" display="http://www.konkoly.hu/cgi-bin/IBVS?5894" xr:uid="{00000000-0004-0000-0100-000006000000}"/>
    <hyperlink ref="P30" r:id="rId8" display="http://www.bav-astro.de/sfs/BAVM_link.php?BAVMnr=209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2024-02-16T04:00:57Z</dcterms:modified>
</cp:coreProperties>
</file>