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05A51C-55B1-4E61-A168-A1A889D35F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8" i="1"/>
  <c r="Q31" i="1"/>
  <c r="Q32" i="1"/>
  <c r="Q35" i="1"/>
  <c r="G18" i="2"/>
  <c r="C18" i="2"/>
  <c r="G17" i="2"/>
  <c r="C17" i="2"/>
  <c r="G27" i="2"/>
  <c r="C27" i="2"/>
  <c r="G16" i="2"/>
  <c r="C16" i="2"/>
  <c r="G15" i="2"/>
  <c r="C15" i="2"/>
  <c r="G26" i="2"/>
  <c r="C26" i="2"/>
  <c r="G25" i="2"/>
  <c r="C25" i="2"/>
  <c r="G14" i="2"/>
  <c r="C14" i="2"/>
  <c r="G13" i="2"/>
  <c r="C13" i="2"/>
  <c r="G24" i="2"/>
  <c r="C24" i="2"/>
  <c r="G12" i="2"/>
  <c r="C12" i="2"/>
  <c r="G23" i="2"/>
  <c r="C23" i="2"/>
  <c r="G22" i="2"/>
  <c r="C22" i="2"/>
  <c r="G21" i="2"/>
  <c r="C21" i="2"/>
  <c r="G20" i="2"/>
  <c r="C20" i="2"/>
  <c r="G19" i="2"/>
  <c r="C19" i="2"/>
  <c r="G11" i="2"/>
  <c r="C11" i="2"/>
  <c r="H18" i="2"/>
  <c r="B18" i="2"/>
  <c r="D18" i="2"/>
  <c r="A18" i="2"/>
  <c r="H17" i="2"/>
  <c r="B17" i="2"/>
  <c r="D17" i="2"/>
  <c r="A17" i="2"/>
  <c r="H27" i="2"/>
  <c r="B27" i="2"/>
  <c r="D27" i="2"/>
  <c r="A27" i="2"/>
  <c r="H16" i="2"/>
  <c r="B16" i="2"/>
  <c r="D16" i="2"/>
  <c r="A16" i="2"/>
  <c r="H15" i="2"/>
  <c r="B15" i="2"/>
  <c r="D15" i="2"/>
  <c r="A15" i="2"/>
  <c r="H26" i="2"/>
  <c r="B26" i="2"/>
  <c r="D26" i="2"/>
  <c r="A26" i="2"/>
  <c r="H25" i="2"/>
  <c r="B25" i="2"/>
  <c r="D25" i="2"/>
  <c r="A25" i="2"/>
  <c r="H14" i="2"/>
  <c r="B14" i="2"/>
  <c r="D14" i="2"/>
  <c r="A14" i="2"/>
  <c r="H13" i="2"/>
  <c r="B13" i="2"/>
  <c r="D13" i="2"/>
  <c r="A13" i="2"/>
  <c r="H24" i="2"/>
  <c r="B24" i="2"/>
  <c r="D24" i="2"/>
  <c r="A24" i="2"/>
  <c r="H12" i="2"/>
  <c r="B12" i="2"/>
  <c r="D12" i="2"/>
  <c r="A12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1" i="2"/>
  <c r="B11" i="2"/>
  <c r="D11" i="2"/>
  <c r="A11" i="2"/>
  <c r="F11" i="1"/>
  <c r="Q37" i="1"/>
  <c r="Q36" i="1"/>
  <c r="Q33" i="1"/>
  <c r="Q34" i="1"/>
  <c r="G11" i="1"/>
  <c r="E14" i="1"/>
  <c r="C17" i="1"/>
  <c r="Q30" i="1"/>
  <c r="Q29" i="1"/>
  <c r="Q27" i="1"/>
  <c r="C8" i="1"/>
  <c r="C7" i="1"/>
  <c r="E22" i="1"/>
  <c r="F22" i="1"/>
  <c r="Q21" i="1"/>
  <c r="E16" i="2"/>
  <c r="E13" i="2"/>
  <c r="E20" i="2"/>
  <c r="E19" i="2"/>
  <c r="E29" i="1"/>
  <c r="F29" i="1"/>
  <c r="E24" i="1"/>
  <c r="F24" i="1"/>
  <c r="G24" i="1"/>
  <c r="K24" i="1"/>
  <c r="E37" i="1"/>
  <c r="F37" i="1"/>
  <c r="G37" i="1"/>
  <c r="L37" i="1"/>
  <c r="E32" i="1"/>
  <c r="F32" i="1"/>
  <c r="G32" i="1"/>
  <c r="K32" i="1"/>
  <c r="E33" i="1"/>
  <c r="F33" i="1"/>
  <c r="G33" i="1"/>
  <c r="J33" i="1"/>
  <c r="E26" i="1"/>
  <c r="F26" i="1"/>
  <c r="G26" i="1"/>
  <c r="K26" i="1"/>
  <c r="E27" i="1"/>
  <c r="F27" i="1"/>
  <c r="G27" i="1"/>
  <c r="I27" i="1"/>
  <c r="E23" i="1"/>
  <c r="F23" i="1"/>
  <c r="G23" i="1"/>
  <c r="K23" i="1"/>
  <c r="E36" i="1"/>
  <c r="F36" i="1"/>
  <c r="G36" i="1"/>
  <c r="L36" i="1"/>
  <c r="E31" i="1"/>
  <c r="F31" i="1"/>
  <c r="G31" i="1"/>
  <c r="K31" i="1"/>
  <c r="E30" i="1"/>
  <c r="F30" i="1"/>
  <c r="G30" i="1"/>
  <c r="J30" i="1"/>
  <c r="E25" i="1"/>
  <c r="F25" i="1"/>
  <c r="G25" i="1"/>
  <c r="K25" i="1"/>
  <c r="G22" i="1"/>
  <c r="K22" i="1"/>
  <c r="E21" i="1"/>
  <c r="F21" i="1"/>
  <c r="G29" i="1"/>
  <c r="J29" i="1"/>
  <c r="E35" i="1"/>
  <c r="F35" i="1"/>
  <c r="G35" i="1"/>
  <c r="K35" i="1"/>
  <c r="E34" i="1"/>
  <c r="F34" i="1"/>
  <c r="G34" i="1"/>
  <c r="J34" i="1"/>
  <c r="E28" i="1"/>
  <c r="F28" i="1"/>
  <c r="G28" i="1"/>
  <c r="K28" i="1"/>
  <c r="E24" i="2"/>
  <c r="E15" i="2"/>
  <c r="E12" i="2"/>
  <c r="E17" i="2"/>
  <c r="E11" i="2"/>
  <c r="E25" i="2"/>
  <c r="E21" i="2"/>
  <c r="E23" i="2"/>
  <c r="E14" i="2"/>
  <c r="E27" i="2"/>
  <c r="E26" i="2"/>
  <c r="E18" i="2"/>
  <c r="E22" i="2"/>
  <c r="C12" i="1"/>
  <c r="C16" i="1" l="1"/>
  <c r="D18" i="1" s="1"/>
  <c r="E15" i="1"/>
  <c r="C11" i="1"/>
  <c r="O21" i="1" l="1"/>
  <c r="O27" i="1"/>
  <c r="O26" i="1"/>
  <c r="O22" i="1"/>
  <c r="O30" i="1"/>
  <c r="O31" i="1"/>
  <c r="O28" i="1"/>
  <c r="O34" i="1"/>
  <c r="O35" i="1"/>
  <c r="O36" i="1"/>
  <c r="O23" i="1"/>
  <c r="O29" i="1"/>
  <c r="O25" i="1"/>
  <c r="O33" i="1"/>
  <c r="O24" i="1"/>
  <c r="C15" i="1"/>
  <c r="O32" i="1"/>
  <c r="O37" i="1"/>
  <c r="C18" i="1" l="1"/>
  <c r="E16" i="1"/>
  <c r="E17" i="1" s="1"/>
</calcChain>
</file>

<file path=xl/sharedStrings.xml><?xml version="1.0" encoding="utf-8"?>
<sst xmlns="http://schemas.openxmlformats.org/spreadsheetml/2006/main" count="232" uniqueCount="144">
  <si>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</si>
  <si>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</si>
  <si>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</si>
  <si>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</si>
  <si>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</si>
  <si>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</si>
  <si>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</si>
  <si>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</si>
  <si>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</si>
  <si>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</si>
  <si>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</si>
  <si>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</si>
  <si>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</si>
  <si>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</si>
  <si>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</si>
  <si>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</si>
  <si>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</si>
  <si>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</si>
  <si>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</si>
  <si>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</si>
  <si>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</si>
  <si>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</si>
  <si>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</si>
  <si>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</si>
  <si>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</si>
  <si>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</si>
  <si>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</si>
  <si>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</si>
  <si>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Bull.90</t>
  </si>
  <si>
    <t>B</t>
  </si>
  <si>
    <t>BBSAG</t>
  </si>
  <si>
    <t>IBVS 4887</t>
  </si>
  <si>
    <t>I</t>
  </si>
  <si>
    <t>IBVS</t>
  </si>
  <si>
    <t># of data points:</t>
  </si>
  <si>
    <t>IBVS 5731</t>
  </si>
  <si>
    <t>EQ Lac / gsc 3610-1331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</si>
  <si>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</si>
  <si>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</si>
  <si>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</si>
  <si>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</si>
  <si>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</si>
  <si>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</si>
  <si>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</si>
  <si>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</si>
  <si>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</si>
  <si>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</si>
  <si>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IBVS 6010</t>
  </si>
  <si>
    <t>IBVS 6118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</si>
  <si>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</si>
  <si>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</si>
  <si>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</si>
  <si>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</si>
  <si>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</si>
  <si>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</si>
  <si>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</si>
  <si>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</si>
  <si>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</si>
  <si>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</si>
  <si>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</si>
  <si>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</si>
  <si>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</si>
  <si>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2432800.522 </t>
  </si>
  <si>
    <t> 06.09.1948 00:31 </t>
  </si>
  <si>
    <t> 0.000 </t>
  </si>
  <si>
    <t> N.E.Kurochkin </t>
  </si>
  <si>
    <t> PZ 9.228 </t>
  </si>
  <si>
    <t>2446300.526 </t>
  </si>
  <si>
    <t> 23.08.1985 00:37 </t>
  </si>
  <si>
    <t> 0.094 </t>
  </si>
  <si>
    <t>V </t>
  </si>
  <si>
    <t> V.Wagner </t>
  </si>
  <si>
    <t> BRNO 27 </t>
  </si>
  <si>
    <t>2446321.349 </t>
  </si>
  <si>
    <t> 12.09.1985 20:22 </t>
  </si>
  <si>
    <t> 0.088 </t>
  </si>
  <si>
    <t> J.Borovicka </t>
  </si>
  <si>
    <t>2446321.352 </t>
  </si>
  <si>
    <t> 12.09.1985 20:26 </t>
  </si>
  <si>
    <t> 0.091 </t>
  </si>
  <si>
    <t> A.Slatinsky </t>
  </si>
  <si>
    <t>2446360.404 </t>
  </si>
  <si>
    <t> 21.10.1985 21:41 </t>
  </si>
  <si>
    <t>2446373.425 </t>
  </si>
  <si>
    <t> 03.11.1985 22:12 </t>
  </si>
  <si>
    <t>2447524.252 </t>
  </si>
  <si>
    <t> 28.12.1988 18:02 </t>
  </si>
  <si>
    <t> 0.106 </t>
  </si>
  <si>
    <t> K.Locher </t>
  </si>
  <si>
    <t> BBS 90 </t>
  </si>
  <si>
    <t>2449250.462 </t>
  </si>
  <si>
    <t> 19.09.1993 23:05 </t>
  </si>
  <si>
    <t> 0.098 </t>
  </si>
  <si>
    <t> BBS 105 </t>
  </si>
  <si>
    <t>2450643.4101 </t>
  </si>
  <si>
    <t> 13.07.1997 21:50 </t>
  </si>
  <si>
    <t> 0.0952 </t>
  </si>
  <si>
    <t>E </t>
  </si>
  <si>
    <t>?</t>
  </si>
  <si>
    <t> J.Safar </t>
  </si>
  <si>
    <t>IBVS 4887 </t>
  </si>
  <si>
    <t>2453658.3421 </t>
  </si>
  <si>
    <t> 14.10.2005 20:12 </t>
  </si>
  <si>
    <t> 0.0040 </t>
  </si>
  <si>
    <t>C </t>
  </si>
  <si>
    <t>-I</t>
  </si>
  <si>
    <t> Agerer </t>
  </si>
  <si>
    <t>BAVM 178 </t>
  </si>
  <si>
    <t>2455095.5696 </t>
  </si>
  <si>
    <t> 21.09.2009 01:40 </t>
  </si>
  <si>
    <t>8563</t>
  </si>
  <si>
    <t> 0.0183 </t>
  </si>
  <si>
    <t> F.Agerer </t>
  </si>
  <si>
    <t>BAVM 212 </t>
  </si>
  <si>
    <t>2455108.5864 </t>
  </si>
  <si>
    <t> 04.10.2009 02:04 </t>
  </si>
  <si>
    <t>8568</t>
  </si>
  <si>
    <t> 0.0169 </t>
  </si>
  <si>
    <t>2455707.4275 </t>
  </si>
  <si>
    <t> 25.05.2011 22:15 </t>
  </si>
  <si>
    <t>8798</t>
  </si>
  <si>
    <t> 0.0192 </t>
  </si>
  <si>
    <t>o</t>
  </si>
  <si>
    <t> W.Moschner &amp; P.Frank </t>
  </si>
  <si>
    <t>BAVM 220 </t>
  </si>
  <si>
    <t>2455759.5037 </t>
  </si>
  <si>
    <t> 17.07.2011 00:05 </t>
  </si>
  <si>
    <t>8818</t>
  </si>
  <si>
    <t> 0.0225 </t>
  </si>
  <si>
    <t>2455858.4399 </t>
  </si>
  <si>
    <t> 23.10.2011 22:33 </t>
  </si>
  <si>
    <t>8856</t>
  </si>
  <si>
    <t> 0.0201 </t>
  </si>
  <si>
    <t>BAVM 225 </t>
  </si>
  <si>
    <t>2456134.4269 </t>
  </si>
  <si>
    <t> 25.07.2012 22:14 </t>
  </si>
  <si>
    <t>8962</t>
  </si>
  <si>
    <t> 0.0205 </t>
  </si>
  <si>
    <t>BAVM 234 </t>
  </si>
  <si>
    <t>2456928.5312 </t>
  </si>
  <si>
    <t> 28.09.2014 00:44 </t>
  </si>
  <si>
    <t>9267</t>
  </si>
  <si>
    <t> 0.0125 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</si>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</sst>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0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Lac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5C1-AAFA-A5E3F8E148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6">
                  <c:v>0.10621499999979278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A-45C1-AAFA-A5E3F8E148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9.520899999915855E-2</c:v>
                </c:pt>
                <c:pt idx="9">
                  <c:v>3.983000002335757E-3</c:v>
                </c:pt>
                <c:pt idx="12">
                  <c:v>1.9194000000425149E-2</c:v>
                </c:pt>
                <c:pt idx="13">
                  <c:v>2.2454000005382113E-2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4A-45C1-AAFA-A5E3F8E148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9.4304999998712447E-2</c:v>
                </c:pt>
                <c:pt idx="2">
                  <c:v>8.8129000003391411E-2</c:v>
                </c:pt>
                <c:pt idx="3">
                  <c:v>9.1129000000364613E-2</c:v>
                </c:pt>
                <c:pt idx="4">
                  <c:v>8.842400000867201E-2</c:v>
                </c:pt>
                <c:pt idx="5">
                  <c:v>9.1189000006124843E-2</c:v>
                </c:pt>
                <c:pt idx="7">
                  <c:v>9.8253999996813945E-2</c:v>
                </c:pt>
                <c:pt idx="10">
                  <c:v>1.8339000002015382E-2</c:v>
                </c:pt>
                <c:pt idx="11">
                  <c:v>1.6904000003705733E-2</c:v>
                </c:pt>
                <c:pt idx="14">
                  <c:v>2.0067999997991137E-2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4A-45C1-AAFA-A5E3F8E148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5">
                  <c:v>2.0486000001255888E-2</c:v>
                </c:pt>
                <c:pt idx="16">
                  <c:v>1.2451000002329238E-2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4A-45C1-AAFA-A5E3F8E148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4A-45C1-AAFA-A5E3F8E148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8">
                    <c:v>2.0999999999999999E-3</c:v>
                  </c:pt>
                  <c:pt idx="9">
                    <c:v>8.9999999999999998E-4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4A-45C1-AAFA-A5E3F8E148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5185</c:v>
                </c:pt>
                <c:pt idx="2">
                  <c:v>5193</c:v>
                </c:pt>
                <c:pt idx="3">
                  <c:v>5193</c:v>
                </c:pt>
                <c:pt idx="4">
                  <c:v>5208</c:v>
                </c:pt>
                <c:pt idx="5">
                  <c:v>5213</c:v>
                </c:pt>
                <c:pt idx="6">
                  <c:v>5655</c:v>
                </c:pt>
                <c:pt idx="7">
                  <c:v>6318</c:v>
                </c:pt>
                <c:pt idx="8">
                  <c:v>6853</c:v>
                </c:pt>
                <c:pt idx="9">
                  <c:v>8011</c:v>
                </c:pt>
                <c:pt idx="10">
                  <c:v>8563</c:v>
                </c:pt>
                <c:pt idx="11">
                  <c:v>8568</c:v>
                </c:pt>
                <c:pt idx="12">
                  <c:v>8798</c:v>
                </c:pt>
                <c:pt idx="13">
                  <c:v>8818</c:v>
                </c:pt>
                <c:pt idx="14">
                  <c:v>8856</c:v>
                </c:pt>
                <c:pt idx="15">
                  <c:v>8962</c:v>
                </c:pt>
                <c:pt idx="16">
                  <c:v>9267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0.21343469991985498</c:v>
                </c:pt>
                <c:pt idx="1">
                  <c:v>9.9107839869763431E-2</c:v>
                </c:pt>
                <c:pt idx="2">
                  <c:v>9.893144355724641E-2</c:v>
                </c:pt>
                <c:pt idx="3">
                  <c:v>9.893144355724641E-2</c:v>
                </c:pt>
                <c:pt idx="4">
                  <c:v>9.8600700471277003E-2</c:v>
                </c:pt>
                <c:pt idx="5">
                  <c:v>9.8490452775953877E-2</c:v>
                </c:pt>
                <c:pt idx="6">
                  <c:v>8.8744556509388686E-2</c:v>
                </c:pt>
                <c:pt idx="7">
                  <c:v>7.4125712109540914E-2</c:v>
                </c:pt>
                <c:pt idx="8">
                  <c:v>6.2329208709965417E-2</c:v>
                </c:pt>
                <c:pt idx="9">
                  <c:v>3.6795842473127227E-2</c:v>
                </c:pt>
                <c:pt idx="10">
                  <c:v>2.4624496909453064E-2</c:v>
                </c:pt>
                <c:pt idx="11">
                  <c:v>2.4514249214129924E-2</c:v>
                </c:pt>
                <c:pt idx="12">
                  <c:v>1.9442855229265699E-2</c:v>
                </c:pt>
                <c:pt idx="13">
                  <c:v>1.9001864447973166E-2</c:v>
                </c:pt>
                <c:pt idx="14">
                  <c:v>1.8163981963517317E-2</c:v>
                </c:pt>
                <c:pt idx="15">
                  <c:v>1.5826730822666862E-2</c:v>
                </c:pt>
                <c:pt idx="16">
                  <c:v>9.1016214079555902E-3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4A-45C1-AAFA-A5E3F8E14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2648"/>
        <c:axId val="1"/>
      </c:scatterChart>
      <c:valAx>
        <c:axId val="53760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28575</xdr:rowOff>
    </xdr:from>
    <xdr:to>
      <xdr:col>18</xdr:col>
      <xdr:colOff>85724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6E39C8-D99F-4C10-1BE0-2D025F6C7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7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6" sqref="D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s="15" t="s">
        <v>37</v>
      </c>
    </row>
    <row r="4" spans="1:7">
      <c r="A4" s="7" t="s">
        <v>0</v>
      </c>
      <c r="C4" s="3">
        <v>32800.521999999997</v>
      </c>
      <c r="D4" s="4">
        <v>2.603647</v>
      </c>
    </row>
    <row r="6" spans="1:7">
      <c r="A6" s="7" t="s">
        <v>1</v>
      </c>
    </row>
    <row r="7" spans="1:7">
      <c r="A7" t="s">
        <v>2</v>
      </c>
      <c r="C7">
        <f>+C4</f>
        <v>32800.521999999997</v>
      </c>
    </row>
    <row r="8" spans="1:7">
      <c r="A8" t="s">
        <v>3</v>
      </c>
      <c r="C8">
        <f>+D4</f>
        <v>2.603647</v>
      </c>
    </row>
    <row r="9" spans="1:7">
      <c r="A9" s="17" t="s">
        <v>38</v>
      </c>
      <c r="B9" s="18"/>
      <c r="C9" s="19">
        <v>-9.5</v>
      </c>
      <c r="D9" s="18" t="s">
        <v>39</v>
      </c>
      <c r="E9" s="18"/>
    </row>
    <row r="10" spans="1:7" ht="13.5" thickBot="1">
      <c r="A10" s="18"/>
      <c r="B10" s="18"/>
      <c r="C10" s="6" t="s">
        <v>20</v>
      </c>
      <c r="D10" s="6" t="s">
        <v>21</v>
      </c>
      <c r="E10" s="18"/>
    </row>
    <row r="11" spans="1:7">
      <c r="A11" s="18" t="s">
        <v>16</v>
      </c>
      <c r="B11" s="18"/>
      <c r="C11" s="30">
        <f ca="1">INTERCEPT(INDIRECT($G$11):G992,INDIRECT($F$11):F992)</f>
        <v>0.21343469991985498</v>
      </c>
      <c r="D11" s="5"/>
      <c r="E11" s="18"/>
      <c r="F11" s="31" t="str">
        <f>"F"&amp;E19</f>
        <v>F21</v>
      </c>
      <c r="G11" s="16" t="str">
        <f>"G"&amp;E19</f>
        <v>G21</v>
      </c>
    </row>
    <row r="12" spans="1:7">
      <c r="A12" s="18" t="s">
        <v>17</v>
      </c>
      <c r="B12" s="18"/>
      <c r="C12" s="30">
        <f ca="1">SLOPE(INDIRECT($G$11):G992,INDIRECT($F$11):F992)</f>
        <v>-2.2049539064627106E-5</v>
      </c>
      <c r="D12" s="5"/>
      <c r="E12" s="18"/>
    </row>
    <row r="13" spans="1:7">
      <c r="A13" s="18" t="s">
        <v>19</v>
      </c>
      <c r="B13" s="18"/>
      <c r="C13" s="5" t="s">
        <v>14</v>
      </c>
      <c r="D13" s="22" t="s">
        <v>44</v>
      </c>
      <c r="E13" s="19">
        <v>1</v>
      </c>
    </row>
    <row r="14" spans="1:7">
      <c r="A14" s="18"/>
      <c r="B14" s="18"/>
      <c r="C14" s="18"/>
      <c r="D14" s="22" t="s">
        <v>40</v>
      </c>
      <c r="E14" s="23">
        <f ca="1">NOW()+15018.5+$C$9/24</f>
        <v>60356.758722222221</v>
      </c>
    </row>
    <row r="15" spans="1:7">
      <c r="A15" s="20" t="s">
        <v>18</v>
      </c>
      <c r="B15" s="18"/>
      <c r="C15" s="21">
        <f ca="1">(C7+C11)+(C8+C12)*INT(MAX(F21:F3533))</f>
        <v>56928.527850621409</v>
      </c>
      <c r="D15" s="22" t="s">
        <v>45</v>
      </c>
      <c r="E15" s="23">
        <f ca="1">ROUND(2*(E14-$C$7)/$C$8,0)/2+E13</f>
        <v>10584.5</v>
      </c>
    </row>
    <row r="16" spans="1:7">
      <c r="A16" s="24" t="s">
        <v>4</v>
      </c>
      <c r="B16" s="18"/>
      <c r="C16" s="25">
        <f ca="1">+C8+C12</f>
        <v>2.6036249504609352</v>
      </c>
      <c r="D16" s="22" t="s">
        <v>41</v>
      </c>
      <c r="E16" s="16">
        <f ca="1">ROUND(2*(E14-$C$15)/$C$16,0)/2+E13</f>
        <v>1317.5</v>
      </c>
    </row>
    <row r="17" spans="1:30" ht="13.5" thickBot="1">
      <c r="A17" s="22" t="s">
        <v>34</v>
      </c>
      <c r="B17" s="18"/>
      <c r="C17" s="18">
        <f>COUNT(C21:C2191)</f>
        <v>17</v>
      </c>
      <c r="D17" s="22" t="s">
        <v>42</v>
      </c>
      <c r="E17" s="26">
        <f ca="1">+$C$15+$C$16*E16-15018.5-$C$9/24</f>
        <v>45340.699556187028</v>
      </c>
    </row>
    <row r="18" spans="1:30">
      <c r="A18" s="24" t="s">
        <v>5</v>
      </c>
      <c r="B18" s="18"/>
      <c r="C18" s="27">
        <f ca="1">+C15</f>
        <v>56928.527850621409</v>
      </c>
      <c r="D18" s="28">
        <f ca="1">+C16</f>
        <v>2.6036249504609352</v>
      </c>
      <c r="E18" s="29" t="s">
        <v>43</v>
      </c>
    </row>
    <row r="19" spans="1:30" ht="13.5" thickTop="1">
      <c r="A19" s="32" t="s">
        <v>46</v>
      </c>
      <c r="E19" s="33">
        <v>21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30</v>
      </c>
      <c r="J20" s="9" t="s">
        <v>33</v>
      </c>
      <c r="K20" s="9" t="s">
        <v>60</v>
      </c>
      <c r="L20" s="9" t="s">
        <v>52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30">
      <c r="A21" t="s">
        <v>12</v>
      </c>
      <c r="B21" s="5"/>
      <c r="C21" s="13">
        <v>32800.521999999997</v>
      </c>
      <c r="D21" s="13" t="s">
        <v>14</v>
      </c>
      <c r="E21">
        <f t="shared" ref="E21:E37" si="0">+(C21-C$7)/C$8</f>
        <v>0</v>
      </c>
      <c r="F21">
        <f t="shared" ref="F21:F37" si="1">ROUND(2*E21,0)/2</f>
        <v>0</v>
      </c>
      <c r="G21" s="16"/>
      <c r="H21">
        <v>0</v>
      </c>
      <c r="O21">
        <f t="shared" ref="O21:O37" ca="1" si="2">+C$11+C$12*$F21</f>
        <v>0.21343469991985498</v>
      </c>
      <c r="Q21" s="2">
        <f t="shared" ref="Q21:Q37" si="3">+C21-15018.5</f>
        <v>17782.021999999997</v>
      </c>
    </row>
    <row r="22" spans="1:30">
      <c r="A22" s="57" t="s">
        <v>72</v>
      </c>
      <c r="B22" s="58" t="s">
        <v>32</v>
      </c>
      <c r="C22" s="59">
        <v>46300.525999999998</v>
      </c>
      <c r="D22" s="59" t="s">
        <v>60</v>
      </c>
      <c r="E22">
        <f t="shared" si="0"/>
        <v>5185.0362203478435</v>
      </c>
      <c r="F22">
        <f t="shared" si="1"/>
        <v>5185</v>
      </c>
      <c r="G22">
        <f t="shared" ref="G22:G37" si="4">+C22-(C$7+F22*C$8)</f>
        <v>9.4304999998712447E-2</v>
      </c>
      <c r="K22">
        <f>+G22</f>
        <v>9.4304999998712447E-2</v>
      </c>
      <c r="O22">
        <f t="shared" ca="1" si="2"/>
        <v>9.9107839869763431E-2</v>
      </c>
      <c r="Q22" s="2">
        <f t="shared" si="3"/>
        <v>31282.025999999998</v>
      </c>
    </row>
    <row r="23" spans="1:30">
      <c r="A23" s="57" t="s">
        <v>72</v>
      </c>
      <c r="B23" s="58" t="s">
        <v>32</v>
      </c>
      <c r="C23" s="59">
        <v>46321.349000000002</v>
      </c>
      <c r="D23" s="59" t="s">
        <v>60</v>
      </c>
      <c r="E23">
        <f t="shared" si="0"/>
        <v>5193.0338482904954</v>
      </c>
      <c r="F23">
        <f t="shared" si="1"/>
        <v>5193</v>
      </c>
      <c r="G23">
        <f t="shared" si="4"/>
        <v>8.8129000003391411E-2</v>
      </c>
      <c r="K23">
        <f>+G23</f>
        <v>8.8129000003391411E-2</v>
      </c>
      <c r="O23">
        <f t="shared" ca="1" si="2"/>
        <v>9.893144355724641E-2</v>
      </c>
      <c r="Q23" s="2">
        <f t="shared" si="3"/>
        <v>31302.849000000002</v>
      </c>
    </row>
    <row r="24" spans="1:30">
      <c r="A24" s="57" t="s">
        <v>72</v>
      </c>
      <c r="B24" s="58" t="s">
        <v>32</v>
      </c>
      <c r="C24" s="59">
        <v>46321.351999999999</v>
      </c>
      <c r="D24" s="59" t="s">
        <v>60</v>
      </c>
      <c r="E24">
        <f t="shared" si="0"/>
        <v>5193.0350005204245</v>
      </c>
      <c r="F24">
        <f t="shared" si="1"/>
        <v>5193</v>
      </c>
      <c r="G24">
        <f t="shared" si="4"/>
        <v>9.1129000000364613E-2</v>
      </c>
      <c r="K24">
        <f>+G24</f>
        <v>9.1129000000364613E-2</v>
      </c>
      <c r="O24">
        <f t="shared" ca="1" si="2"/>
        <v>9.893144355724641E-2</v>
      </c>
      <c r="Q24" s="2">
        <f t="shared" si="3"/>
        <v>31302.851999999999</v>
      </c>
    </row>
    <row r="25" spans="1:30">
      <c r="A25" s="57" t="s">
        <v>72</v>
      </c>
      <c r="B25" s="58" t="s">
        <v>32</v>
      </c>
      <c r="C25" s="59">
        <v>46360.404000000002</v>
      </c>
      <c r="D25" s="59" t="s">
        <v>60</v>
      </c>
      <c r="E25">
        <f t="shared" si="0"/>
        <v>5208.0339615931052</v>
      </c>
      <c r="F25">
        <f t="shared" si="1"/>
        <v>5208</v>
      </c>
      <c r="G25">
        <f t="shared" si="4"/>
        <v>8.842400000867201E-2</v>
      </c>
      <c r="K25">
        <f>+G25</f>
        <v>8.842400000867201E-2</v>
      </c>
      <c r="O25">
        <f t="shared" ca="1" si="2"/>
        <v>9.8600700471277003E-2</v>
      </c>
      <c r="Q25" s="2">
        <f t="shared" si="3"/>
        <v>31341.904000000002</v>
      </c>
    </row>
    <row r="26" spans="1:30">
      <c r="A26" s="57" t="s">
        <v>72</v>
      </c>
      <c r="B26" s="58" t="s">
        <v>32</v>
      </c>
      <c r="C26" s="59">
        <v>46373.425000000003</v>
      </c>
      <c r="D26" s="59" t="s">
        <v>60</v>
      </c>
      <c r="E26">
        <f t="shared" si="0"/>
        <v>5213.0350235650249</v>
      </c>
      <c r="F26">
        <f t="shared" si="1"/>
        <v>5213</v>
      </c>
      <c r="G26">
        <f t="shared" si="4"/>
        <v>9.1189000006124843E-2</v>
      </c>
      <c r="K26">
        <f>+G26</f>
        <v>9.1189000006124843E-2</v>
      </c>
      <c r="O26">
        <f t="shared" ca="1" si="2"/>
        <v>9.8490452775953877E-2</v>
      </c>
      <c r="Q26" s="2">
        <f t="shared" si="3"/>
        <v>31354.925000000003</v>
      </c>
    </row>
    <row r="27" spans="1:30">
      <c r="A27" t="s">
        <v>28</v>
      </c>
      <c r="B27" s="5"/>
      <c r="C27" s="14">
        <v>47524.252</v>
      </c>
      <c r="D27" s="13"/>
      <c r="E27">
        <f t="shared" si="0"/>
        <v>5655.0407947006652</v>
      </c>
      <c r="F27">
        <f t="shared" si="1"/>
        <v>5655</v>
      </c>
      <c r="G27">
        <f t="shared" si="4"/>
        <v>0.10621499999979278</v>
      </c>
      <c r="I27">
        <f>+G27</f>
        <v>0.10621499999979278</v>
      </c>
      <c r="O27">
        <f t="shared" ca="1" si="2"/>
        <v>8.8744556509388686E-2</v>
      </c>
      <c r="Q27" s="2">
        <f t="shared" si="3"/>
        <v>32505.752</v>
      </c>
      <c r="AA27">
        <v>5</v>
      </c>
      <c r="AB27" t="s">
        <v>27</v>
      </c>
      <c r="AD27" t="s">
        <v>29</v>
      </c>
    </row>
    <row r="28" spans="1:30">
      <c r="A28" s="57" t="s">
        <v>93</v>
      </c>
      <c r="B28" s="58" t="s">
        <v>32</v>
      </c>
      <c r="C28" s="59">
        <v>49250.462</v>
      </c>
      <c r="D28" s="59" t="s">
        <v>60</v>
      </c>
      <c r="E28">
        <f t="shared" si="0"/>
        <v>6318.0377370665083</v>
      </c>
      <c r="F28">
        <f t="shared" si="1"/>
        <v>6318</v>
      </c>
      <c r="G28">
        <f t="shared" si="4"/>
        <v>9.8253999996813945E-2</v>
      </c>
      <c r="K28">
        <f>+G28</f>
        <v>9.8253999996813945E-2</v>
      </c>
      <c r="O28">
        <f t="shared" ca="1" si="2"/>
        <v>7.4125712109540914E-2</v>
      </c>
      <c r="Q28" s="2">
        <f t="shared" si="3"/>
        <v>34231.962</v>
      </c>
    </row>
    <row r="29" spans="1:30">
      <c r="A29" t="s">
        <v>31</v>
      </c>
      <c r="B29" s="5" t="s">
        <v>32</v>
      </c>
      <c r="C29" s="13">
        <v>50643.410100000001</v>
      </c>
      <c r="D29" s="13">
        <v>2.0999999999999999E-3</v>
      </c>
      <c r="E29">
        <f t="shared" si="0"/>
        <v>6853.0365675531293</v>
      </c>
      <c r="F29">
        <f t="shared" si="1"/>
        <v>6853</v>
      </c>
      <c r="G29">
        <f t="shared" si="4"/>
        <v>9.520899999915855E-2</v>
      </c>
      <c r="J29">
        <f>+G29</f>
        <v>9.520899999915855E-2</v>
      </c>
      <c r="O29">
        <f t="shared" ca="1" si="2"/>
        <v>6.2329208709965417E-2</v>
      </c>
      <c r="Q29" s="2">
        <f t="shared" si="3"/>
        <v>35624.910100000001</v>
      </c>
    </row>
    <row r="30" spans="1:30">
      <c r="A30" s="10" t="s">
        <v>35</v>
      </c>
      <c r="B30" s="11"/>
      <c r="C30" s="12">
        <v>53658.342100000002</v>
      </c>
      <c r="D30" s="12">
        <v>8.9999999999999998E-4</v>
      </c>
      <c r="E30">
        <f t="shared" si="0"/>
        <v>8011.0015297772716</v>
      </c>
      <c r="F30">
        <f t="shared" si="1"/>
        <v>8011</v>
      </c>
      <c r="G30">
        <f t="shared" si="4"/>
        <v>3.983000002335757E-3</v>
      </c>
      <c r="J30">
        <f>+G30</f>
        <v>3.983000002335757E-3</v>
      </c>
      <c r="O30">
        <f t="shared" ca="1" si="2"/>
        <v>3.6795842473127227E-2</v>
      </c>
      <c r="Q30" s="2">
        <f t="shared" si="3"/>
        <v>38639.842100000002</v>
      </c>
    </row>
    <row r="31" spans="1:30">
      <c r="A31" s="57" t="s">
        <v>113</v>
      </c>
      <c r="B31" s="58" t="s">
        <v>32</v>
      </c>
      <c r="C31" s="59">
        <v>55095.569600000003</v>
      </c>
      <c r="D31" s="59" t="s">
        <v>60</v>
      </c>
      <c r="E31">
        <f t="shared" si="0"/>
        <v>8563.0070435815633</v>
      </c>
      <c r="F31">
        <f t="shared" si="1"/>
        <v>8563</v>
      </c>
      <c r="G31">
        <f t="shared" si="4"/>
        <v>1.8339000002015382E-2</v>
      </c>
      <c r="K31">
        <f>+G31</f>
        <v>1.8339000002015382E-2</v>
      </c>
      <c r="O31">
        <f t="shared" ca="1" si="2"/>
        <v>2.4624496909453064E-2</v>
      </c>
      <c r="Q31" s="2">
        <f t="shared" si="3"/>
        <v>40077.069600000003</v>
      </c>
    </row>
    <row r="32" spans="1:30">
      <c r="A32" s="57" t="s">
        <v>113</v>
      </c>
      <c r="B32" s="58" t="s">
        <v>32</v>
      </c>
      <c r="C32" s="59">
        <v>55108.5864</v>
      </c>
      <c r="D32" s="59" t="s">
        <v>60</v>
      </c>
      <c r="E32">
        <f t="shared" si="0"/>
        <v>8568.0064924315793</v>
      </c>
      <c r="F32">
        <f t="shared" si="1"/>
        <v>8568</v>
      </c>
      <c r="G32">
        <f t="shared" si="4"/>
        <v>1.6904000003705733E-2</v>
      </c>
      <c r="K32">
        <f>+G32</f>
        <v>1.6904000003705733E-2</v>
      </c>
      <c r="O32">
        <f t="shared" ca="1" si="2"/>
        <v>2.4514249214129924E-2</v>
      </c>
      <c r="Q32" s="2">
        <f t="shared" si="3"/>
        <v>40090.0864</v>
      </c>
    </row>
    <row r="33" spans="1:17">
      <c r="A33" s="34" t="s">
        <v>47</v>
      </c>
      <c r="B33" s="35" t="s">
        <v>32</v>
      </c>
      <c r="C33" s="34">
        <v>55707.427499999998</v>
      </c>
      <c r="D33" s="34">
        <v>8.9999999999999998E-4</v>
      </c>
      <c r="E33">
        <f t="shared" si="0"/>
        <v>8798.0073719670909</v>
      </c>
      <c r="F33">
        <f t="shared" si="1"/>
        <v>8798</v>
      </c>
      <c r="G33">
        <f t="shared" si="4"/>
        <v>1.9194000000425149E-2</v>
      </c>
      <c r="J33">
        <f>+G33</f>
        <v>1.9194000000425149E-2</v>
      </c>
      <c r="O33">
        <f t="shared" ca="1" si="2"/>
        <v>1.9442855229265699E-2</v>
      </c>
      <c r="Q33" s="2">
        <f t="shared" si="3"/>
        <v>40688.927499999998</v>
      </c>
    </row>
    <row r="34" spans="1:17">
      <c r="A34" s="37" t="s">
        <v>47</v>
      </c>
      <c r="B34" s="38" t="s">
        <v>32</v>
      </c>
      <c r="C34" s="37">
        <v>55759.503700000001</v>
      </c>
      <c r="D34" s="37">
        <v>2.0000000000000001E-4</v>
      </c>
      <c r="E34">
        <f t="shared" si="0"/>
        <v>8818.008624056949</v>
      </c>
      <c r="F34">
        <f t="shared" si="1"/>
        <v>8818</v>
      </c>
      <c r="G34">
        <f t="shared" si="4"/>
        <v>2.2454000005382113E-2</v>
      </c>
      <c r="J34">
        <f>+G34</f>
        <v>2.2454000005382113E-2</v>
      </c>
      <c r="O34">
        <f t="shared" ca="1" si="2"/>
        <v>1.9001864447973166E-2</v>
      </c>
      <c r="Q34" s="2">
        <f t="shared" si="3"/>
        <v>40741.003700000001</v>
      </c>
    </row>
    <row r="35" spans="1:17">
      <c r="A35" s="57" t="s">
        <v>133</v>
      </c>
      <c r="B35" s="58" t="s">
        <v>32</v>
      </c>
      <c r="C35" s="59">
        <v>55858.439899999998</v>
      </c>
      <c r="D35" s="59" t="s">
        <v>60</v>
      </c>
      <c r="E35">
        <f t="shared" si="0"/>
        <v>8856.0077076500766</v>
      </c>
      <c r="F35">
        <f t="shared" si="1"/>
        <v>8856</v>
      </c>
      <c r="G35">
        <f t="shared" si="4"/>
        <v>2.0067999997991137E-2</v>
      </c>
      <c r="K35">
        <f>+G35</f>
        <v>2.0067999997991137E-2</v>
      </c>
      <c r="O35">
        <f t="shared" ca="1" si="2"/>
        <v>1.8163981963517317E-2</v>
      </c>
      <c r="Q35" s="2">
        <f t="shared" si="3"/>
        <v>40839.939899999998</v>
      </c>
    </row>
    <row r="36" spans="1:17">
      <c r="A36" s="39" t="s">
        <v>48</v>
      </c>
      <c r="B36" s="40" t="s">
        <v>32</v>
      </c>
      <c r="C36" s="41">
        <v>56134.426899999999</v>
      </c>
      <c r="D36" s="42">
        <v>4.0000000000000002E-4</v>
      </c>
      <c r="E36">
        <f t="shared" si="0"/>
        <v>8962.0078681941141</v>
      </c>
      <c r="F36">
        <f t="shared" si="1"/>
        <v>8962</v>
      </c>
      <c r="G36">
        <f t="shared" si="4"/>
        <v>2.0486000001255888E-2</v>
      </c>
      <c r="L36">
        <f>+G36</f>
        <v>2.0486000001255888E-2</v>
      </c>
      <c r="O36">
        <f t="shared" ca="1" si="2"/>
        <v>1.5826730822666862E-2</v>
      </c>
      <c r="Q36" s="2">
        <f t="shared" si="3"/>
        <v>41115.926899999999</v>
      </c>
    </row>
    <row r="37" spans="1:17">
      <c r="A37" s="36" t="s">
        <v>49</v>
      </c>
      <c r="B37" s="43"/>
      <c r="C37" s="36">
        <v>56928.531199999998</v>
      </c>
      <c r="D37" s="36">
        <v>2.5999999999999999E-3</v>
      </c>
      <c r="E37">
        <f t="shared" si="0"/>
        <v>9267.004782138285</v>
      </c>
      <c r="F37">
        <f t="shared" si="1"/>
        <v>9267</v>
      </c>
      <c r="G37">
        <f t="shared" si="4"/>
        <v>1.2451000002329238E-2</v>
      </c>
      <c r="L37">
        <f>+G37</f>
        <v>1.2451000002329238E-2</v>
      </c>
      <c r="O37">
        <f t="shared" ca="1" si="2"/>
        <v>9.1016214079555902E-3</v>
      </c>
      <c r="Q37" s="2">
        <f t="shared" si="3"/>
        <v>41910.031199999998</v>
      </c>
    </row>
    <row r="38" spans="1:17">
      <c r="B38" s="5"/>
      <c r="C38" s="13"/>
      <c r="D38" s="13"/>
    </row>
    <row r="39" spans="1:17">
      <c r="B39" s="5"/>
      <c r="C39" s="13"/>
      <c r="D39" s="13"/>
    </row>
    <row r="40" spans="1:17">
      <c r="B40" s="5"/>
      <c r="C40" s="13"/>
      <c r="D40" s="13"/>
    </row>
    <row r="41" spans="1:17">
      <c r="B41" s="5"/>
      <c r="C41" s="13"/>
      <c r="D41" s="13"/>
    </row>
    <row r="42" spans="1:17">
      <c r="C42" s="13"/>
      <c r="D42" s="13"/>
    </row>
    <row r="43" spans="1:17">
      <c r="C43" s="13"/>
      <c r="D43" s="13"/>
    </row>
    <row r="44" spans="1:17">
      <c r="C44" s="13"/>
      <c r="D44" s="13"/>
    </row>
    <row r="45" spans="1:17">
      <c r="C45" s="13"/>
      <c r="D45" s="13"/>
    </row>
    <row r="46" spans="1:17">
      <c r="C46" s="13"/>
      <c r="D46" s="13"/>
    </row>
    <row r="47" spans="1:17">
      <c r="C47" s="13"/>
      <c r="D47" s="13"/>
    </row>
    <row r="48" spans="1:17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topLeftCell="A5" workbookViewId="0">
      <selection activeCell="A19" sqref="A19:D27"/>
    </sheetView>
  </sheetViews>
  <sheetFormatPr defaultRowHeight="12.75"/>
  <cols>
    <col min="1" max="1" width="19.7109375" style="13" customWidth="1"/>
    <col min="2" max="2" width="4.42578125" style="18" customWidth="1"/>
    <col min="3" max="3" width="12.7109375" style="13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3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4" t="s">
        <v>50</v>
      </c>
      <c r="I1" s="45" t="s">
        <v>51</v>
      </c>
      <c r="J1" s="46" t="s">
        <v>52</v>
      </c>
    </row>
    <row r="2" spans="1:16">
      <c r="I2" s="47" t="s">
        <v>53</v>
      </c>
      <c r="J2" s="48" t="s">
        <v>54</v>
      </c>
    </row>
    <row r="3" spans="1:16">
      <c r="A3" s="49" t="s">
        <v>55</v>
      </c>
      <c r="I3" s="47" t="s">
        <v>56</v>
      </c>
      <c r="J3" s="48" t="s">
        <v>57</v>
      </c>
    </row>
    <row r="4" spans="1:16">
      <c r="I4" s="47" t="s">
        <v>58</v>
      </c>
      <c r="J4" s="48" t="s">
        <v>57</v>
      </c>
    </row>
    <row r="5" spans="1:16" ht="13.5" thickBot="1">
      <c r="I5" s="50" t="s">
        <v>59</v>
      </c>
      <c r="J5" s="51" t="s">
        <v>60</v>
      </c>
    </row>
    <row r="10" spans="1:16" ht="13.5" thickBot="1"/>
    <row r="11" spans="1:16" ht="12.75" customHeight="1" thickBot="1">
      <c r="A11" s="13" t="str">
        <f t="shared" ref="A11:A27" si="0">P11</f>
        <v> PZ 9.228 </v>
      </c>
      <c r="B11" s="5" t="str">
        <f t="shared" ref="B11:B27" si="1">IF(H11=INT(H11),"I","II")</f>
        <v>I</v>
      </c>
      <c r="C11" s="13">
        <f t="shared" ref="C11:C27" si="2">1*G11</f>
        <v>32800.521999999997</v>
      </c>
      <c r="D11" s="18" t="str">
        <f t="shared" ref="D11:D27" si="3">VLOOKUP(F11,I$1:J$5,2,FALSE)</f>
        <v>vis</v>
      </c>
      <c r="E11" s="52">
        <f>VLOOKUP(C11,Active!C$21:E$973,3,FALSE)</f>
        <v>0</v>
      </c>
      <c r="F11" s="5" t="s">
        <v>59</v>
      </c>
      <c r="G11" s="18" t="str">
        <f t="shared" ref="G11:G27" si="4">MID(I11,3,LEN(I11)-3)</f>
        <v>32800.522</v>
      </c>
      <c r="H11" s="13">
        <f t="shared" ref="H11:H27" si="5">1*K11</f>
        <v>0</v>
      </c>
      <c r="I11" s="53" t="s">
        <v>62</v>
      </c>
      <c r="J11" s="54" t="s">
        <v>63</v>
      </c>
      <c r="K11" s="53">
        <v>0</v>
      </c>
      <c r="L11" s="53" t="s">
        <v>64</v>
      </c>
      <c r="M11" s="54" t="s">
        <v>61</v>
      </c>
      <c r="N11" s="54"/>
      <c r="O11" s="55" t="s">
        <v>65</v>
      </c>
      <c r="P11" s="55" t="s">
        <v>66</v>
      </c>
    </row>
    <row r="12" spans="1:16" ht="12.75" customHeight="1" thickBot="1">
      <c r="A12" s="13" t="str">
        <f t="shared" si="0"/>
        <v> BBS 90 </v>
      </c>
      <c r="B12" s="5" t="str">
        <f t="shared" si="1"/>
        <v>I</v>
      </c>
      <c r="C12" s="13">
        <f t="shared" si="2"/>
        <v>47524.252</v>
      </c>
      <c r="D12" s="18" t="str">
        <f t="shared" si="3"/>
        <v>vis</v>
      </c>
      <c r="E12" s="52">
        <f>VLOOKUP(C12,Active!C$21:E$973,3,FALSE)</f>
        <v>5655.0407947006652</v>
      </c>
      <c r="F12" s="5" t="s">
        <v>59</v>
      </c>
      <c r="G12" s="18" t="str">
        <f t="shared" si="4"/>
        <v>47524.252</v>
      </c>
      <c r="H12" s="13">
        <f t="shared" si="5"/>
        <v>5655</v>
      </c>
      <c r="I12" s="53" t="s">
        <v>85</v>
      </c>
      <c r="J12" s="54" t="s">
        <v>86</v>
      </c>
      <c r="K12" s="53">
        <v>5655</v>
      </c>
      <c r="L12" s="53" t="s">
        <v>87</v>
      </c>
      <c r="M12" s="54" t="s">
        <v>70</v>
      </c>
      <c r="N12" s="54"/>
      <c r="O12" s="55" t="s">
        <v>88</v>
      </c>
      <c r="P12" s="55" t="s">
        <v>89</v>
      </c>
    </row>
    <row r="13" spans="1:16" ht="12.75" customHeight="1" thickBot="1">
      <c r="A13" s="13" t="str">
        <f t="shared" si="0"/>
        <v>IBVS 4887 </v>
      </c>
      <c r="B13" s="5" t="str">
        <f t="shared" si="1"/>
        <v>I</v>
      </c>
      <c r="C13" s="13">
        <f t="shared" si="2"/>
        <v>50643.410100000001</v>
      </c>
      <c r="D13" s="18" t="str">
        <f t="shared" si="3"/>
        <v>vis</v>
      </c>
      <c r="E13" s="52">
        <f>VLOOKUP(C13,Active!C$21:E$973,3,FALSE)</f>
        <v>6853.0365675531293</v>
      </c>
      <c r="F13" s="5" t="s">
        <v>59</v>
      </c>
      <c r="G13" s="18" t="str">
        <f t="shared" si="4"/>
        <v>50643.4101</v>
      </c>
      <c r="H13" s="13">
        <f t="shared" si="5"/>
        <v>6853</v>
      </c>
      <c r="I13" s="53" t="s">
        <v>94</v>
      </c>
      <c r="J13" s="54" t="s">
        <v>95</v>
      </c>
      <c r="K13" s="53">
        <v>6853</v>
      </c>
      <c r="L13" s="53" t="s">
        <v>96</v>
      </c>
      <c r="M13" s="54" t="s">
        <v>97</v>
      </c>
      <c r="N13" s="54" t="s">
        <v>98</v>
      </c>
      <c r="O13" s="55" t="s">
        <v>99</v>
      </c>
      <c r="P13" s="56" t="s">
        <v>100</v>
      </c>
    </row>
    <row r="14" spans="1:16" ht="12.75" customHeight="1" thickBot="1">
      <c r="A14" s="13" t="str">
        <f t="shared" si="0"/>
        <v>BAVM 178 </v>
      </c>
      <c r="B14" s="5" t="str">
        <f t="shared" si="1"/>
        <v>I</v>
      </c>
      <c r="C14" s="13">
        <f t="shared" si="2"/>
        <v>53658.342100000002</v>
      </c>
      <c r="D14" s="18" t="str">
        <f t="shared" si="3"/>
        <v>vis</v>
      </c>
      <c r="E14" s="52">
        <f>VLOOKUP(C14,Active!C$21:E$973,3,FALSE)</f>
        <v>8011.0015297772716</v>
      </c>
      <c r="F14" s="5" t="s">
        <v>59</v>
      </c>
      <c r="G14" s="18" t="str">
        <f t="shared" si="4"/>
        <v>53658.3421</v>
      </c>
      <c r="H14" s="13">
        <f t="shared" si="5"/>
        <v>8011</v>
      </c>
      <c r="I14" s="53" t="s">
        <v>101</v>
      </c>
      <c r="J14" s="54" t="s">
        <v>102</v>
      </c>
      <c r="K14" s="53">
        <v>8011</v>
      </c>
      <c r="L14" s="53" t="s">
        <v>103</v>
      </c>
      <c r="M14" s="54" t="s">
        <v>104</v>
      </c>
      <c r="N14" s="54" t="s">
        <v>105</v>
      </c>
      <c r="O14" s="55" t="s">
        <v>106</v>
      </c>
      <c r="P14" s="56" t="s">
        <v>107</v>
      </c>
    </row>
    <row r="15" spans="1:16" ht="12.75" customHeight="1" thickBot="1">
      <c r="A15" s="13" t="str">
        <f t="shared" si="0"/>
        <v>BAVM 220 </v>
      </c>
      <c r="B15" s="5" t="str">
        <f t="shared" si="1"/>
        <v>I</v>
      </c>
      <c r="C15" s="13">
        <f t="shared" si="2"/>
        <v>55707.427499999998</v>
      </c>
      <c r="D15" s="18" t="str">
        <f t="shared" si="3"/>
        <v>vis</v>
      </c>
      <c r="E15" s="52">
        <f>VLOOKUP(C15,Active!C$21:E$973,3,FALSE)</f>
        <v>8798.0073719670909</v>
      </c>
      <c r="F15" s="5" t="s">
        <v>59</v>
      </c>
      <c r="G15" s="18" t="str">
        <f t="shared" si="4"/>
        <v>55707.4275</v>
      </c>
      <c r="H15" s="13">
        <f t="shared" si="5"/>
        <v>8798</v>
      </c>
      <c r="I15" s="53" t="s">
        <v>118</v>
      </c>
      <c r="J15" s="54" t="s">
        <v>119</v>
      </c>
      <c r="K15" s="53" t="s">
        <v>120</v>
      </c>
      <c r="L15" s="53" t="s">
        <v>121</v>
      </c>
      <c r="M15" s="54" t="s">
        <v>104</v>
      </c>
      <c r="N15" s="54" t="s">
        <v>122</v>
      </c>
      <c r="O15" s="55" t="s">
        <v>123</v>
      </c>
      <c r="P15" s="56" t="s">
        <v>124</v>
      </c>
    </row>
    <row r="16" spans="1:16" ht="12.75" customHeight="1" thickBot="1">
      <c r="A16" s="13" t="str">
        <f t="shared" si="0"/>
        <v>BAVM 220 </v>
      </c>
      <c r="B16" s="5" t="str">
        <f t="shared" si="1"/>
        <v>I</v>
      </c>
      <c r="C16" s="13">
        <f t="shared" si="2"/>
        <v>55759.503700000001</v>
      </c>
      <c r="D16" s="18" t="str">
        <f t="shared" si="3"/>
        <v>vis</v>
      </c>
      <c r="E16" s="52">
        <f>VLOOKUP(C16,Active!C$21:E$973,3,FALSE)</f>
        <v>8818.008624056949</v>
      </c>
      <c r="F16" s="5" t="s">
        <v>59</v>
      </c>
      <c r="G16" s="18" t="str">
        <f t="shared" si="4"/>
        <v>55759.5037</v>
      </c>
      <c r="H16" s="13">
        <f t="shared" si="5"/>
        <v>8818</v>
      </c>
      <c r="I16" s="53" t="s">
        <v>125</v>
      </c>
      <c r="J16" s="54" t="s">
        <v>126</v>
      </c>
      <c r="K16" s="53" t="s">
        <v>127</v>
      </c>
      <c r="L16" s="53" t="s">
        <v>128</v>
      </c>
      <c r="M16" s="54" t="s">
        <v>104</v>
      </c>
      <c r="N16" s="54" t="s">
        <v>105</v>
      </c>
      <c r="O16" s="55" t="s">
        <v>112</v>
      </c>
      <c r="P16" s="56" t="s">
        <v>124</v>
      </c>
    </row>
    <row r="17" spans="1:16" ht="12.75" customHeight="1" thickBot="1">
      <c r="A17" s="13" t="str">
        <f t="shared" si="0"/>
        <v>BAVM 234 </v>
      </c>
      <c r="B17" s="5" t="str">
        <f t="shared" si="1"/>
        <v>I</v>
      </c>
      <c r="C17" s="13">
        <f t="shared" si="2"/>
        <v>56134.426899999999</v>
      </c>
      <c r="D17" s="18" t="str">
        <f t="shared" si="3"/>
        <v>vis</v>
      </c>
      <c r="E17" s="52">
        <f>VLOOKUP(C17,Active!C$21:E$973,3,FALSE)</f>
        <v>8962.0078681941141</v>
      </c>
      <c r="F17" s="5" t="s">
        <v>59</v>
      </c>
      <c r="G17" s="18" t="str">
        <f t="shared" si="4"/>
        <v>56134.4269</v>
      </c>
      <c r="H17" s="13">
        <f t="shared" si="5"/>
        <v>8962</v>
      </c>
      <c r="I17" s="53" t="s">
        <v>134</v>
      </c>
      <c r="J17" s="54" t="s">
        <v>135</v>
      </c>
      <c r="K17" s="53" t="s">
        <v>136</v>
      </c>
      <c r="L17" s="53" t="s">
        <v>137</v>
      </c>
      <c r="M17" s="54" t="s">
        <v>104</v>
      </c>
      <c r="N17" s="54" t="s">
        <v>122</v>
      </c>
      <c r="O17" s="55" t="s">
        <v>123</v>
      </c>
      <c r="P17" s="56" t="s">
        <v>138</v>
      </c>
    </row>
    <row r="18" spans="1:16" ht="12.75" customHeight="1" thickBot="1">
      <c r="A18" s="13" t="str">
        <f t="shared" si="0"/>
        <v>BAVM 239 </v>
      </c>
      <c r="B18" s="5" t="str">
        <f t="shared" si="1"/>
        <v>I</v>
      </c>
      <c r="C18" s="13">
        <f t="shared" si="2"/>
        <v>56928.531199999998</v>
      </c>
      <c r="D18" s="18" t="str">
        <f t="shared" si="3"/>
        <v>vis</v>
      </c>
      <c r="E18" s="52">
        <f>VLOOKUP(C18,Active!C$21:E$973,3,FALSE)</f>
        <v>9267.004782138285</v>
      </c>
      <c r="F18" s="5" t="s">
        <v>59</v>
      </c>
      <c r="G18" s="18" t="str">
        <f t="shared" si="4"/>
        <v>56928.5312</v>
      </c>
      <c r="H18" s="13">
        <f t="shared" si="5"/>
        <v>9267</v>
      </c>
      <c r="I18" s="53" t="s">
        <v>139</v>
      </c>
      <c r="J18" s="54" t="s">
        <v>140</v>
      </c>
      <c r="K18" s="53" t="s">
        <v>141</v>
      </c>
      <c r="L18" s="53" t="s">
        <v>142</v>
      </c>
      <c r="M18" s="54" t="s">
        <v>104</v>
      </c>
      <c r="N18" s="54" t="s">
        <v>105</v>
      </c>
      <c r="O18" s="55" t="s">
        <v>112</v>
      </c>
      <c r="P18" s="56" t="s">
        <v>143</v>
      </c>
    </row>
    <row r="19" spans="1:16" ht="12.75" customHeight="1" thickBot="1">
      <c r="A19" s="13" t="str">
        <f t="shared" si="0"/>
        <v> BRNO 27 </v>
      </c>
      <c r="B19" s="5" t="str">
        <f t="shared" si="1"/>
        <v>I</v>
      </c>
      <c r="C19" s="13">
        <f t="shared" si="2"/>
        <v>46300.525999999998</v>
      </c>
      <c r="D19" s="18" t="str">
        <f t="shared" si="3"/>
        <v>vis</v>
      </c>
      <c r="E19" s="52">
        <f>VLOOKUP(C19,Active!C$21:E$973,3,FALSE)</f>
        <v>5185.0362203478435</v>
      </c>
      <c r="F19" s="5" t="s">
        <v>59</v>
      </c>
      <c r="G19" s="18" t="str">
        <f t="shared" si="4"/>
        <v>46300.526</v>
      </c>
      <c r="H19" s="13">
        <f t="shared" si="5"/>
        <v>5185</v>
      </c>
      <c r="I19" s="53" t="s">
        <v>67</v>
      </c>
      <c r="J19" s="54" t="s">
        <v>68</v>
      </c>
      <c r="K19" s="53">
        <v>5185</v>
      </c>
      <c r="L19" s="53" t="s">
        <v>69</v>
      </c>
      <c r="M19" s="54" t="s">
        <v>70</v>
      </c>
      <c r="N19" s="54"/>
      <c r="O19" s="55" t="s">
        <v>71</v>
      </c>
      <c r="P19" s="55" t="s">
        <v>72</v>
      </c>
    </row>
    <row r="20" spans="1:16" ht="12.75" customHeight="1" thickBot="1">
      <c r="A20" s="13" t="str">
        <f t="shared" si="0"/>
        <v> BRNO 27 </v>
      </c>
      <c r="B20" s="5" t="str">
        <f t="shared" si="1"/>
        <v>I</v>
      </c>
      <c r="C20" s="13">
        <f t="shared" si="2"/>
        <v>46321.349000000002</v>
      </c>
      <c r="D20" s="18" t="str">
        <f t="shared" si="3"/>
        <v>vis</v>
      </c>
      <c r="E20" s="52">
        <f>VLOOKUP(C20,Active!C$21:E$973,3,FALSE)</f>
        <v>5193.0338482904954</v>
      </c>
      <c r="F20" s="5" t="s">
        <v>59</v>
      </c>
      <c r="G20" s="18" t="str">
        <f t="shared" si="4"/>
        <v>46321.349</v>
      </c>
      <c r="H20" s="13">
        <f t="shared" si="5"/>
        <v>5193</v>
      </c>
      <c r="I20" s="53" t="s">
        <v>73</v>
      </c>
      <c r="J20" s="54" t="s">
        <v>74</v>
      </c>
      <c r="K20" s="53">
        <v>5193</v>
      </c>
      <c r="L20" s="53" t="s">
        <v>75</v>
      </c>
      <c r="M20" s="54" t="s">
        <v>70</v>
      </c>
      <c r="N20" s="54"/>
      <c r="O20" s="55" t="s">
        <v>76</v>
      </c>
      <c r="P20" s="55" t="s">
        <v>72</v>
      </c>
    </row>
    <row r="21" spans="1:16" ht="12.75" customHeight="1" thickBot="1">
      <c r="A21" s="13" t="str">
        <f t="shared" si="0"/>
        <v> BRNO 27 </v>
      </c>
      <c r="B21" s="5" t="str">
        <f t="shared" si="1"/>
        <v>I</v>
      </c>
      <c r="C21" s="13">
        <f t="shared" si="2"/>
        <v>46321.351999999999</v>
      </c>
      <c r="D21" s="18" t="str">
        <f t="shared" si="3"/>
        <v>vis</v>
      </c>
      <c r="E21" s="52">
        <f>VLOOKUP(C21,Active!C$21:E$973,3,FALSE)</f>
        <v>5193.0350005204245</v>
      </c>
      <c r="F21" s="5" t="s">
        <v>59</v>
      </c>
      <c r="G21" s="18" t="str">
        <f t="shared" si="4"/>
        <v>46321.352</v>
      </c>
      <c r="H21" s="13">
        <f t="shared" si="5"/>
        <v>5193</v>
      </c>
      <c r="I21" s="53" t="s">
        <v>77</v>
      </c>
      <c r="J21" s="54" t="s">
        <v>78</v>
      </c>
      <c r="K21" s="53">
        <v>5193</v>
      </c>
      <c r="L21" s="53" t="s">
        <v>79</v>
      </c>
      <c r="M21" s="54" t="s">
        <v>70</v>
      </c>
      <c r="N21" s="54"/>
      <c r="O21" s="55" t="s">
        <v>80</v>
      </c>
      <c r="P21" s="55" t="s">
        <v>72</v>
      </c>
    </row>
    <row r="22" spans="1:16" ht="12.75" customHeight="1" thickBot="1">
      <c r="A22" s="13" t="str">
        <f t="shared" si="0"/>
        <v> BRNO 27 </v>
      </c>
      <c r="B22" s="5" t="str">
        <f t="shared" si="1"/>
        <v>I</v>
      </c>
      <c r="C22" s="13">
        <f t="shared" si="2"/>
        <v>46360.404000000002</v>
      </c>
      <c r="D22" s="18" t="str">
        <f t="shared" si="3"/>
        <v>vis</v>
      </c>
      <c r="E22" s="52">
        <f>VLOOKUP(C22,Active!C$21:E$973,3,FALSE)</f>
        <v>5208.0339615931052</v>
      </c>
      <c r="F22" s="5" t="s">
        <v>59</v>
      </c>
      <c r="G22" s="18" t="str">
        <f t="shared" si="4"/>
        <v>46360.404</v>
      </c>
      <c r="H22" s="13">
        <f t="shared" si="5"/>
        <v>5208</v>
      </c>
      <c r="I22" s="53" t="s">
        <v>81</v>
      </c>
      <c r="J22" s="54" t="s">
        <v>82</v>
      </c>
      <c r="K22" s="53">
        <v>5208</v>
      </c>
      <c r="L22" s="53" t="s">
        <v>75</v>
      </c>
      <c r="M22" s="54" t="s">
        <v>70</v>
      </c>
      <c r="N22" s="54"/>
      <c r="O22" s="55" t="s">
        <v>71</v>
      </c>
      <c r="P22" s="55" t="s">
        <v>72</v>
      </c>
    </row>
    <row r="23" spans="1:16" ht="12.75" customHeight="1" thickBot="1">
      <c r="A23" s="13" t="str">
        <f t="shared" si="0"/>
        <v> BRNO 27 </v>
      </c>
      <c r="B23" s="5" t="str">
        <f t="shared" si="1"/>
        <v>I</v>
      </c>
      <c r="C23" s="13">
        <f t="shared" si="2"/>
        <v>46373.425000000003</v>
      </c>
      <c r="D23" s="18" t="str">
        <f t="shared" si="3"/>
        <v>vis</v>
      </c>
      <c r="E23" s="52">
        <f>VLOOKUP(C23,Active!C$21:E$973,3,FALSE)</f>
        <v>5213.0350235650249</v>
      </c>
      <c r="F23" s="5" t="s">
        <v>59</v>
      </c>
      <c r="G23" s="18" t="str">
        <f t="shared" si="4"/>
        <v>46373.425</v>
      </c>
      <c r="H23" s="13">
        <f t="shared" si="5"/>
        <v>5213</v>
      </c>
      <c r="I23" s="53" t="s">
        <v>83</v>
      </c>
      <c r="J23" s="54" t="s">
        <v>84</v>
      </c>
      <c r="K23" s="53">
        <v>5213</v>
      </c>
      <c r="L23" s="53" t="s">
        <v>79</v>
      </c>
      <c r="M23" s="54" t="s">
        <v>70</v>
      </c>
      <c r="N23" s="54"/>
      <c r="O23" s="55" t="s">
        <v>76</v>
      </c>
      <c r="P23" s="55" t="s">
        <v>72</v>
      </c>
    </row>
    <row r="24" spans="1:16" ht="12.75" customHeight="1" thickBot="1">
      <c r="A24" s="13" t="str">
        <f t="shared" si="0"/>
        <v> BBS 105 </v>
      </c>
      <c r="B24" s="5" t="str">
        <f t="shared" si="1"/>
        <v>I</v>
      </c>
      <c r="C24" s="13">
        <f t="shared" si="2"/>
        <v>49250.462</v>
      </c>
      <c r="D24" s="18" t="str">
        <f t="shared" si="3"/>
        <v>vis</v>
      </c>
      <c r="E24" s="52">
        <f>VLOOKUP(C24,Active!C$21:E$973,3,FALSE)</f>
        <v>6318.0377370665083</v>
      </c>
      <c r="F24" s="5" t="s">
        <v>59</v>
      </c>
      <c r="G24" s="18" t="str">
        <f t="shared" si="4"/>
        <v>49250.462</v>
      </c>
      <c r="H24" s="13">
        <f t="shared" si="5"/>
        <v>6318</v>
      </c>
      <c r="I24" s="53" t="s">
        <v>90</v>
      </c>
      <c r="J24" s="54" t="s">
        <v>91</v>
      </c>
      <c r="K24" s="53">
        <v>6318</v>
      </c>
      <c r="L24" s="53" t="s">
        <v>92</v>
      </c>
      <c r="M24" s="54" t="s">
        <v>70</v>
      </c>
      <c r="N24" s="54"/>
      <c r="O24" s="55" t="s">
        <v>88</v>
      </c>
      <c r="P24" s="55" t="s">
        <v>93</v>
      </c>
    </row>
    <row r="25" spans="1:16" ht="12.75" customHeight="1" thickBot="1">
      <c r="A25" s="13" t="str">
        <f t="shared" si="0"/>
        <v>BAVM 212 </v>
      </c>
      <c r="B25" s="5" t="str">
        <f t="shared" si="1"/>
        <v>I</v>
      </c>
      <c r="C25" s="13">
        <f t="shared" si="2"/>
        <v>55095.569600000003</v>
      </c>
      <c r="D25" s="18" t="str">
        <f t="shared" si="3"/>
        <v>vis</v>
      </c>
      <c r="E25" s="52">
        <f>VLOOKUP(C25,Active!C$21:E$973,3,FALSE)</f>
        <v>8563.0070435815633</v>
      </c>
      <c r="F25" s="5" t="s">
        <v>59</v>
      </c>
      <c r="G25" s="18" t="str">
        <f t="shared" si="4"/>
        <v>55095.5696</v>
      </c>
      <c r="H25" s="13">
        <f t="shared" si="5"/>
        <v>8563</v>
      </c>
      <c r="I25" s="53" t="s">
        <v>108</v>
      </c>
      <c r="J25" s="54" t="s">
        <v>109</v>
      </c>
      <c r="K25" s="53" t="s">
        <v>110</v>
      </c>
      <c r="L25" s="53" t="s">
        <v>111</v>
      </c>
      <c r="M25" s="54" t="s">
        <v>104</v>
      </c>
      <c r="N25" s="54" t="s">
        <v>105</v>
      </c>
      <c r="O25" s="55" t="s">
        <v>112</v>
      </c>
      <c r="P25" s="56" t="s">
        <v>113</v>
      </c>
    </row>
    <row r="26" spans="1:16" ht="12.75" customHeight="1" thickBot="1">
      <c r="A26" s="13" t="str">
        <f t="shared" si="0"/>
        <v>BAVM 212 </v>
      </c>
      <c r="B26" s="5" t="str">
        <f t="shared" si="1"/>
        <v>I</v>
      </c>
      <c r="C26" s="13">
        <f t="shared" si="2"/>
        <v>55108.5864</v>
      </c>
      <c r="D26" s="18" t="str">
        <f t="shared" si="3"/>
        <v>vis</v>
      </c>
      <c r="E26" s="52">
        <f>VLOOKUP(C26,Active!C$21:E$973,3,FALSE)</f>
        <v>8568.0064924315793</v>
      </c>
      <c r="F26" s="5" t="s">
        <v>59</v>
      </c>
      <c r="G26" s="18" t="str">
        <f t="shared" si="4"/>
        <v>55108.5864</v>
      </c>
      <c r="H26" s="13">
        <f t="shared" si="5"/>
        <v>8568</v>
      </c>
      <c r="I26" s="53" t="s">
        <v>114</v>
      </c>
      <c r="J26" s="54" t="s">
        <v>115</v>
      </c>
      <c r="K26" s="53" t="s">
        <v>116</v>
      </c>
      <c r="L26" s="53" t="s">
        <v>117</v>
      </c>
      <c r="M26" s="54" t="s">
        <v>104</v>
      </c>
      <c r="N26" s="54" t="s">
        <v>105</v>
      </c>
      <c r="O26" s="55" t="s">
        <v>112</v>
      </c>
      <c r="P26" s="56" t="s">
        <v>113</v>
      </c>
    </row>
    <row r="27" spans="1:16" ht="12.75" customHeight="1" thickBot="1">
      <c r="A27" s="13" t="str">
        <f t="shared" si="0"/>
        <v>BAVM 225 </v>
      </c>
      <c r="B27" s="5" t="str">
        <f t="shared" si="1"/>
        <v>I</v>
      </c>
      <c r="C27" s="13">
        <f t="shared" si="2"/>
        <v>55858.439899999998</v>
      </c>
      <c r="D27" s="18" t="str">
        <f t="shared" si="3"/>
        <v>vis</v>
      </c>
      <c r="E27" s="52">
        <f>VLOOKUP(C27,Active!C$21:E$973,3,FALSE)</f>
        <v>8856.0077076500766</v>
      </c>
      <c r="F27" s="5" t="s">
        <v>59</v>
      </c>
      <c r="G27" s="18" t="str">
        <f t="shared" si="4"/>
        <v>55858.4399</v>
      </c>
      <c r="H27" s="13">
        <f t="shared" si="5"/>
        <v>8856</v>
      </c>
      <c r="I27" s="53" t="s">
        <v>129</v>
      </c>
      <c r="J27" s="54" t="s">
        <v>130</v>
      </c>
      <c r="K27" s="53" t="s">
        <v>131</v>
      </c>
      <c r="L27" s="53" t="s">
        <v>132</v>
      </c>
      <c r="M27" s="54" t="s">
        <v>104</v>
      </c>
      <c r="N27" s="54" t="s">
        <v>105</v>
      </c>
      <c r="O27" s="55" t="s">
        <v>112</v>
      </c>
      <c r="P27" s="56" t="s">
        <v>133</v>
      </c>
    </row>
    <row r="28" spans="1:16">
      <c r="B28" s="5"/>
      <c r="E28" s="52"/>
      <c r="F28" s="5"/>
    </row>
    <row r="29" spans="1:16">
      <c r="B29" s="5"/>
      <c r="E29" s="52"/>
      <c r="F29" s="5"/>
    </row>
    <row r="30" spans="1:16">
      <c r="B30" s="5"/>
      <c r="E30" s="52"/>
      <c r="F30" s="5"/>
    </row>
    <row r="31" spans="1:16">
      <c r="B31" s="5"/>
      <c r="E31" s="52"/>
      <c r="F31" s="5"/>
    </row>
    <row r="32" spans="1:16">
      <c r="B32" s="5"/>
      <c r="E32" s="52"/>
      <c r="F32" s="5"/>
    </row>
    <row r="33" spans="2:6">
      <c r="B33" s="5"/>
      <c r="E33" s="52"/>
      <c r="F33" s="5"/>
    </row>
    <row r="34" spans="2:6">
      <c r="B34" s="5"/>
      <c r="E34" s="52"/>
      <c r="F34" s="5"/>
    </row>
    <row r="35" spans="2:6">
      <c r="B35" s="5"/>
      <c r="E35" s="52"/>
      <c r="F35" s="5"/>
    </row>
    <row r="36" spans="2:6">
      <c r="B36" s="5"/>
      <c r="E36" s="52"/>
      <c r="F36" s="5"/>
    </row>
    <row r="37" spans="2:6">
      <c r="B37" s="5"/>
      <c r="E37" s="52"/>
      <c r="F37" s="5"/>
    </row>
    <row r="38" spans="2:6">
      <c r="B38" s="5"/>
      <c r="E38" s="52"/>
      <c r="F38" s="5"/>
    </row>
    <row r="39" spans="2:6">
      <c r="B39" s="5"/>
      <c r="E39" s="52"/>
      <c r="F39" s="5"/>
    </row>
    <row r="40" spans="2:6">
      <c r="B40" s="5"/>
      <c r="E40" s="52"/>
      <c r="F40" s="5"/>
    </row>
    <row r="41" spans="2:6">
      <c r="B41" s="5"/>
      <c r="E41" s="52"/>
      <c r="F41" s="5"/>
    </row>
    <row r="42" spans="2:6">
      <c r="B42" s="5"/>
      <c r="E42" s="52"/>
      <c r="F42" s="5"/>
    </row>
    <row r="43" spans="2:6">
      <c r="B43" s="5"/>
      <c r="E43" s="52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</sheetData>
  <phoneticPr fontId="8" type="noConversion"/>
  <hyperlinks>
    <hyperlink ref="P13" r:id="rId1" display="http://www.konkoly.hu/cgi-bin/IBVS?4887"/>
    <hyperlink ref="P14" r:id="rId2" display="http://www.bav-astro.de/sfs/BAVM_link.php?BAVMnr=178"/>
    <hyperlink ref="P25" r:id="rId3" display="http://www.bav-astro.de/sfs/BAVM_link.php?BAVMnr=212"/>
    <hyperlink ref="P26" r:id="rId4" display="http://www.bav-astro.de/sfs/BAVM_link.php?BAVMnr=212"/>
    <hyperlink ref="P15" r:id="rId5" display="http://www.bav-astro.de/sfs/BAVM_link.php?BAVMnr=220"/>
    <hyperlink ref="P16" r:id="rId6" display="http://www.bav-astro.de/sfs/BAVM_link.php?BAVMnr=220"/>
    <hyperlink ref="P27" r:id="rId7" display="http://www.bav-astro.de/sfs/BAVM_link.php?BAVMnr=225"/>
    <hyperlink ref="P17" r:id="rId8" display="http://www.bav-astro.de/sfs/BAVM_link.php?BAVMnr=234"/>
    <hyperlink ref="P18" r:id="rId9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2024-02-16T05:12:33Z</dcterms:modified>
</cp:coreProperties>
</file>