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D99DC0C-DD08-49E3-9BBB-E6CF78D50ED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6" i="1"/>
  <c r="Q38" i="1"/>
  <c r="G27" i="2"/>
  <c r="C27" i="2"/>
  <c r="G12" i="2"/>
  <c r="C12" i="2"/>
  <c r="G26" i="2"/>
  <c r="C26" i="2"/>
  <c r="G11" i="2"/>
  <c r="C11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27" i="2"/>
  <c r="D27" i="2"/>
  <c r="B27" i="2"/>
  <c r="A27" i="2"/>
  <c r="H12" i="2"/>
  <c r="B12" i="2"/>
  <c r="D12" i="2"/>
  <c r="A12" i="2"/>
  <c r="H26" i="2"/>
  <c r="D26" i="2"/>
  <c r="B26" i="2"/>
  <c r="A26" i="2"/>
  <c r="H11" i="2"/>
  <c r="B11" i="2"/>
  <c r="D11" i="2"/>
  <c r="A11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Q37" i="1"/>
  <c r="C4" i="1"/>
  <c r="C7" i="1"/>
  <c r="E21" i="1"/>
  <c r="F21" i="1"/>
  <c r="D4" i="1"/>
  <c r="C8" i="1"/>
  <c r="F16" i="1"/>
  <c r="C17" i="1"/>
  <c r="Q35" i="1"/>
  <c r="B2" i="1"/>
  <c r="Q34" i="1"/>
  <c r="E14" i="2"/>
  <c r="E15" i="2"/>
  <c r="E13" i="2"/>
  <c r="E24" i="2"/>
  <c r="E31" i="1"/>
  <c r="F31" i="1"/>
  <c r="U31" i="1" s="1"/>
  <c r="E23" i="1"/>
  <c r="F23" i="1"/>
  <c r="G23" i="1" s="1"/>
  <c r="J23" i="1" s="1"/>
  <c r="E34" i="1"/>
  <c r="F34" i="1" s="1"/>
  <c r="G34" i="1" s="1"/>
  <c r="H34" i="1" s="1"/>
  <c r="E28" i="1"/>
  <c r="F28" i="1" s="1"/>
  <c r="G28" i="1" s="1"/>
  <c r="J28" i="1" s="1"/>
  <c r="E33" i="1"/>
  <c r="F33" i="1" s="1"/>
  <c r="G33" i="1" s="1"/>
  <c r="J33" i="1" s="1"/>
  <c r="E25" i="1"/>
  <c r="E37" i="1"/>
  <c r="F37" i="1"/>
  <c r="G37" i="1" s="1"/>
  <c r="I37" i="1" s="1"/>
  <c r="E30" i="1"/>
  <c r="F30" i="1"/>
  <c r="G30" i="1" s="1"/>
  <c r="J30" i="1" s="1"/>
  <c r="E22" i="1"/>
  <c r="F22" i="1"/>
  <c r="G22" i="1" s="1"/>
  <c r="J22" i="1" s="1"/>
  <c r="E38" i="1"/>
  <c r="E27" i="2" s="1"/>
  <c r="E27" i="1"/>
  <c r="F27" i="1"/>
  <c r="G27" i="1" s="1"/>
  <c r="J27" i="1" s="1"/>
  <c r="E32" i="1"/>
  <c r="F32" i="1" s="1"/>
  <c r="G32" i="1" s="1"/>
  <c r="J32" i="1" s="1"/>
  <c r="E24" i="1"/>
  <c r="F24" i="1"/>
  <c r="G24" i="1" s="1"/>
  <c r="J24" i="1" s="1"/>
  <c r="G21" i="1"/>
  <c r="J21" i="1"/>
  <c r="E29" i="1"/>
  <c r="F29" i="1"/>
  <c r="G29" i="1" s="1"/>
  <c r="J29" i="1" s="1"/>
  <c r="E35" i="1"/>
  <c r="E11" i="2" s="1"/>
  <c r="F35" i="1"/>
  <c r="G35" i="1" s="1"/>
  <c r="I35" i="1" s="1"/>
  <c r="E36" i="1"/>
  <c r="F36" i="1" s="1"/>
  <c r="G36" i="1" s="1"/>
  <c r="J36" i="1" s="1"/>
  <c r="E26" i="1"/>
  <c r="F26" i="1" s="1"/>
  <c r="G26" i="1" s="1"/>
  <c r="J26" i="1" s="1"/>
  <c r="E21" i="2"/>
  <c r="E17" i="2"/>
  <c r="F25" i="1"/>
  <c r="G25" i="1"/>
  <c r="J25" i="1" s="1"/>
  <c r="E16" i="2"/>
  <c r="E23" i="2"/>
  <c r="E20" i="2"/>
  <c r="E12" i="2"/>
  <c r="E19" i="2"/>
  <c r="E22" i="2"/>
  <c r="E18" i="2" l="1"/>
  <c r="E26" i="2"/>
  <c r="F38" i="1"/>
  <c r="G38" i="1" s="1"/>
  <c r="E25" i="2"/>
  <c r="F17" i="1"/>
  <c r="C11" i="1"/>
  <c r="C12" i="1"/>
  <c r="C16" i="1" l="1"/>
  <c r="D18" i="1" s="1"/>
  <c r="O26" i="1"/>
  <c r="O38" i="1"/>
  <c r="O34" i="1"/>
  <c r="O35" i="1"/>
  <c r="O21" i="1"/>
  <c r="O32" i="1"/>
  <c r="O28" i="1"/>
  <c r="O30" i="1"/>
  <c r="O25" i="1"/>
  <c r="O29" i="1"/>
  <c r="O24" i="1"/>
  <c r="O23" i="1"/>
  <c r="O33" i="1"/>
  <c r="O37" i="1"/>
  <c r="O22" i="1"/>
  <c r="O31" i="1"/>
  <c r="O27" i="1"/>
  <c r="C15" i="1"/>
  <c r="F18" i="1" s="1"/>
  <c r="F19" i="1" s="1"/>
  <c r="O36" i="1"/>
  <c r="J38" i="1"/>
  <c r="C18" i="1" l="1"/>
</calcChain>
</file>

<file path=xl/sharedStrings.xml><?xml version="1.0" encoding="utf-8"?>
<sst xmlns="http://schemas.openxmlformats.org/spreadsheetml/2006/main" count="216" uniqueCount="122">
  <si>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</si>
  <si>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</si>
  <si>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</si>
  <si>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</si>
  <si>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</si>
  <si>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</si>
  <si>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</si>
  <si>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</si>
  <si>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</si>
  <si>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</si>
  <si>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</si>
  <si>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</si>
  <si>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</si>
  <si>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</si>
  <si>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</si>
  <si>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</si>
  <si>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</si>
  <si>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</si>
  <si>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</si>
  <si>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</si>
  <si>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</si>
  <si>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</si>
  <si>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</si>
  <si>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</si>
  <si>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</si>
  <si>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</si>
  <si>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</si>
  <si>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</si>
  <si>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</si>
  <si>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</si>
  <si>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</si>
  <si>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</si>
  <si>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</si>
  <si>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</si>
  <si>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</si>
  <si>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</si>
  <si>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</si>
  <si>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FI Lac / GSC 3988-0039               </t>
  </si>
  <si>
    <t>EA</t>
  </si>
  <si>
    <t>IBVS 5802</t>
  </si>
  <si>
    <t>Add cycle</t>
  </si>
  <si>
    <t>Old Cycle</t>
  </si>
  <si>
    <t>IBVS 6010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</si>
  <si>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</si>
  <si>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</si>
  <si>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</si>
  <si>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</si>
  <si>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</si>
  <si>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</si>
  <si>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</si>
  <si>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</si>
  <si>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</si>
  <si>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</si>
  <si>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</si>
  <si>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2428453.393 </t>
  </si>
  <si>
    <t> 11.10.1936 21:25 </t>
  </si>
  <si>
    <t> -0.026 </t>
  </si>
  <si>
    <t>P </t>
  </si>
  <si>
    <t> H.Huth </t>
  </si>
  <si>
    <t> VSS 4.160 </t>
  </si>
  <si>
    <t>2429130.412 </t>
  </si>
  <si>
    <t> 19.08.1938 21:53 </t>
  </si>
  <si>
    <t> -0.020 </t>
  </si>
  <si>
    <t>2429428.502 </t>
  </si>
  <si>
    <t> 14.06.1939 00:02 </t>
  </si>
  <si>
    <t> 0.014 </t>
  </si>
  <si>
    <t>2429496.566 </t>
  </si>
  <si>
    <t> 21.08.1939 01:35 </t>
  </si>
  <si>
    <t> -0.050 </t>
  </si>
  <si>
    <t>2429824.507 </t>
  </si>
  <si>
    <t> 14.07.1940 00:10 </t>
  </si>
  <si>
    <t> 0.030 </t>
  </si>
  <si>
    <t>2430254.493 </t>
  </si>
  <si>
    <t> 16.09.1941 23:49 </t>
  </si>
  <si>
    <t> -0.037 </t>
  </si>
  <si>
    <t>2430582.457 </t>
  </si>
  <si>
    <t> 10.08.1942 22:58 </t>
  </si>
  <si>
    <t> 0.066 </t>
  </si>
  <si>
    <t>2431029.478 </t>
  </si>
  <si>
    <t> 31.10.1943 23:28 </t>
  </si>
  <si>
    <t> 0.002 </t>
  </si>
  <si>
    <t>2431076.336 </t>
  </si>
  <si>
    <t> 17.12.1943 20:03 </t>
  </si>
  <si>
    <t> 0.023 </t>
  </si>
  <si>
    <t>2431706.514 </t>
  </si>
  <si>
    <t> 08.09.1945 00:20 </t>
  </si>
  <si>
    <t> 0.025 </t>
  </si>
  <si>
    <t>2433329.416 </t>
  </si>
  <si>
    <t> 16.02.1950 21:59 </t>
  </si>
  <si>
    <t> 0.650 </t>
  </si>
  <si>
    <t>2433920.615 </t>
  </si>
  <si>
    <t> 01.10.1951 02:45 </t>
  </si>
  <si>
    <t> -0.005 </t>
  </si>
  <si>
    <t>2433950.397 </t>
  </si>
  <si>
    <t> 30.10.1951 21:31 </t>
  </si>
  <si>
    <t> -0.029 </t>
  </si>
  <si>
    <t>2454222.5178 </t>
  </si>
  <si>
    <t> 02.05.2007 00:25 </t>
  </si>
  <si>
    <t> 0.0157 </t>
  </si>
  <si>
    <t>C </t>
  </si>
  <si>
    <t>-I</t>
  </si>
  <si>
    <t> F.Agerer </t>
  </si>
  <si>
    <t>BAVM 186 </t>
  </si>
  <si>
    <t>2454384.3232 </t>
  </si>
  <si>
    <t> 10.10.2007 19:45 </t>
  </si>
  <si>
    <t>6090</t>
  </si>
  <si>
    <t> 0.0192 </t>
  </si>
  <si>
    <t>BAVM 193 </t>
  </si>
  <si>
    <t>2455393.4549 </t>
  </si>
  <si>
    <t> 15.07.2010 22:55 </t>
  </si>
  <si>
    <t>6327</t>
  </si>
  <si>
    <t> 0.0179 </t>
  </si>
  <si>
    <t>o</t>
  </si>
  <si>
    <t> W.Moschner &amp; P.Frank </t>
  </si>
  <si>
    <t>BAVM 220 </t>
  </si>
  <si>
    <t>2455874.6043 </t>
  </si>
  <si>
    <t> 09.11.2011 02:30 </t>
  </si>
  <si>
    <t>6440</t>
  </si>
  <si>
    <t> 0.0195 </t>
  </si>
  <si>
    <t>BAVM 225 </t>
  </si>
  <si>
    <t>BAD?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</si>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</sst>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17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Lac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-5648</c:v>
                </c:pt>
                <c:pt idx="1">
                  <c:v>-5489</c:v>
                </c:pt>
                <c:pt idx="2">
                  <c:v>-5419</c:v>
                </c:pt>
                <c:pt idx="3">
                  <c:v>-5403</c:v>
                </c:pt>
                <c:pt idx="4">
                  <c:v>-5326</c:v>
                </c:pt>
                <c:pt idx="5">
                  <c:v>-5225</c:v>
                </c:pt>
                <c:pt idx="6">
                  <c:v>-5148</c:v>
                </c:pt>
                <c:pt idx="7">
                  <c:v>-5043</c:v>
                </c:pt>
                <c:pt idx="8">
                  <c:v>-5032</c:v>
                </c:pt>
                <c:pt idx="9">
                  <c:v>-4884</c:v>
                </c:pt>
                <c:pt idx="10">
                  <c:v>-4503</c:v>
                </c:pt>
                <c:pt idx="11">
                  <c:v>-4364</c:v>
                </c:pt>
                <c:pt idx="12">
                  <c:v>-4357</c:v>
                </c:pt>
                <c:pt idx="13">
                  <c:v>0</c:v>
                </c:pt>
                <c:pt idx="14">
                  <c:v>404</c:v>
                </c:pt>
                <c:pt idx="15">
                  <c:v>442</c:v>
                </c:pt>
                <c:pt idx="16">
                  <c:v>679</c:v>
                </c:pt>
                <c:pt idx="17">
                  <c:v>792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66-43C6-8814-E21FFC4CE5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-5648</c:v>
                </c:pt>
                <c:pt idx="1">
                  <c:v>-5489</c:v>
                </c:pt>
                <c:pt idx="2">
                  <c:v>-5419</c:v>
                </c:pt>
                <c:pt idx="3">
                  <c:v>-5403</c:v>
                </c:pt>
                <c:pt idx="4">
                  <c:v>-5326</c:v>
                </c:pt>
                <c:pt idx="5">
                  <c:v>-5225</c:v>
                </c:pt>
                <c:pt idx="6">
                  <c:v>-5148</c:v>
                </c:pt>
                <c:pt idx="7">
                  <c:v>-5043</c:v>
                </c:pt>
                <c:pt idx="8">
                  <c:v>-5032</c:v>
                </c:pt>
                <c:pt idx="9">
                  <c:v>-4884</c:v>
                </c:pt>
                <c:pt idx="10">
                  <c:v>-4503</c:v>
                </c:pt>
                <c:pt idx="11">
                  <c:v>-4364</c:v>
                </c:pt>
                <c:pt idx="12">
                  <c:v>-4357</c:v>
                </c:pt>
                <c:pt idx="13">
                  <c:v>0</c:v>
                </c:pt>
                <c:pt idx="14">
                  <c:v>404</c:v>
                </c:pt>
                <c:pt idx="15">
                  <c:v>442</c:v>
                </c:pt>
                <c:pt idx="16">
                  <c:v>679</c:v>
                </c:pt>
                <c:pt idx="17">
                  <c:v>792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4">
                  <c:v>-2.7879999979631975E-3</c:v>
                </c:pt>
                <c:pt idx="16">
                  <c:v>-1.1129999984405003E-3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66-43C6-8814-E21FFC4CE5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-5648</c:v>
                </c:pt>
                <c:pt idx="1">
                  <c:v>-5489</c:v>
                </c:pt>
                <c:pt idx="2">
                  <c:v>-5419</c:v>
                </c:pt>
                <c:pt idx="3">
                  <c:v>-5403</c:v>
                </c:pt>
                <c:pt idx="4">
                  <c:v>-5326</c:v>
                </c:pt>
                <c:pt idx="5">
                  <c:v>-5225</c:v>
                </c:pt>
                <c:pt idx="6">
                  <c:v>-5148</c:v>
                </c:pt>
                <c:pt idx="7">
                  <c:v>-5043</c:v>
                </c:pt>
                <c:pt idx="8">
                  <c:v>-5032</c:v>
                </c:pt>
                <c:pt idx="9">
                  <c:v>-4884</c:v>
                </c:pt>
                <c:pt idx="10">
                  <c:v>-4503</c:v>
                </c:pt>
                <c:pt idx="11">
                  <c:v>-4364</c:v>
                </c:pt>
                <c:pt idx="12">
                  <c:v>-4357</c:v>
                </c:pt>
                <c:pt idx="13">
                  <c:v>0</c:v>
                </c:pt>
                <c:pt idx="14">
                  <c:v>404</c:v>
                </c:pt>
                <c:pt idx="15">
                  <c:v>442</c:v>
                </c:pt>
                <c:pt idx="16">
                  <c:v>679</c:v>
                </c:pt>
                <c:pt idx="17">
                  <c:v>792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0">
                  <c:v>-3.2343999999284279E-2</c:v>
                </c:pt>
                <c:pt idx="1">
                  <c:v>-2.6916999999230029E-2</c:v>
                </c:pt>
                <c:pt idx="2">
                  <c:v>6.7930000004707836E-3</c:v>
                </c:pt>
                <c:pt idx="3">
                  <c:v>-5.6359000001975801E-2</c:v>
                </c:pt>
                <c:pt idx="4">
                  <c:v>2.2722000001522247E-2</c:v>
                </c:pt>
                <c:pt idx="5">
                  <c:v>-4.3925000001763692E-2</c:v>
                </c:pt>
                <c:pt idx="6">
                  <c:v>5.8155999999144115E-2</c:v>
                </c:pt>
                <c:pt idx="7">
                  <c:v>-5.279000000882661E-3</c:v>
                </c:pt>
                <c:pt idx="8">
                  <c:v>1.5304000000469387E-2</c:v>
                </c:pt>
                <c:pt idx="9">
                  <c:v>1.7147999998996966E-2</c:v>
                </c:pt>
                <c:pt idx="11">
                  <c:v>-1.429199999984121E-2</c:v>
                </c:pt>
                <c:pt idx="12">
                  <c:v>-3.7921000002825167E-2</c:v>
                </c:pt>
                <c:pt idx="15">
                  <c:v>6.2600000092061237E-4</c:v>
                </c:pt>
                <c:pt idx="17">
                  <c:v>2.7599999884841964E-4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66-43C6-8814-E21FFC4CE5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-5648</c:v>
                </c:pt>
                <c:pt idx="1">
                  <c:v>-5489</c:v>
                </c:pt>
                <c:pt idx="2">
                  <c:v>-5419</c:v>
                </c:pt>
                <c:pt idx="3">
                  <c:v>-5403</c:v>
                </c:pt>
                <c:pt idx="4">
                  <c:v>-5326</c:v>
                </c:pt>
                <c:pt idx="5">
                  <c:v>-5225</c:v>
                </c:pt>
                <c:pt idx="6">
                  <c:v>-5148</c:v>
                </c:pt>
                <c:pt idx="7">
                  <c:v>-5043</c:v>
                </c:pt>
                <c:pt idx="8">
                  <c:v>-5032</c:v>
                </c:pt>
                <c:pt idx="9">
                  <c:v>-4884</c:v>
                </c:pt>
                <c:pt idx="10">
                  <c:v>-4503</c:v>
                </c:pt>
                <c:pt idx="11">
                  <c:v>-4364</c:v>
                </c:pt>
                <c:pt idx="12">
                  <c:v>-4357</c:v>
                </c:pt>
                <c:pt idx="13">
                  <c:v>0</c:v>
                </c:pt>
                <c:pt idx="14">
                  <c:v>404</c:v>
                </c:pt>
                <c:pt idx="15">
                  <c:v>442</c:v>
                </c:pt>
                <c:pt idx="16">
                  <c:v>679</c:v>
                </c:pt>
                <c:pt idx="17">
                  <c:v>792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66-43C6-8814-E21FFC4CE5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-5648</c:v>
                </c:pt>
                <c:pt idx="1">
                  <c:v>-5489</c:v>
                </c:pt>
                <c:pt idx="2">
                  <c:v>-5419</c:v>
                </c:pt>
                <c:pt idx="3">
                  <c:v>-5403</c:v>
                </c:pt>
                <c:pt idx="4">
                  <c:v>-5326</c:v>
                </c:pt>
                <c:pt idx="5">
                  <c:v>-5225</c:v>
                </c:pt>
                <c:pt idx="6">
                  <c:v>-5148</c:v>
                </c:pt>
                <c:pt idx="7">
                  <c:v>-5043</c:v>
                </c:pt>
                <c:pt idx="8">
                  <c:v>-5032</c:v>
                </c:pt>
                <c:pt idx="9">
                  <c:v>-4884</c:v>
                </c:pt>
                <c:pt idx="10">
                  <c:v>-4503</c:v>
                </c:pt>
                <c:pt idx="11">
                  <c:v>-4364</c:v>
                </c:pt>
                <c:pt idx="12">
                  <c:v>-4357</c:v>
                </c:pt>
                <c:pt idx="13">
                  <c:v>0</c:v>
                </c:pt>
                <c:pt idx="14">
                  <c:v>404</c:v>
                </c:pt>
                <c:pt idx="15">
                  <c:v>442</c:v>
                </c:pt>
                <c:pt idx="16">
                  <c:v>679</c:v>
                </c:pt>
                <c:pt idx="17">
                  <c:v>792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66-43C6-8814-E21FFC4CE5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-5648</c:v>
                </c:pt>
                <c:pt idx="1">
                  <c:v>-5489</c:v>
                </c:pt>
                <c:pt idx="2">
                  <c:v>-5419</c:v>
                </c:pt>
                <c:pt idx="3">
                  <c:v>-5403</c:v>
                </c:pt>
                <c:pt idx="4">
                  <c:v>-5326</c:v>
                </c:pt>
                <c:pt idx="5">
                  <c:v>-5225</c:v>
                </c:pt>
                <c:pt idx="6">
                  <c:v>-5148</c:v>
                </c:pt>
                <c:pt idx="7">
                  <c:v>-5043</c:v>
                </c:pt>
                <c:pt idx="8">
                  <c:v>-5032</c:v>
                </c:pt>
                <c:pt idx="9">
                  <c:v>-4884</c:v>
                </c:pt>
                <c:pt idx="10">
                  <c:v>-4503</c:v>
                </c:pt>
                <c:pt idx="11">
                  <c:v>-4364</c:v>
                </c:pt>
                <c:pt idx="12">
                  <c:v>-4357</c:v>
                </c:pt>
                <c:pt idx="13">
                  <c:v>0</c:v>
                </c:pt>
                <c:pt idx="14">
                  <c:v>404</c:v>
                </c:pt>
                <c:pt idx="15">
                  <c:v>442</c:v>
                </c:pt>
                <c:pt idx="16">
                  <c:v>679</c:v>
                </c:pt>
                <c:pt idx="17">
                  <c:v>792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66-43C6-8814-E21FFC4CE5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4">
                    <c:v>1.6999999999999999E-3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-5648</c:v>
                </c:pt>
                <c:pt idx="1">
                  <c:v>-5489</c:v>
                </c:pt>
                <c:pt idx="2">
                  <c:v>-5419</c:v>
                </c:pt>
                <c:pt idx="3">
                  <c:v>-5403</c:v>
                </c:pt>
                <c:pt idx="4">
                  <c:v>-5326</c:v>
                </c:pt>
                <c:pt idx="5">
                  <c:v>-5225</c:v>
                </c:pt>
                <c:pt idx="6">
                  <c:v>-5148</c:v>
                </c:pt>
                <c:pt idx="7">
                  <c:v>-5043</c:v>
                </c:pt>
                <c:pt idx="8">
                  <c:v>-5032</c:v>
                </c:pt>
                <c:pt idx="9">
                  <c:v>-4884</c:v>
                </c:pt>
                <c:pt idx="10">
                  <c:v>-4503</c:v>
                </c:pt>
                <c:pt idx="11">
                  <c:v>-4364</c:v>
                </c:pt>
                <c:pt idx="12">
                  <c:v>-4357</c:v>
                </c:pt>
                <c:pt idx="13">
                  <c:v>0</c:v>
                </c:pt>
                <c:pt idx="14">
                  <c:v>404</c:v>
                </c:pt>
                <c:pt idx="15">
                  <c:v>442</c:v>
                </c:pt>
                <c:pt idx="16">
                  <c:v>679</c:v>
                </c:pt>
                <c:pt idx="17">
                  <c:v>792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66-43C6-8814-E21FFC4CE5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-5648</c:v>
                </c:pt>
                <c:pt idx="1">
                  <c:v>-5489</c:v>
                </c:pt>
                <c:pt idx="2">
                  <c:v>-5419</c:v>
                </c:pt>
                <c:pt idx="3">
                  <c:v>-5403</c:v>
                </c:pt>
                <c:pt idx="4">
                  <c:v>-5326</c:v>
                </c:pt>
                <c:pt idx="5">
                  <c:v>-5225</c:v>
                </c:pt>
                <c:pt idx="6">
                  <c:v>-5148</c:v>
                </c:pt>
                <c:pt idx="7">
                  <c:v>-5043</c:v>
                </c:pt>
                <c:pt idx="8">
                  <c:v>-5032</c:v>
                </c:pt>
                <c:pt idx="9">
                  <c:v>-4884</c:v>
                </c:pt>
                <c:pt idx="10">
                  <c:v>-4503</c:v>
                </c:pt>
                <c:pt idx="11">
                  <c:v>-4364</c:v>
                </c:pt>
                <c:pt idx="12">
                  <c:v>-4357</c:v>
                </c:pt>
                <c:pt idx="13">
                  <c:v>0</c:v>
                </c:pt>
                <c:pt idx="14">
                  <c:v>404</c:v>
                </c:pt>
                <c:pt idx="15">
                  <c:v>442</c:v>
                </c:pt>
                <c:pt idx="16">
                  <c:v>679</c:v>
                </c:pt>
                <c:pt idx="17">
                  <c:v>792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-8.8405845443364668E-3</c:v>
                </c:pt>
                <c:pt idx="1">
                  <c:v>-8.6240706093979654E-3</c:v>
                </c:pt>
                <c:pt idx="2">
                  <c:v>-8.528750009110575E-3</c:v>
                </c:pt>
                <c:pt idx="3">
                  <c:v>-8.5069624433305995E-3</c:v>
                </c:pt>
                <c:pt idx="4">
                  <c:v>-8.4021097830144706E-3</c:v>
                </c:pt>
                <c:pt idx="5">
                  <c:v>-8.2645757740283775E-3</c:v>
                </c:pt>
                <c:pt idx="6">
                  <c:v>-8.1597231137122486E-3</c:v>
                </c:pt>
                <c:pt idx="7">
                  <c:v>-8.0167422132811621E-3</c:v>
                </c:pt>
                <c:pt idx="8">
                  <c:v>-8.0017632618074284E-3</c:v>
                </c:pt>
                <c:pt idx="9">
                  <c:v>-7.8002282783426607E-3</c:v>
                </c:pt>
                <c:pt idx="10">
                  <c:v>-7.2814118682070061E-3</c:v>
                </c:pt>
                <c:pt idx="11">
                  <c:v>-7.0921323904934736E-3</c:v>
                </c:pt>
                <c:pt idx="12">
                  <c:v>-7.0826003304647342E-3</c:v>
                </c:pt>
                <c:pt idx="13">
                  <c:v>-1.1495738240052938E-3</c:v>
                </c:pt>
                <c:pt idx="14">
                  <c:v>-5.9943778806092519E-4</c:v>
                </c:pt>
                <c:pt idx="15">
                  <c:v>-5.4769231933348458E-4</c:v>
                </c:pt>
                <c:pt idx="16">
                  <c:v>-2.2496400121760492E-4</c:v>
                </c:pt>
                <c:pt idx="17">
                  <c:v>-7.1089317896531456E-5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66-43C6-8814-E21FFC4CE56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-5648</c:v>
                </c:pt>
                <c:pt idx="1">
                  <c:v>-5489</c:v>
                </c:pt>
                <c:pt idx="2">
                  <c:v>-5419</c:v>
                </c:pt>
                <c:pt idx="3">
                  <c:v>-5403</c:v>
                </c:pt>
                <c:pt idx="4">
                  <c:v>-5326</c:v>
                </c:pt>
                <c:pt idx="5">
                  <c:v>-5225</c:v>
                </c:pt>
                <c:pt idx="6">
                  <c:v>-5148</c:v>
                </c:pt>
                <c:pt idx="7">
                  <c:v>-5043</c:v>
                </c:pt>
                <c:pt idx="8">
                  <c:v>-5032</c:v>
                </c:pt>
                <c:pt idx="9">
                  <c:v>-4884</c:v>
                </c:pt>
                <c:pt idx="10">
                  <c:v>-4503</c:v>
                </c:pt>
                <c:pt idx="11">
                  <c:v>-4364</c:v>
                </c:pt>
                <c:pt idx="12">
                  <c:v>-4357</c:v>
                </c:pt>
                <c:pt idx="13">
                  <c:v>0</c:v>
                </c:pt>
                <c:pt idx="14">
                  <c:v>404</c:v>
                </c:pt>
                <c:pt idx="15">
                  <c:v>442</c:v>
                </c:pt>
                <c:pt idx="16">
                  <c:v>679</c:v>
                </c:pt>
                <c:pt idx="17">
                  <c:v>792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0">
                  <c:v>0.64134099999500904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66-43C6-8814-E21FFC4CE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535360"/>
        <c:axId val="1"/>
      </c:scatterChart>
      <c:valAx>
        <c:axId val="57553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535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95488721804512"/>
          <c:y val="0.92397937099967764"/>
          <c:w val="0.7624060150375939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26396AE-F7D7-A072-AC1A-A8FDF9B7F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37</v>
      </c>
      <c r="F1" s="3">
        <v>52502.31</v>
      </c>
      <c r="G1" s="3">
        <v>4.2579469999999997</v>
      </c>
      <c r="H1" s="3" t="s">
        <v>38</v>
      </c>
    </row>
    <row r="2" spans="1:8" x14ac:dyDescent="0.2">
      <c r="A2" t="s">
        <v>22</v>
      </c>
      <c r="B2" t="str">
        <f>H1</f>
        <v>EA</v>
      </c>
      <c r="C2" s="3"/>
      <c r="D2" s="3"/>
    </row>
    <row r="3" spans="1:8" ht="13.5" thickBot="1" x14ac:dyDescent="0.25"/>
    <row r="4" spans="1:8" ht="14.25" thickTop="1" thickBot="1" x14ac:dyDescent="0.25">
      <c r="A4" s="5" t="s">
        <v>36</v>
      </c>
      <c r="C4" s="8">
        <f>F1</f>
        <v>52502.31</v>
      </c>
      <c r="D4" s="9">
        <f>G1</f>
        <v>4.2579469999999997</v>
      </c>
    </row>
    <row r="5" spans="1:8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52502.31</v>
      </c>
    </row>
    <row r="8" spans="1:8" x14ac:dyDescent="0.2">
      <c r="A8" t="s">
        <v>2</v>
      </c>
      <c r="C8">
        <f>D4</f>
        <v>4.2579469999999997</v>
      </c>
      <c r="D8" s="29"/>
    </row>
    <row r="9" spans="1:8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INTERCEPT(INDIRECT($D$9):G992,INDIRECT($C$9):F992)</f>
        <v>-1.1495738240052938E-3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SLOPE(INDIRECT($D$9):G992,INDIRECT($C$9):F992)</f>
        <v>1.3617228612484371E-6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(C7+C11)+(C8+C12)*INT(MAX(F21:F3533))</f>
        <v>55874.603952910678</v>
      </c>
      <c r="E15" s="16" t="s">
        <v>40</v>
      </c>
      <c r="F15" s="13">
        <v>1</v>
      </c>
    </row>
    <row r="16" spans="1:8" x14ac:dyDescent="0.2">
      <c r="A16" s="18" t="s">
        <v>3</v>
      </c>
      <c r="B16" s="12"/>
      <c r="C16" s="19">
        <f ca="1">+C8+C12</f>
        <v>4.2579483617228613</v>
      </c>
      <c r="E16" s="16" t="s">
        <v>30</v>
      </c>
      <c r="F16" s="17">
        <f ca="1">NOW()+15018.5+$C$5/24</f>
        <v>60356.767173726847</v>
      </c>
    </row>
    <row r="17" spans="1:21" ht="13.5" thickBot="1" x14ac:dyDescent="0.25">
      <c r="A17" s="16" t="s">
        <v>27</v>
      </c>
      <c r="B17" s="12"/>
      <c r="C17" s="12">
        <f>COUNT(C21:C2191)</f>
        <v>18</v>
      </c>
      <c r="E17" s="16" t="s">
        <v>41</v>
      </c>
      <c r="F17" s="17">
        <f ca="1">ROUND(2*(F16-$C$7)/$C$8,0)/2+F15</f>
        <v>1845.5</v>
      </c>
    </row>
    <row r="18" spans="1:21" ht="14.25" thickTop="1" thickBot="1" x14ac:dyDescent="0.25">
      <c r="A18" s="18" t="s">
        <v>4</v>
      </c>
      <c r="B18" s="12"/>
      <c r="C18" s="21">
        <f ca="1">+C15</f>
        <v>55874.603952910678</v>
      </c>
      <c r="D18" s="22">
        <f ca="1">+C16</f>
        <v>4.2579483617228613</v>
      </c>
      <c r="E18" s="16" t="s">
        <v>31</v>
      </c>
      <c r="F18" s="25">
        <f ca="1">ROUND(2*(F16-$C$15)/$C$16,0)/2+F15</f>
        <v>1053.5</v>
      </c>
    </row>
    <row r="19" spans="1:21" ht="13.5" thickTop="1" x14ac:dyDescent="0.2">
      <c r="E19" s="16" t="s">
        <v>32</v>
      </c>
      <c r="F19" s="20">
        <f ca="1">+$C$15+$C$16*F18-15018.5-$C$5/24</f>
        <v>45342.24838531905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35</v>
      </c>
      <c r="I20" s="7" t="s">
        <v>26</v>
      </c>
      <c r="J20" s="7" t="s">
        <v>121</v>
      </c>
      <c r="K20" s="7" t="s">
        <v>45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U20" s="52" t="s">
        <v>120</v>
      </c>
    </row>
    <row r="21" spans="1:21" x14ac:dyDescent="0.2">
      <c r="A21" s="49" t="s">
        <v>59</v>
      </c>
      <c r="B21" s="51" t="s">
        <v>34</v>
      </c>
      <c r="C21" s="50">
        <v>28453.393</v>
      </c>
      <c r="D21" s="10"/>
      <c r="E21">
        <f>+(C21-C$7)/C$8</f>
        <v>-5648.0075961490356</v>
      </c>
      <c r="F21">
        <f>ROUND(2*E21,0)/2</f>
        <v>-5648</v>
      </c>
      <c r="G21">
        <f>+C21-(C$7+F21*C$8)</f>
        <v>-3.2343999999284279E-2</v>
      </c>
      <c r="J21">
        <f>+G21</f>
        <v>-3.2343999999284279E-2</v>
      </c>
      <c r="O21">
        <f ca="1">+C$11+C$12*$F21</f>
        <v>-8.8405845443364668E-3</v>
      </c>
      <c r="Q21" s="2">
        <f>+C21-15018.5</f>
        <v>13434.893</v>
      </c>
    </row>
    <row r="22" spans="1:21" x14ac:dyDescent="0.2">
      <c r="A22" s="49" t="s">
        <v>59</v>
      </c>
      <c r="B22" s="51" t="s">
        <v>34</v>
      </c>
      <c r="C22" s="50">
        <v>29130.412</v>
      </c>
      <c r="D22" s="10"/>
      <c r="E22">
        <f>+(C22-C$7)/C$8</f>
        <v>-5489.0063215911332</v>
      </c>
      <c r="F22">
        <f>ROUND(2*E22,0)/2</f>
        <v>-5489</v>
      </c>
      <c r="G22">
        <f>+C22-(C$7+F22*C$8)</f>
        <v>-2.6916999999230029E-2</v>
      </c>
      <c r="J22">
        <f>+G22</f>
        <v>-2.6916999999230029E-2</v>
      </c>
      <c r="O22">
        <f ca="1">+C$11+C$12*$F22</f>
        <v>-8.6240706093979654E-3</v>
      </c>
      <c r="Q22" s="2">
        <f>+C22-15018.5</f>
        <v>14111.912</v>
      </c>
    </row>
    <row r="23" spans="1:21" x14ac:dyDescent="0.2">
      <c r="A23" s="49" t="s">
        <v>59</v>
      </c>
      <c r="B23" s="51" t="s">
        <v>34</v>
      </c>
      <c r="C23" s="50">
        <v>29428.502</v>
      </c>
      <c r="D23" s="10"/>
      <c r="E23">
        <f>+(C23-C$7)/C$8</f>
        <v>-5418.9984046302125</v>
      </c>
      <c r="F23">
        <f>ROUND(2*E23,0)/2</f>
        <v>-5419</v>
      </c>
      <c r="G23">
        <f>+C23-(C$7+F23*C$8)</f>
        <v>6.7930000004707836E-3</v>
      </c>
      <c r="J23">
        <f>+G23</f>
        <v>6.7930000004707836E-3</v>
      </c>
      <c r="O23">
        <f ca="1">+C$11+C$12*$F23</f>
        <v>-8.528750009110575E-3</v>
      </c>
      <c r="Q23" s="2">
        <f>+C23-15018.5</f>
        <v>14410.002</v>
      </c>
    </row>
    <row r="24" spans="1:21" x14ac:dyDescent="0.2">
      <c r="A24" s="49" t="s">
        <v>59</v>
      </c>
      <c r="B24" s="51" t="s">
        <v>34</v>
      </c>
      <c r="C24" s="50">
        <v>29496.565999999999</v>
      </c>
      <c r="D24" s="10"/>
      <c r="E24">
        <f>+(C24-C$7)/C$8</f>
        <v>-5403.0132361910564</v>
      </c>
      <c r="F24">
        <f>ROUND(2*E24,0)/2</f>
        <v>-5403</v>
      </c>
      <c r="G24">
        <f>+C24-(C$7+F24*C$8)</f>
        <v>-5.6359000001975801E-2</v>
      </c>
      <c r="J24">
        <f>+G24</f>
        <v>-5.6359000001975801E-2</v>
      </c>
      <c r="O24">
        <f ca="1">+C$11+C$12*$F24</f>
        <v>-8.5069624433305995E-3</v>
      </c>
      <c r="Q24" s="2">
        <f>+C24-15018.5</f>
        <v>14478.065999999999</v>
      </c>
    </row>
    <row r="25" spans="1:21" x14ac:dyDescent="0.2">
      <c r="A25" s="49" t="s">
        <v>59</v>
      </c>
      <c r="B25" s="51" t="s">
        <v>34</v>
      </c>
      <c r="C25" s="50">
        <v>29824.507000000001</v>
      </c>
      <c r="D25" s="10"/>
      <c r="E25">
        <f>+(C25-C$7)/C$8</f>
        <v>-5325.9946636254508</v>
      </c>
      <c r="F25">
        <f>ROUND(2*E25,0)/2</f>
        <v>-5326</v>
      </c>
      <c r="G25">
        <f>+C25-(C$7+F25*C$8)</f>
        <v>2.2722000001522247E-2</v>
      </c>
      <c r="J25">
        <f>+G25</f>
        <v>2.2722000001522247E-2</v>
      </c>
      <c r="O25">
        <f ca="1">+C$11+C$12*$F25</f>
        <v>-8.4021097830144706E-3</v>
      </c>
      <c r="Q25" s="2">
        <f>+C25-15018.5</f>
        <v>14806.007000000001</v>
      </c>
    </row>
    <row r="26" spans="1:21" x14ac:dyDescent="0.2">
      <c r="A26" s="49" t="s">
        <v>59</v>
      </c>
      <c r="B26" s="51" t="s">
        <v>34</v>
      </c>
      <c r="C26" s="50">
        <v>30254.492999999999</v>
      </c>
      <c r="D26" s="10"/>
      <c r="E26">
        <f>+(C26-C$7)/C$8</f>
        <v>-5225.0103160044036</v>
      </c>
      <c r="F26">
        <f>ROUND(2*E26,0)/2</f>
        <v>-5225</v>
      </c>
      <c r="G26">
        <f>+C26-(C$7+F26*C$8)</f>
        <v>-4.3925000001763692E-2</v>
      </c>
      <c r="J26">
        <f>+G26</f>
        <v>-4.3925000001763692E-2</v>
      </c>
      <c r="O26">
        <f ca="1">+C$11+C$12*$F26</f>
        <v>-8.2645757740283775E-3</v>
      </c>
      <c r="Q26" s="2">
        <f>+C26-15018.5</f>
        <v>15235.992999999999</v>
      </c>
    </row>
    <row r="27" spans="1:21" x14ac:dyDescent="0.2">
      <c r="A27" s="49" t="s">
        <v>59</v>
      </c>
      <c r="B27" s="51" t="s">
        <v>34</v>
      </c>
      <c r="C27" s="50">
        <v>30582.456999999999</v>
      </c>
      <c r="D27" s="10"/>
      <c r="E27">
        <f>+(C27-C$7)/C$8</f>
        <v>-5147.9863417745692</v>
      </c>
      <c r="F27">
        <f>ROUND(2*E27,0)/2</f>
        <v>-5148</v>
      </c>
      <c r="G27">
        <f>+C27-(C$7+F27*C$8)</f>
        <v>5.8155999999144115E-2</v>
      </c>
      <c r="J27">
        <f>+G27</f>
        <v>5.8155999999144115E-2</v>
      </c>
      <c r="O27">
        <f ca="1">+C$11+C$12*$F27</f>
        <v>-8.1597231137122486E-3</v>
      </c>
      <c r="Q27" s="2">
        <f>+C27-15018.5</f>
        <v>15563.956999999999</v>
      </c>
    </row>
    <row r="28" spans="1:21" x14ac:dyDescent="0.2">
      <c r="A28" s="49" t="s">
        <v>59</v>
      </c>
      <c r="B28" s="51" t="s">
        <v>34</v>
      </c>
      <c r="C28" s="50">
        <v>31029.477999999999</v>
      </c>
      <c r="D28" s="10"/>
      <c r="E28">
        <f>+(C28-C$7)/C$8</f>
        <v>-5043.0012397993678</v>
      </c>
      <c r="F28">
        <f>ROUND(2*E28,0)/2</f>
        <v>-5043</v>
      </c>
      <c r="G28">
        <f>+C28-(C$7+F28*C$8)</f>
        <v>-5.279000000882661E-3</v>
      </c>
      <c r="J28">
        <f>+G28</f>
        <v>-5.279000000882661E-3</v>
      </c>
      <c r="O28">
        <f ca="1">+C$11+C$12*$F28</f>
        <v>-8.0167422132811621E-3</v>
      </c>
      <c r="Q28" s="2">
        <f>+C28-15018.5</f>
        <v>16010.977999999999</v>
      </c>
    </row>
    <row r="29" spans="1:21" x14ac:dyDescent="0.2">
      <c r="A29" s="49" t="s">
        <v>59</v>
      </c>
      <c r="B29" s="51" t="s">
        <v>34</v>
      </c>
      <c r="C29" s="50">
        <v>31076.335999999999</v>
      </c>
      <c r="D29" s="10"/>
      <c r="E29">
        <f>+(C29-C$7)/C$8</f>
        <v>-5031.9964057795924</v>
      </c>
      <c r="F29">
        <f>ROUND(2*E29,0)/2</f>
        <v>-5032</v>
      </c>
      <c r="G29">
        <f>+C29-(C$7+F29*C$8)</f>
        <v>1.5304000000469387E-2</v>
      </c>
      <c r="J29">
        <f>+G29</f>
        <v>1.5304000000469387E-2</v>
      </c>
      <c r="O29">
        <f ca="1">+C$11+C$12*$F29</f>
        <v>-8.0017632618074284E-3</v>
      </c>
      <c r="Q29" s="2">
        <f>+C29-15018.5</f>
        <v>16057.835999999999</v>
      </c>
    </row>
    <row r="30" spans="1:21" x14ac:dyDescent="0.2">
      <c r="A30" s="49" t="s">
        <v>59</v>
      </c>
      <c r="B30" s="51" t="s">
        <v>34</v>
      </c>
      <c r="C30" s="50">
        <v>31706.513999999999</v>
      </c>
      <c r="D30" s="10"/>
      <c r="E30">
        <f>+(C30-C$7)/C$8</f>
        <v>-4883.9959727070345</v>
      </c>
      <c r="F30">
        <f>ROUND(2*E30,0)/2</f>
        <v>-4884</v>
      </c>
      <c r="G30">
        <f>+C30-(C$7+F30*C$8)</f>
        <v>1.7147999998996966E-2</v>
      </c>
      <c r="J30">
        <f>+G30</f>
        <v>1.7147999998996966E-2</v>
      </c>
      <c r="O30">
        <f ca="1">+C$11+C$12*$F30</f>
        <v>-7.8002282783426607E-3</v>
      </c>
      <c r="Q30" s="2">
        <f>+C30-15018.5</f>
        <v>16688.013999999999</v>
      </c>
    </row>
    <row r="31" spans="1:21" x14ac:dyDescent="0.2">
      <c r="A31" s="49" t="s">
        <v>59</v>
      </c>
      <c r="B31" s="51" t="s">
        <v>34</v>
      </c>
      <c r="C31" s="50">
        <v>33329.415999999997</v>
      </c>
      <c r="D31" s="10"/>
      <c r="E31">
        <f>+(C31-C$7)/C$8</f>
        <v>-4502.849377880937</v>
      </c>
      <c r="F31">
        <f>ROUND(2*E31,0)/2</f>
        <v>-4503</v>
      </c>
      <c r="O31">
        <f ca="1">+C$11+C$12*$F31</f>
        <v>-7.2814118682070061E-3</v>
      </c>
      <c r="Q31" s="2">
        <f>+C31-15018.5</f>
        <v>18310.915999999997</v>
      </c>
      <c r="U31">
        <f>+C31-(C$7+F31*C$8)</f>
        <v>0.64134099999500904</v>
      </c>
    </row>
    <row r="32" spans="1:21" x14ac:dyDescent="0.2">
      <c r="A32" s="49" t="s">
        <v>59</v>
      </c>
      <c r="B32" s="51" t="s">
        <v>34</v>
      </c>
      <c r="C32" s="50">
        <v>33920.614999999998</v>
      </c>
      <c r="D32" s="10"/>
      <c r="E32">
        <f>+(C32-C$7)/C$8</f>
        <v>-4364.0033565471813</v>
      </c>
      <c r="F32">
        <f>ROUND(2*E32,0)/2</f>
        <v>-4364</v>
      </c>
      <c r="G32">
        <f>+C32-(C$7+F32*C$8)</f>
        <v>-1.429199999984121E-2</v>
      </c>
      <c r="J32">
        <f>+G32</f>
        <v>-1.429199999984121E-2</v>
      </c>
      <c r="O32">
        <f ca="1">+C$11+C$12*$F32</f>
        <v>-7.0921323904934736E-3</v>
      </c>
      <c r="Q32" s="2">
        <f>+C32-15018.5</f>
        <v>18902.114999999998</v>
      </c>
    </row>
    <row r="33" spans="1:17" x14ac:dyDescent="0.2">
      <c r="A33" s="49" t="s">
        <v>59</v>
      </c>
      <c r="B33" s="51" t="s">
        <v>34</v>
      </c>
      <c r="C33" s="50">
        <v>33950.396999999997</v>
      </c>
      <c r="D33" s="10"/>
      <c r="E33">
        <f>+(C33-C$7)/C$8</f>
        <v>-4357.0089059351849</v>
      </c>
      <c r="F33">
        <f>ROUND(2*E33,0)/2</f>
        <v>-4357</v>
      </c>
      <c r="G33">
        <f>+C33-(C$7+F33*C$8)</f>
        <v>-3.7921000002825167E-2</v>
      </c>
      <c r="J33">
        <f>+G33</f>
        <v>-3.7921000002825167E-2</v>
      </c>
      <c r="O33">
        <f ca="1">+C$11+C$12*$F33</f>
        <v>-7.0826003304647342E-3</v>
      </c>
      <c r="Q33" s="2">
        <f>+C33-15018.5</f>
        <v>18931.896999999997</v>
      </c>
    </row>
    <row r="34" spans="1:17" x14ac:dyDescent="0.2">
      <c r="A34" s="31" t="s">
        <v>35</v>
      </c>
      <c r="B34" s="30" t="s">
        <v>34</v>
      </c>
      <c r="C34" s="31">
        <v>52502.31</v>
      </c>
      <c r="D34" s="28"/>
      <c r="E34">
        <f>+(C34-C$7)/C$8</f>
        <v>0</v>
      </c>
      <c r="F34">
        <f>ROUND(2*E34,0)/2</f>
        <v>0</v>
      </c>
      <c r="G34">
        <f>+C34-(C$7+F34*C$8)</f>
        <v>0</v>
      </c>
      <c r="H34">
        <f>+G34</f>
        <v>0</v>
      </c>
      <c r="O34">
        <f ca="1">+C$11+C$12*$F34</f>
        <v>-1.1495738240052938E-3</v>
      </c>
      <c r="Q34" s="2">
        <f>+C34-15018.5</f>
        <v>37483.81</v>
      </c>
    </row>
    <row r="35" spans="1:17" x14ac:dyDescent="0.2">
      <c r="A35" s="32" t="s">
        <v>39</v>
      </c>
      <c r="B35" s="33"/>
      <c r="C35" s="32">
        <v>54222.517800000001</v>
      </c>
      <c r="D35" s="32">
        <v>1.6999999999999999E-3</v>
      </c>
      <c r="E35">
        <f>+(C35-C$7)/C$8</f>
        <v>403.99934522435433</v>
      </c>
      <c r="F35">
        <f>ROUND(2*E35,0)/2</f>
        <v>404</v>
      </c>
      <c r="G35">
        <f>+C35-(C$7+F35*C$8)</f>
        <v>-2.7879999979631975E-3</v>
      </c>
      <c r="I35">
        <f>+G35</f>
        <v>-2.7879999979631975E-3</v>
      </c>
      <c r="O35">
        <f ca="1">+C$11+C$12*$F35</f>
        <v>-5.9943778806092519E-4</v>
      </c>
      <c r="Q35" s="2">
        <f>+C35-15018.5</f>
        <v>39204.017800000001</v>
      </c>
    </row>
    <row r="36" spans="1:17" x14ac:dyDescent="0.2">
      <c r="A36" s="49" t="s">
        <v>107</v>
      </c>
      <c r="B36" s="51" t="s">
        <v>34</v>
      </c>
      <c r="C36" s="50">
        <v>54384.323199999999</v>
      </c>
      <c r="D36" s="10"/>
      <c r="E36">
        <f>+(C36-C$7)/C$8</f>
        <v>442.00014701920935</v>
      </c>
      <c r="F36">
        <f>ROUND(2*E36,0)/2</f>
        <v>442</v>
      </c>
      <c r="G36">
        <f>+C36-(C$7+F36*C$8)</f>
        <v>6.2600000092061237E-4</v>
      </c>
      <c r="J36">
        <f>+G36</f>
        <v>6.2600000092061237E-4</v>
      </c>
      <c r="O36">
        <f ca="1">+C$11+C$12*$F36</f>
        <v>-5.4769231933348458E-4</v>
      </c>
      <c r="Q36" s="2">
        <f>+C36-15018.5</f>
        <v>39365.823199999999</v>
      </c>
    </row>
    <row r="37" spans="1:17" x14ac:dyDescent="0.2">
      <c r="A37" s="34" t="s">
        <v>42</v>
      </c>
      <c r="B37" s="35" t="s">
        <v>34</v>
      </c>
      <c r="C37" s="34">
        <v>55393.454899999997</v>
      </c>
      <c r="D37" s="53">
        <v>5.0000000000000001E-4</v>
      </c>
      <c r="E37">
        <f>+(C37-C$7)/C$8</f>
        <v>678.99973860642217</v>
      </c>
      <c r="F37">
        <f>ROUND(2*E37,0)/2</f>
        <v>679</v>
      </c>
      <c r="G37">
        <f>+C37-(C$7+F37*C$8)</f>
        <v>-1.1129999984405003E-3</v>
      </c>
      <c r="I37">
        <f>+G37</f>
        <v>-1.1129999984405003E-3</v>
      </c>
      <c r="O37">
        <f ca="1">+C$11+C$12*$F37</f>
        <v>-2.2496400121760492E-4</v>
      </c>
      <c r="Q37" s="2">
        <f>+C37-15018.5</f>
        <v>40374.954899999997</v>
      </c>
    </row>
    <row r="38" spans="1:17" x14ac:dyDescent="0.2">
      <c r="A38" s="49" t="s">
        <v>119</v>
      </c>
      <c r="B38" s="51" t="s">
        <v>34</v>
      </c>
      <c r="C38" s="50">
        <v>55874.604299999999</v>
      </c>
      <c r="D38" s="10"/>
      <c r="E38">
        <f>+(C38-C$7)/C$8</f>
        <v>792.00006481997116</v>
      </c>
      <c r="F38">
        <f>ROUND(2*E38,0)/2</f>
        <v>792</v>
      </c>
      <c r="G38">
        <f>+C38-(C$7+F38*C$8)</f>
        <v>2.7599999884841964E-4</v>
      </c>
      <c r="J38">
        <f>+G38</f>
        <v>2.7599999884841964E-4</v>
      </c>
      <c r="O38">
        <f ca="1">+C$11+C$12*$F38</f>
        <v>-7.1089317896531456E-5</v>
      </c>
      <c r="Q38" s="2">
        <f>+C38-15018.5</f>
        <v>40856.104299999999</v>
      </c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W43">
    <sortCondition ref="C21:C43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8"/>
  <sheetViews>
    <sheetView topLeftCell="A2" workbookViewId="0">
      <selection activeCell="A13" sqref="A13:C2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43</v>
      </c>
      <c r="I1" s="37" t="s">
        <v>44</v>
      </c>
      <c r="J1" s="38" t="s">
        <v>45</v>
      </c>
    </row>
    <row r="2" spans="1:16" x14ac:dyDescent="0.2">
      <c r="I2" s="39" t="s">
        <v>46</v>
      </c>
      <c r="J2" s="40" t="s">
        <v>47</v>
      </c>
    </row>
    <row r="3" spans="1:16" x14ac:dyDescent="0.2">
      <c r="A3" s="41" t="s">
        <v>48</v>
      </c>
      <c r="I3" s="39" t="s">
        <v>49</v>
      </c>
      <c r="J3" s="40" t="s">
        <v>50</v>
      </c>
    </row>
    <row r="4" spans="1:16" x14ac:dyDescent="0.2">
      <c r="I4" s="39" t="s">
        <v>51</v>
      </c>
      <c r="J4" s="40" t="s">
        <v>50</v>
      </c>
    </row>
    <row r="5" spans="1:16" ht="13.5" thickBot="1" x14ac:dyDescent="0.25">
      <c r="I5" s="42" t="s">
        <v>52</v>
      </c>
      <c r="J5" s="43" t="s">
        <v>53</v>
      </c>
    </row>
    <row r="10" spans="1:16" ht="13.5" thickBot="1" x14ac:dyDescent="0.25"/>
    <row r="11" spans="1:16" ht="12.75" customHeight="1" thickBot="1" x14ac:dyDescent="0.25">
      <c r="A11" s="10" t="str">
        <f t="shared" ref="A11:A27" si="0">P11</f>
        <v>BAVM 186 </v>
      </c>
      <c r="B11" s="3" t="str">
        <f t="shared" ref="B11:B27" si="1">IF(H11=INT(H11),"I","II")</f>
        <v>I</v>
      </c>
      <c r="C11" s="10">
        <f t="shared" ref="C11:C27" si="2">1*G11</f>
        <v>54222.517800000001</v>
      </c>
      <c r="D11" s="12" t="str">
        <f t="shared" ref="D11:D27" si="3">VLOOKUP(F11,I$1:J$5,2,FALSE)</f>
        <v>vis</v>
      </c>
      <c r="E11" s="44">
        <f>VLOOKUP(C11,Active!C$21:E$973,3,FALSE)</f>
        <v>403.99934522435433</v>
      </c>
      <c r="F11" s="3" t="s">
        <v>52</v>
      </c>
      <c r="G11" s="12" t="str">
        <f t="shared" ref="G11:G27" si="4">MID(I11,3,LEN(I11)-3)</f>
        <v>54222.5178</v>
      </c>
      <c r="H11" s="10">
        <f t="shared" ref="H11:H27" si="5">1*K11</f>
        <v>6052</v>
      </c>
      <c r="I11" s="45" t="s">
        <v>96</v>
      </c>
      <c r="J11" s="46" t="s">
        <v>97</v>
      </c>
      <c r="K11" s="45">
        <v>6052</v>
      </c>
      <c r="L11" s="45" t="s">
        <v>98</v>
      </c>
      <c r="M11" s="46" t="s">
        <v>99</v>
      </c>
      <c r="N11" s="46" t="s">
        <v>100</v>
      </c>
      <c r="O11" s="47" t="s">
        <v>101</v>
      </c>
      <c r="P11" s="48" t="s">
        <v>102</v>
      </c>
    </row>
    <row r="12" spans="1:16" ht="12.75" customHeight="1" thickBot="1" x14ac:dyDescent="0.25">
      <c r="A12" s="10" t="str">
        <f t="shared" si="0"/>
        <v>BAVM 220 </v>
      </c>
      <c r="B12" s="3" t="str">
        <f t="shared" si="1"/>
        <v>I</v>
      </c>
      <c r="C12" s="10">
        <f t="shared" si="2"/>
        <v>55393.454899999997</v>
      </c>
      <c r="D12" s="12" t="str">
        <f t="shared" si="3"/>
        <v>vis</v>
      </c>
      <c r="E12" s="44">
        <f>VLOOKUP(C12,Active!C$21:E$973,3,FALSE)</f>
        <v>678.99973860642217</v>
      </c>
      <c r="F12" s="3" t="s">
        <v>52</v>
      </c>
      <c r="G12" s="12" t="str">
        <f t="shared" si="4"/>
        <v>55393.4549</v>
      </c>
      <c r="H12" s="10">
        <f t="shared" si="5"/>
        <v>6327</v>
      </c>
      <c r="I12" s="45" t="s">
        <v>108</v>
      </c>
      <c r="J12" s="46" t="s">
        <v>109</v>
      </c>
      <c r="K12" s="45" t="s">
        <v>110</v>
      </c>
      <c r="L12" s="45" t="s">
        <v>111</v>
      </c>
      <c r="M12" s="46" t="s">
        <v>99</v>
      </c>
      <c r="N12" s="46" t="s">
        <v>112</v>
      </c>
      <c r="O12" s="47" t="s">
        <v>113</v>
      </c>
      <c r="P12" s="48" t="s">
        <v>114</v>
      </c>
    </row>
    <row r="13" spans="1:16" ht="12.75" customHeight="1" thickBot="1" x14ac:dyDescent="0.25">
      <c r="A13" s="10" t="str">
        <f t="shared" si="0"/>
        <v> VSS 4.160 </v>
      </c>
      <c r="B13" s="3" t="str">
        <f t="shared" si="1"/>
        <v>I</v>
      </c>
      <c r="C13" s="10">
        <f t="shared" si="2"/>
        <v>28453.393</v>
      </c>
      <c r="D13" s="12" t="str">
        <f t="shared" si="3"/>
        <v>vis</v>
      </c>
      <c r="E13" s="44">
        <f>VLOOKUP(C13,Active!C$21:E$973,3,FALSE)</f>
        <v>-5648.0075961490356</v>
      </c>
      <c r="F13" s="3" t="s">
        <v>52</v>
      </c>
      <c r="G13" s="12" t="str">
        <f t="shared" si="4"/>
        <v>28453.393</v>
      </c>
      <c r="H13" s="10">
        <f t="shared" si="5"/>
        <v>0</v>
      </c>
      <c r="I13" s="45" t="s">
        <v>54</v>
      </c>
      <c r="J13" s="46" t="s">
        <v>55</v>
      </c>
      <c r="K13" s="45">
        <v>0</v>
      </c>
      <c r="L13" s="45" t="s">
        <v>56</v>
      </c>
      <c r="M13" s="46" t="s">
        <v>57</v>
      </c>
      <c r="N13" s="46"/>
      <c r="O13" s="47" t="s">
        <v>58</v>
      </c>
      <c r="P13" s="47" t="s">
        <v>59</v>
      </c>
    </row>
    <row r="14" spans="1:16" ht="12.75" customHeight="1" thickBot="1" x14ac:dyDescent="0.25">
      <c r="A14" s="10" t="str">
        <f t="shared" si="0"/>
        <v> VSS 4.160 </v>
      </c>
      <c r="B14" s="3" t="str">
        <f t="shared" si="1"/>
        <v>I</v>
      </c>
      <c r="C14" s="10">
        <f t="shared" si="2"/>
        <v>29130.412</v>
      </c>
      <c r="D14" s="12" t="str">
        <f t="shared" si="3"/>
        <v>vis</v>
      </c>
      <c r="E14" s="44">
        <f>VLOOKUP(C14,Active!C$21:E$973,3,FALSE)</f>
        <v>-5489.0063215911332</v>
      </c>
      <c r="F14" s="3" t="s">
        <v>52</v>
      </c>
      <c r="G14" s="12" t="str">
        <f t="shared" si="4"/>
        <v>29130.412</v>
      </c>
      <c r="H14" s="10">
        <f t="shared" si="5"/>
        <v>159</v>
      </c>
      <c r="I14" s="45" t="s">
        <v>60</v>
      </c>
      <c r="J14" s="46" t="s">
        <v>61</v>
      </c>
      <c r="K14" s="45">
        <v>159</v>
      </c>
      <c r="L14" s="45" t="s">
        <v>62</v>
      </c>
      <c r="M14" s="46" t="s">
        <v>57</v>
      </c>
      <c r="N14" s="46"/>
      <c r="O14" s="47" t="s">
        <v>58</v>
      </c>
      <c r="P14" s="47" t="s">
        <v>59</v>
      </c>
    </row>
    <row r="15" spans="1:16" ht="12.75" customHeight="1" thickBot="1" x14ac:dyDescent="0.25">
      <c r="A15" s="10" t="str">
        <f t="shared" si="0"/>
        <v> VSS 4.160 </v>
      </c>
      <c r="B15" s="3" t="str">
        <f t="shared" si="1"/>
        <v>I</v>
      </c>
      <c r="C15" s="10">
        <f t="shared" si="2"/>
        <v>29428.502</v>
      </c>
      <c r="D15" s="12" t="str">
        <f t="shared" si="3"/>
        <v>vis</v>
      </c>
      <c r="E15" s="44">
        <f>VLOOKUP(C15,Active!C$21:E$973,3,FALSE)</f>
        <v>-5418.9984046302125</v>
      </c>
      <c r="F15" s="3" t="s">
        <v>52</v>
      </c>
      <c r="G15" s="12" t="str">
        <f t="shared" si="4"/>
        <v>29428.502</v>
      </c>
      <c r="H15" s="10">
        <f t="shared" si="5"/>
        <v>229</v>
      </c>
      <c r="I15" s="45" t="s">
        <v>63</v>
      </c>
      <c r="J15" s="46" t="s">
        <v>64</v>
      </c>
      <c r="K15" s="45">
        <v>229</v>
      </c>
      <c r="L15" s="45" t="s">
        <v>65</v>
      </c>
      <c r="M15" s="46" t="s">
        <v>57</v>
      </c>
      <c r="N15" s="46"/>
      <c r="O15" s="47" t="s">
        <v>58</v>
      </c>
      <c r="P15" s="47" t="s">
        <v>59</v>
      </c>
    </row>
    <row r="16" spans="1:16" ht="12.75" customHeight="1" thickBot="1" x14ac:dyDescent="0.25">
      <c r="A16" s="10" t="str">
        <f t="shared" si="0"/>
        <v> VSS 4.160 </v>
      </c>
      <c r="B16" s="3" t="str">
        <f t="shared" si="1"/>
        <v>I</v>
      </c>
      <c r="C16" s="10">
        <f t="shared" si="2"/>
        <v>29496.565999999999</v>
      </c>
      <c r="D16" s="12" t="str">
        <f t="shared" si="3"/>
        <v>vis</v>
      </c>
      <c r="E16" s="44">
        <f>VLOOKUP(C16,Active!C$21:E$973,3,FALSE)</f>
        <v>-5403.0132361910564</v>
      </c>
      <c r="F16" s="3" t="s">
        <v>52</v>
      </c>
      <c r="G16" s="12" t="str">
        <f t="shared" si="4"/>
        <v>29496.566</v>
      </c>
      <c r="H16" s="10">
        <f t="shared" si="5"/>
        <v>245</v>
      </c>
      <c r="I16" s="45" t="s">
        <v>66</v>
      </c>
      <c r="J16" s="46" t="s">
        <v>67</v>
      </c>
      <c r="K16" s="45">
        <v>245</v>
      </c>
      <c r="L16" s="45" t="s">
        <v>68</v>
      </c>
      <c r="M16" s="46" t="s">
        <v>57</v>
      </c>
      <c r="N16" s="46"/>
      <c r="O16" s="47" t="s">
        <v>58</v>
      </c>
      <c r="P16" s="47" t="s">
        <v>59</v>
      </c>
    </row>
    <row r="17" spans="1:16" ht="12.75" customHeight="1" thickBot="1" x14ac:dyDescent="0.25">
      <c r="A17" s="10" t="str">
        <f t="shared" si="0"/>
        <v> VSS 4.160 </v>
      </c>
      <c r="B17" s="3" t="str">
        <f t="shared" si="1"/>
        <v>I</v>
      </c>
      <c r="C17" s="10">
        <f t="shared" si="2"/>
        <v>29824.507000000001</v>
      </c>
      <c r="D17" s="12" t="str">
        <f t="shared" si="3"/>
        <v>vis</v>
      </c>
      <c r="E17" s="44">
        <f>VLOOKUP(C17,Active!C$21:E$973,3,FALSE)</f>
        <v>-5325.9946636254508</v>
      </c>
      <c r="F17" s="3" t="s">
        <v>52</v>
      </c>
      <c r="G17" s="12" t="str">
        <f t="shared" si="4"/>
        <v>29824.507</v>
      </c>
      <c r="H17" s="10">
        <f t="shared" si="5"/>
        <v>322</v>
      </c>
      <c r="I17" s="45" t="s">
        <v>69</v>
      </c>
      <c r="J17" s="46" t="s">
        <v>70</v>
      </c>
      <c r="K17" s="45">
        <v>322</v>
      </c>
      <c r="L17" s="45" t="s">
        <v>71</v>
      </c>
      <c r="M17" s="46" t="s">
        <v>57</v>
      </c>
      <c r="N17" s="46"/>
      <c r="O17" s="47" t="s">
        <v>58</v>
      </c>
      <c r="P17" s="47" t="s">
        <v>59</v>
      </c>
    </row>
    <row r="18" spans="1:16" ht="12.75" customHeight="1" thickBot="1" x14ac:dyDescent="0.25">
      <c r="A18" s="10" t="str">
        <f t="shared" si="0"/>
        <v> VSS 4.160 </v>
      </c>
      <c r="B18" s="3" t="str">
        <f t="shared" si="1"/>
        <v>I</v>
      </c>
      <c r="C18" s="10">
        <f t="shared" si="2"/>
        <v>30254.492999999999</v>
      </c>
      <c r="D18" s="12" t="str">
        <f t="shared" si="3"/>
        <v>vis</v>
      </c>
      <c r="E18" s="44">
        <f>VLOOKUP(C18,Active!C$21:E$973,3,FALSE)</f>
        <v>-5225.0103160044036</v>
      </c>
      <c r="F18" s="3" t="s">
        <v>52</v>
      </c>
      <c r="G18" s="12" t="str">
        <f t="shared" si="4"/>
        <v>30254.493</v>
      </c>
      <c r="H18" s="10">
        <f t="shared" si="5"/>
        <v>423</v>
      </c>
      <c r="I18" s="45" t="s">
        <v>72</v>
      </c>
      <c r="J18" s="46" t="s">
        <v>73</v>
      </c>
      <c r="K18" s="45">
        <v>423</v>
      </c>
      <c r="L18" s="45" t="s">
        <v>74</v>
      </c>
      <c r="M18" s="46" t="s">
        <v>57</v>
      </c>
      <c r="N18" s="46"/>
      <c r="O18" s="47" t="s">
        <v>58</v>
      </c>
      <c r="P18" s="47" t="s">
        <v>59</v>
      </c>
    </row>
    <row r="19" spans="1:16" ht="12.75" customHeight="1" thickBot="1" x14ac:dyDescent="0.25">
      <c r="A19" s="10" t="str">
        <f t="shared" si="0"/>
        <v> VSS 4.160 </v>
      </c>
      <c r="B19" s="3" t="str">
        <f t="shared" si="1"/>
        <v>I</v>
      </c>
      <c r="C19" s="10">
        <f t="shared" si="2"/>
        <v>30582.456999999999</v>
      </c>
      <c r="D19" s="12" t="str">
        <f t="shared" si="3"/>
        <v>vis</v>
      </c>
      <c r="E19" s="44">
        <f>VLOOKUP(C19,Active!C$21:E$973,3,FALSE)</f>
        <v>-5147.9863417745692</v>
      </c>
      <c r="F19" s="3" t="s">
        <v>52</v>
      </c>
      <c r="G19" s="12" t="str">
        <f t="shared" si="4"/>
        <v>30582.457</v>
      </c>
      <c r="H19" s="10">
        <f t="shared" si="5"/>
        <v>500</v>
      </c>
      <c r="I19" s="45" t="s">
        <v>75</v>
      </c>
      <c r="J19" s="46" t="s">
        <v>76</v>
      </c>
      <c r="K19" s="45">
        <v>500</v>
      </c>
      <c r="L19" s="45" t="s">
        <v>77</v>
      </c>
      <c r="M19" s="46" t="s">
        <v>57</v>
      </c>
      <c r="N19" s="46"/>
      <c r="O19" s="47" t="s">
        <v>58</v>
      </c>
      <c r="P19" s="47" t="s">
        <v>59</v>
      </c>
    </row>
    <row r="20" spans="1:16" ht="12.75" customHeight="1" thickBot="1" x14ac:dyDescent="0.25">
      <c r="A20" s="10" t="str">
        <f t="shared" si="0"/>
        <v> VSS 4.160 </v>
      </c>
      <c r="B20" s="3" t="str">
        <f t="shared" si="1"/>
        <v>I</v>
      </c>
      <c r="C20" s="10">
        <f t="shared" si="2"/>
        <v>31029.477999999999</v>
      </c>
      <c r="D20" s="12" t="str">
        <f t="shared" si="3"/>
        <v>vis</v>
      </c>
      <c r="E20" s="44">
        <f>VLOOKUP(C20,Active!C$21:E$973,3,FALSE)</f>
        <v>-5043.0012397993678</v>
      </c>
      <c r="F20" s="3" t="s">
        <v>52</v>
      </c>
      <c r="G20" s="12" t="str">
        <f t="shared" si="4"/>
        <v>31029.478</v>
      </c>
      <c r="H20" s="10">
        <f t="shared" si="5"/>
        <v>605</v>
      </c>
      <c r="I20" s="45" t="s">
        <v>78</v>
      </c>
      <c r="J20" s="46" t="s">
        <v>79</v>
      </c>
      <c r="K20" s="45">
        <v>605</v>
      </c>
      <c r="L20" s="45" t="s">
        <v>80</v>
      </c>
      <c r="M20" s="46" t="s">
        <v>57</v>
      </c>
      <c r="N20" s="46"/>
      <c r="O20" s="47" t="s">
        <v>58</v>
      </c>
      <c r="P20" s="47" t="s">
        <v>59</v>
      </c>
    </row>
    <row r="21" spans="1:16" ht="12.75" customHeight="1" thickBot="1" x14ac:dyDescent="0.25">
      <c r="A21" s="10" t="str">
        <f t="shared" si="0"/>
        <v> VSS 4.160 </v>
      </c>
      <c r="B21" s="3" t="str">
        <f t="shared" si="1"/>
        <v>I</v>
      </c>
      <c r="C21" s="10">
        <f t="shared" si="2"/>
        <v>31076.335999999999</v>
      </c>
      <c r="D21" s="12" t="str">
        <f t="shared" si="3"/>
        <v>vis</v>
      </c>
      <c r="E21" s="44">
        <f>VLOOKUP(C21,Active!C$21:E$973,3,FALSE)</f>
        <v>-5031.9964057795924</v>
      </c>
      <c r="F21" s="3" t="s">
        <v>52</v>
      </c>
      <c r="G21" s="12" t="str">
        <f t="shared" si="4"/>
        <v>31076.336</v>
      </c>
      <c r="H21" s="10">
        <f t="shared" si="5"/>
        <v>616</v>
      </c>
      <c r="I21" s="45" t="s">
        <v>81</v>
      </c>
      <c r="J21" s="46" t="s">
        <v>82</v>
      </c>
      <c r="K21" s="45">
        <v>616</v>
      </c>
      <c r="L21" s="45" t="s">
        <v>83</v>
      </c>
      <c r="M21" s="46" t="s">
        <v>57</v>
      </c>
      <c r="N21" s="46"/>
      <c r="O21" s="47" t="s">
        <v>58</v>
      </c>
      <c r="P21" s="47" t="s">
        <v>59</v>
      </c>
    </row>
    <row r="22" spans="1:16" ht="12.75" customHeight="1" thickBot="1" x14ac:dyDescent="0.25">
      <c r="A22" s="10" t="str">
        <f t="shared" si="0"/>
        <v> VSS 4.160 </v>
      </c>
      <c r="B22" s="3" t="str">
        <f t="shared" si="1"/>
        <v>I</v>
      </c>
      <c r="C22" s="10">
        <f t="shared" si="2"/>
        <v>31706.513999999999</v>
      </c>
      <c r="D22" s="12" t="str">
        <f t="shared" si="3"/>
        <v>vis</v>
      </c>
      <c r="E22" s="44">
        <f>VLOOKUP(C22,Active!C$21:E$973,3,FALSE)</f>
        <v>-4883.9959727070345</v>
      </c>
      <c r="F22" s="3" t="s">
        <v>52</v>
      </c>
      <c r="G22" s="12" t="str">
        <f t="shared" si="4"/>
        <v>31706.514</v>
      </c>
      <c r="H22" s="10">
        <f t="shared" si="5"/>
        <v>764</v>
      </c>
      <c r="I22" s="45" t="s">
        <v>84</v>
      </c>
      <c r="J22" s="46" t="s">
        <v>85</v>
      </c>
      <c r="K22" s="45">
        <v>764</v>
      </c>
      <c r="L22" s="45" t="s">
        <v>86</v>
      </c>
      <c r="M22" s="46" t="s">
        <v>57</v>
      </c>
      <c r="N22" s="46"/>
      <c r="O22" s="47" t="s">
        <v>58</v>
      </c>
      <c r="P22" s="47" t="s">
        <v>59</v>
      </c>
    </row>
    <row r="23" spans="1:16" ht="12.75" customHeight="1" thickBot="1" x14ac:dyDescent="0.25">
      <c r="A23" s="10" t="str">
        <f t="shared" si="0"/>
        <v> VSS 4.160 </v>
      </c>
      <c r="B23" s="3" t="str">
        <f t="shared" si="1"/>
        <v>I</v>
      </c>
      <c r="C23" s="10">
        <f t="shared" si="2"/>
        <v>33329.415999999997</v>
      </c>
      <c r="D23" s="12" t="str">
        <f t="shared" si="3"/>
        <v>vis</v>
      </c>
      <c r="E23" s="44">
        <f>VLOOKUP(C23,Active!C$21:E$973,3,FALSE)</f>
        <v>-4502.849377880937</v>
      </c>
      <c r="F23" s="3" t="s">
        <v>52</v>
      </c>
      <c r="G23" s="12" t="str">
        <f t="shared" si="4"/>
        <v>33329.416</v>
      </c>
      <c r="H23" s="10">
        <f t="shared" si="5"/>
        <v>1145</v>
      </c>
      <c r="I23" s="45" t="s">
        <v>87</v>
      </c>
      <c r="J23" s="46" t="s">
        <v>88</v>
      </c>
      <c r="K23" s="45">
        <v>1145</v>
      </c>
      <c r="L23" s="45" t="s">
        <v>89</v>
      </c>
      <c r="M23" s="46" t="s">
        <v>57</v>
      </c>
      <c r="N23" s="46"/>
      <c r="O23" s="47" t="s">
        <v>58</v>
      </c>
      <c r="P23" s="47" t="s">
        <v>59</v>
      </c>
    </row>
    <row r="24" spans="1:16" ht="12.75" customHeight="1" thickBot="1" x14ac:dyDescent="0.25">
      <c r="A24" s="10" t="str">
        <f t="shared" si="0"/>
        <v> VSS 4.160 </v>
      </c>
      <c r="B24" s="3" t="str">
        <f t="shared" si="1"/>
        <v>I</v>
      </c>
      <c r="C24" s="10">
        <f t="shared" si="2"/>
        <v>33920.614999999998</v>
      </c>
      <c r="D24" s="12" t="str">
        <f t="shared" si="3"/>
        <v>vis</v>
      </c>
      <c r="E24" s="44">
        <f>VLOOKUP(C24,Active!C$21:E$973,3,FALSE)</f>
        <v>-4364.0033565471813</v>
      </c>
      <c r="F24" s="3" t="s">
        <v>52</v>
      </c>
      <c r="G24" s="12" t="str">
        <f t="shared" si="4"/>
        <v>33920.615</v>
      </c>
      <c r="H24" s="10">
        <f t="shared" si="5"/>
        <v>1284</v>
      </c>
      <c r="I24" s="45" t="s">
        <v>90</v>
      </c>
      <c r="J24" s="46" t="s">
        <v>91</v>
      </c>
      <c r="K24" s="45">
        <v>1284</v>
      </c>
      <c r="L24" s="45" t="s">
        <v>92</v>
      </c>
      <c r="M24" s="46" t="s">
        <v>57</v>
      </c>
      <c r="N24" s="46"/>
      <c r="O24" s="47" t="s">
        <v>58</v>
      </c>
      <c r="P24" s="47" t="s">
        <v>59</v>
      </c>
    </row>
    <row r="25" spans="1:16" ht="12.75" customHeight="1" thickBot="1" x14ac:dyDescent="0.25">
      <c r="A25" s="10" t="str">
        <f t="shared" si="0"/>
        <v> VSS 4.160 </v>
      </c>
      <c r="B25" s="3" t="str">
        <f t="shared" si="1"/>
        <v>I</v>
      </c>
      <c r="C25" s="10">
        <f t="shared" si="2"/>
        <v>33950.396999999997</v>
      </c>
      <c r="D25" s="12" t="str">
        <f t="shared" si="3"/>
        <v>vis</v>
      </c>
      <c r="E25" s="44">
        <f>VLOOKUP(C25,Active!C$21:E$973,3,FALSE)</f>
        <v>-4357.0089059351849</v>
      </c>
      <c r="F25" s="3" t="s">
        <v>52</v>
      </c>
      <c r="G25" s="12" t="str">
        <f t="shared" si="4"/>
        <v>33950.397</v>
      </c>
      <c r="H25" s="10">
        <f t="shared" si="5"/>
        <v>1291</v>
      </c>
      <c r="I25" s="45" t="s">
        <v>93</v>
      </c>
      <c r="J25" s="46" t="s">
        <v>94</v>
      </c>
      <c r="K25" s="45">
        <v>1291</v>
      </c>
      <c r="L25" s="45" t="s">
        <v>95</v>
      </c>
      <c r="M25" s="46" t="s">
        <v>57</v>
      </c>
      <c r="N25" s="46"/>
      <c r="O25" s="47" t="s">
        <v>58</v>
      </c>
      <c r="P25" s="47" t="s">
        <v>59</v>
      </c>
    </row>
    <row r="26" spans="1:16" ht="12.75" customHeight="1" thickBot="1" x14ac:dyDescent="0.25">
      <c r="A26" s="10" t="str">
        <f t="shared" si="0"/>
        <v>BAVM 193 </v>
      </c>
      <c r="B26" s="3" t="str">
        <f t="shared" si="1"/>
        <v>I</v>
      </c>
      <c r="C26" s="10">
        <f t="shared" si="2"/>
        <v>54384.323199999999</v>
      </c>
      <c r="D26" s="12" t="str">
        <f t="shared" si="3"/>
        <v>vis</v>
      </c>
      <c r="E26" s="44">
        <f>VLOOKUP(C26,Active!C$21:E$973,3,FALSE)</f>
        <v>442.00014701920935</v>
      </c>
      <c r="F26" s="3" t="s">
        <v>52</v>
      </c>
      <c r="G26" s="12" t="str">
        <f t="shared" si="4"/>
        <v>54384.3232</v>
      </c>
      <c r="H26" s="10">
        <f t="shared" si="5"/>
        <v>6090</v>
      </c>
      <c r="I26" s="45" t="s">
        <v>103</v>
      </c>
      <c r="J26" s="46" t="s">
        <v>104</v>
      </c>
      <c r="K26" s="45" t="s">
        <v>105</v>
      </c>
      <c r="L26" s="45" t="s">
        <v>106</v>
      </c>
      <c r="M26" s="46" t="s">
        <v>99</v>
      </c>
      <c r="N26" s="46" t="s">
        <v>100</v>
      </c>
      <c r="O26" s="47" t="s">
        <v>101</v>
      </c>
      <c r="P26" s="48" t="s">
        <v>107</v>
      </c>
    </row>
    <row r="27" spans="1:16" ht="12.75" customHeight="1" thickBot="1" x14ac:dyDescent="0.25">
      <c r="A27" s="10" t="str">
        <f t="shared" si="0"/>
        <v>BAVM 225 </v>
      </c>
      <c r="B27" s="3" t="str">
        <f t="shared" si="1"/>
        <v>I</v>
      </c>
      <c r="C27" s="10">
        <f t="shared" si="2"/>
        <v>55874.604299999999</v>
      </c>
      <c r="D27" s="12" t="str">
        <f t="shared" si="3"/>
        <v>vis</v>
      </c>
      <c r="E27" s="44">
        <f>VLOOKUP(C27,Active!C$21:E$973,3,FALSE)</f>
        <v>792.00006481997116</v>
      </c>
      <c r="F27" s="3" t="s">
        <v>52</v>
      </c>
      <c r="G27" s="12" t="str">
        <f t="shared" si="4"/>
        <v>55874.6043</v>
      </c>
      <c r="H27" s="10">
        <f t="shared" si="5"/>
        <v>6440</v>
      </c>
      <c r="I27" s="45" t="s">
        <v>115</v>
      </c>
      <c r="J27" s="46" t="s">
        <v>116</v>
      </c>
      <c r="K27" s="45" t="s">
        <v>117</v>
      </c>
      <c r="L27" s="45" t="s">
        <v>118</v>
      </c>
      <c r="M27" s="46" t="s">
        <v>99</v>
      </c>
      <c r="N27" s="46" t="s">
        <v>100</v>
      </c>
      <c r="O27" s="47" t="s">
        <v>101</v>
      </c>
      <c r="P27" s="48" t="s">
        <v>119</v>
      </c>
    </row>
    <row r="28" spans="1:16" x14ac:dyDescent="0.2">
      <c r="B28" s="3"/>
      <c r="E28" s="44"/>
      <c r="F28" s="3"/>
    </row>
    <row r="29" spans="1:16" x14ac:dyDescent="0.2">
      <c r="B29" s="3"/>
      <c r="E29" s="44"/>
      <c r="F29" s="3"/>
    </row>
    <row r="30" spans="1:16" x14ac:dyDescent="0.2">
      <c r="B30" s="3"/>
      <c r="E30" s="44"/>
      <c r="F30" s="3"/>
    </row>
    <row r="31" spans="1:16" x14ac:dyDescent="0.2">
      <c r="B31" s="3"/>
      <c r="E31" s="44"/>
      <c r="F31" s="3"/>
    </row>
    <row r="32" spans="1:16" x14ac:dyDescent="0.2">
      <c r="B32" s="3"/>
      <c r="E32" s="44"/>
      <c r="F32" s="3"/>
    </row>
    <row r="33" spans="2:6" x14ac:dyDescent="0.2">
      <c r="B33" s="3"/>
      <c r="E33" s="44"/>
      <c r="F33" s="3"/>
    </row>
    <row r="34" spans="2:6" x14ac:dyDescent="0.2">
      <c r="B34" s="3"/>
      <c r="E34" s="44"/>
      <c r="F34" s="3"/>
    </row>
    <row r="35" spans="2:6" x14ac:dyDescent="0.2">
      <c r="B35" s="3"/>
      <c r="E35" s="44"/>
      <c r="F35" s="3"/>
    </row>
    <row r="36" spans="2:6" x14ac:dyDescent="0.2">
      <c r="B36" s="3"/>
      <c r="E36" s="44"/>
      <c r="F36" s="3"/>
    </row>
    <row r="37" spans="2:6" x14ac:dyDescent="0.2">
      <c r="B37" s="3"/>
      <c r="E37" s="44"/>
      <c r="F37" s="3"/>
    </row>
    <row r="38" spans="2:6" x14ac:dyDescent="0.2">
      <c r="B38" s="3"/>
      <c r="E38" s="44"/>
      <c r="F38" s="3"/>
    </row>
    <row r="39" spans="2:6" x14ac:dyDescent="0.2">
      <c r="B39" s="3"/>
      <c r="E39" s="44"/>
      <c r="F39" s="3"/>
    </row>
    <row r="40" spans="2:6" x14ac:dyDescent="0.2">
      <c r="B40" s="3"/>
      <c r="E40" s="44"/>
      <c r="F40" s="3"/>
    </row>
    <row r="41" spans="2:6" x14ac:dyDescent="0.2">
      <c r="B41" s="3"/>
      <c r="E41" s="44"/>
      <c r="F41" s="3"/>
    </row>
    <row r="42" spans="2:6" x14ac:dyDescent="0.2">
      <c r="B42" s="3"/>
      <c r="E42" s="44"/>
      <c r="F42" s="3"/>
    </row>
    <row r="43" spans="2:6" x14ac:dyDescent="0.2">
      <c r="B43" s="3"/>
      <c r="E43" s="44"/>
      <c r="F43" s="3"/>
    </row>
    <row r="44" spans="2:6" x14ac:dyDescent="0.2">
      <c r="B44" s="3"/>
      <c r="E44" s="44"/>
      <c r="F44" s="3"/>
    </row>
    <row r="45" spans="2:6" x14ac:dyDescent="0.2">
      <c r="B45" s="3"/>
      <c r="E45" s="44"/>
      <c r="F45" s="3"/>
    </row>
    <row r="46" spans="2:6" x14ac:dyDescent="0.2">
      <c r="B46" s="3"/>
      <c r="E46" s="44"/>
      <c r="F46" s="3"/>
    </row>
    <row r="47" spans="2:6" x14ac:dyDescent="0.2">
      <c r="B47" s="3"/>
      <c r="E47" s="44"/>
      <c r="F47" s="3"/>
    </row>
    <row r="48" spans="2:6" x14ac:dyDescent="0.2">
      <c r="B48" s="3"/>
      <c r="E48" s="44"/>
      <c r="F48" s="3"/>
    </row>
    <row r="49" spans="2:6" x14ac:dyDescent="0.2">
      <c r="B49" s="3"/>
      <c r="E49" s="44"/>
      <c r="F49" s="3"/>
    </row>
    <row r="50" spans="2:6" x14ac:dyDescent="0.2">
      <c r="B50" s="3"/>
      <c r="E50" s="44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</sheetData>
  <phoneticPr fontId="8" type="noConversion"/>
  <hyperlinks>
    <hyperlink ref="P11" r:id="rId1" display="http://www.bav-astro.de/sfs/BAVM_link.php?BAVMnr=186"/>
    <hyperlink ref="P26" r:id="rId2" display="http://www.bav-astro.de/sfs/BAVM_link.php?BAVMnr=193"/>
    <hyperlink ref="P12" r:id="rId3" display="http://www.bav-astro.de/sfs/BAVM_link.php?BAVMnr=220"/>
    <hyperlink ref="P27" r:id="rId4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2024-02-16T05:24:43Z</dcterms:modified>
</cp:coreProperties>
</file>