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A148C2F-E178-4915-982C-E1261ACF1D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1" i="1"/>
  <c r="F21" i="1"/>
  <c r="G21" i="1"/>
  <c r="K21" i="1"/>
  <c r="C8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E33" i="1"/>
  <c r="F33" i="1"/>
  <c r="G33" i="1"/>
  <c r="K33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6" i="1"/>
  <c r="F46" i="1"/>
  <c r="G46" i="1"/>
  <c r="K46" i="1"/>
  <c r="E52" i="1"/>
  <c r="F52" i="1"/>
  <c r="G52" i="1"/>
  <c r="K52" i="1"/>
  <c r="E53" i="1"/>
  <c r="F53" i="1"/>
  <c r="G53" i="1"/>
  <c r="E54" i="1"/>
  <c r="F54" i="1"/>
  <c r="G54" i="1"/>
  <c r="K54" i="1"/>
  <c r="E34" i="1"/>
  <c r="F34" i="1"/>
  <c r="G34" i="1"/>
  <c r="I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45" i="1"/>
  <c r="F45" i="1"/>
  <c r="G45" i="1"/>
  <c r="E47" i="1"/>
  <c r="F47" i="1"/>
  <c r="G47" i="1"/>
  <c r="J47" i="1"/>
  <c r="E48" i="1"/>
  <c r="F48" i="1"/>
  <c r="G48" i="1"/>
  <c r="J48" i="1"/>
  <c r="E49" i="1"/>
  <c r="F49" i="1"/>
  <c r="G49" i="1"/>
  <c r="J49" i="1"/>
  <c r="E50" i="1"/>
  <c r="F50" i="1"/>
  <c r="G50" i="1"/>
  <c r="J50" i="1"/>
  <c r="E51" i="1"/>
  <c r="F51" i="1"/>
  <c r="G51" i="1"/>
  <c r="J51" i="1"/>
  <c r="E55" i="1"/>
  <c r="F55" i="1"/>
  <c r="G55" i="1"/>
  <c r="L55" i="1"/>
  <c r="E56" i="1"/>
  <c r="F56" i="1"/>
  <c r="G56" i="1"/>
  <c r="L56" i="1"/>
  <c r="E58" i="1"/>
  <c r="F58" i="1"/>
  <c r="G58" i="1"/>
  <c r="E59" i="1"/>
  <c r="F59" i="1"/>
  <c r="G59" i="1"/>
  <c r="L59" i="1"/>
  <c r="E22" i="1"/>
  <c r="F22" i="1"/>
  <c r="E40" i="1"/>
  <c r="F40" i="1"/>
  <c r="E57" i="1"/>
  <c r="F57" i="1"/>
  <c r="U57" i="1"/>
  <c r="D9" i="1"/>
  <c r="C9" i="1"/>
  <c r="Q21" i="1"/>
  <c r="Q23" i="1"/>
  <c r="Q24" i="1"/>
  <c r="Q25" i="1"/>
  <c r="Q26" i="1"/>
  <c r="Q27" i="1"/>
  <c r="Q28" i="1"/>
  <c r="Q29" i="1"/>
  <c r="Q30" i="1"/>
  <c r="Q31" i="1"/>
  <c r="K32" i="1"/>
  <c r="Q32" i="1"/>
  <c r="Q33" i="1"/>
  <c r="Q41" i="1"/>
  <c r="Q42" i="1"/>
  <c r="Q43" i="1"/>
  <c r="Q44" i="1"/>
  <c r="Q46" i="1"/>
  <c r="Q52" i="1"/>
  <c r="K53" i="1"/>
  <c r="Q53" i="1"/>
  <c r="Q54" i="1"/>
  <c r="G26" i="2"/>
  <c r="C26" i="2"/>
  <c r="E26" i="2"/>
  <c r="G25" i="2"/>
  <c r="C25" i="2"/>
  <c r="E25" i="2"/>
  <c r="G24" i="2"/>
  <c r="C24" i="2"/>
  <c r="E24" i="2"/>
  <c r="G23" i="2"/>
  <c r="C23" i="2"/>
  <c r="E23" i="2"/>
  <c r="G46" i="2"/>
  <c r="C46" i="2"/>
  <c r="E46" i="2"/>
  <c r="G45" i="2"/>
  <c r="C45" i="2"/>
  <c r="E45" i="2"/>
  <c r="G44" i="2"/>
  <c r="C44" i="2"/>
  <c r="E44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43" i="2"/>
  <c r="C43" i="2"/>
  <c r="E43" i="2"/>
  <c r="G17" i="2"/>
  <c r="C17" i="2"/>
  <c r="E17" i="2"/>
  <c r="G42" i="2"/>
  <c r="C42" i="2"/>
  <c r="E42" i="2"/>
  <c r="G41" i="2"/>
  <c r="C41" i="2"/>
  <c r="E41" i="2"/>
  <c r="G40" i="2"/>
  <c r="C40" i="2"/>
  <c r="E40" i="2"/>
  <c r="G39" i="2"/>
  <c r="C39" i="2"/>
  <c r="E39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46" i="2"/>
  <c r="D46" i="2"/>
  <c r="B46" i="2"/>
  <c r="A46" i="2"/>
  <c r="H45" i="2"/>
  <c r="D45" i="2"/>
  <c r="B45" i="2"/>
  <c r="A45" i="2"/>
  <c r="H44" i="2"/>
  <c r="D44" i="2"/>
  <c r="B44" i="2"/>
  <c r="A44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43" i="2"/>
  <c r="D43" i="2"/>
  <c r="B43" i="2"/>
  <c r="A43" i="2"/>
  <c r="H17" i="2"/>
  <c r="D17" i="2"/>
  <c r="B17" i="2"/>
  <c r="A17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Q47" i="1"/>
  <c r="Q48" i="1"/>
  <c r="Q49" i="1"/>
  <c r="Q57" i="1"/>
  <c r="L58" i="1"/>
  <c r="Q58" i="1"/>
  <c r="Q59" i="1"/>
  <c r="Q55" i="1"/>
  <c r="Q56" i="1"/>
  <c r="J45" i="1"/>
  <c r="Q45" i="1"/>
  <c r="Q50" i="1"/>
  <c r="Q51" i="1"/>
  <c r="F16" i="1"/>
  <c r="C17" i="1"/>
  <c r="Q40" i="1"/>
  <c r="Q39" i="1"/>
  <c r="Q38" i="1"/>
  <c r="Q37" i="1"/>
  <c r="Q35" i="1"/>
  <c r="Q36" i="1"/>
  <c r="Q34" i="1"/>
  <c r="Q22" i="1"/>
  <c r="C12" i="1"/>
  <c r="C11" i="1"/>
  <c r="O45" i="1" l="1"/>
  <c r="O54" i="1"/>
  <c r="O34" i="1"/>
  <c r="O44" i="1"/>
  <c r="O51" i="1"/>
  <c r="O38" i="1"/>
  <c r="O53" i="1"/>
  <c r="O55" i="1"/>
  <c r="O28" i="1"/>
  <c r="O39" i="1"/>
  <c r="O56" i="1"/>
  <c r="O36" i="1"/>
  <c r="O35" i="1"/>
  <c r="O58" i="1"/>
  <c r="O49" i="1"/>
  <c r="O21" i="1"/>
  <c r="O43" i="1"/>
  <c r="O22" i="1"/>
  <c r="O40" i="1"/>
  <c r="O25" i="1"/>
  <c r="O27" i="1"/>
  <c r="O30" i="1"/>
  <c r="O23" i="1"/>
  <c r="O37" i="1"/>
  <c r="C15" i="1"/>
  <c r="O42" i="1"/>
  <c r="O46" i="1"/>
  <c r="O31" i="1"/>
  <c r="O26" i="1"/>
  <c r="O24" i="1"/>
  <c r="O57" i="1"/>
  <c r="O41" i="1"/>
  <c r="O32" i="1"/>
  <c r="O59" i="1"/>
  <c r="O52" i="1"/>
  <c r="O48" i="1"/>
  <c r="O47" i="1"/>
  <c r="O33" i="1"/>
  <c r="O50" i="1"/>
  <c r="O29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<sst xmlns="http://schemas.openxmlformats.org/spreadsheetml/2006/main" count="423" uniqueCount="221">
  <si>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</si>
  <si>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</si>
  <si>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</si>
  <si>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</si>
  <si>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</si>
  <si>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</si>
  <si>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</si>
  <si>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</si>
  <si>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</si>
  <si>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</si>
  <si>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</si>
  <si>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</si>
  <si>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</si>
  <si>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</si>
  <si>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</si>
  <si>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</si>
  <si>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</si>
  <si>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</si>
  <si>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</si>
  <si>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</si>
  <si>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</si>
  <si>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</si>
  <si>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</si>
  <si>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</si>
  <si>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</si>
  <si>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</si>
  <si>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</si>
  <si>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</si>
  <si>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Bull.111</t>
  </si>
  <si>
    <t>B</t>
  </si>
  <si>
    <t>BBSAG</t>
  </si>
  <si>
    <t>IBVS 4711</t>
  </si>
  <si>
    <t>I</t>
  </si>
  <si>
    <t>IBVS</t>
  </si>
  <si>
    <t>IBVS 5657</t>
  </si>
  <si>
    <t>FL Lac / gsc 3633-1708?</t>
  </si>
  <si>
    <t>EA</t>
  </si>
  <si>
    <t># of data points: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</si>
  <si>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</si>
  <si>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</si>
  <si>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</si>
  <si>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</si>
  <si>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</si>
  <si>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</si>
  <si>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</si>
  <si>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5761</t>
  </si>
  <si>
    <t>II</t>
  </si>
  <si>
    <t>Add cycle</t>
  </si>
  <si>
    <t>Old Cycle</t>
  </si>
  <si>
    <t>Start of linear fit &gt;&gt;&gt;&gt;&gt;&gt;&gt;&gt;&gt;&gt;&gt;&gt;&gt;&gt;&gt;&gt;&gt;&gt;&gt;&gt;&gt;</t>
  </si>
  <si>
    <t>IBVS 5918</t>
  </si>
  <si>
    <t>IBVS 6010</t>
  </si>
  <si>
    <t>IBVS 6042</t>
  </si>
  <si>
    <t>IBVS 6070</t>
  </si>
  <si>
    <t>IBVS 6118</t>
  </si>
  <si>
    <t>BAD?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</si>
  <si>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</si>
  <si>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</si>
  <si>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</si>
  <si>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</si>
  <si>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</si>
  <si>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</si>
  <si>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</si>
  <si>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</si>
  <si>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</si>
  <si>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</si>
  <si>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</si>
  <si>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</si>
  <si>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2428339.465 </t>
  </si>
  <si>
    <t> 19.06.1936 23:09 </t>
  </si>
  <si>
    <t> -0.027 </t>
  </si>
  <si>
    <t>P </t>
  </si>
  <si>
    <t> H.Huth </t>
  </si>
  <si>
    <t> VSS 4.162 </t>
  </si>
  <si>
    <t>2429463.447 </t>
  </si>
  <si>
    <t> 18.07.1939 22:43 </t>
  </si>
  <si>
    <t> 0.022 </t>
  </si>
  <si>
    <t>2429627.284 </t>
  </si>
  <si>
    <t> 29.12.1939 18:48 </t>
  </si>
  <si>
    <t> -0.025 </t>
  </si>
  <si>
    <t>2429877.551 </t>
  </si>
  <si>
    <t> 05.09.1940 01:13 </t>
  </si>
  <si>
    <t> -0.013 </t>
  </si>
  <si>
    <t>2430258.510 </t>
  </si>
  <si>
    <t> 21.09.1941 00:14 </t>
  </si>
  <si>
    <t> 0.027 </t>
  </si>
  <si>
    <t>2430369.245 </t>
  </si>
  <si>
    <t> 09.01.1942 17:52 </t>
  </si>
  <si>
    <t> 0.030 </t>
  </si>
  <si>
    <t>2431413.428 </t>
  </si>
  <si>
    <t> 18.11.1944 22:16 </t>
  </si>
  <si>
    <t> 0.007 </t>
  </si>
  <si>
    <t>2431443.300 </t>
  </si>
  <si>
    <t> 18.12.1944 19:12 </t>
  </si>
  <si>
    <t> -0.018 </t>
  </si>
  <si>
    <t>2431589.503 </t>
  </si>
  <si>
    <t> 14.05.1945 00:04 </t>
  </si>
  <si>
    <t> 0.018 </t>
  </si>
  <si>
    <t>2432827.451 </t>
  </si>
  <si>
    <t> 02.10.1948 22:49 </t>
  </si>
  <si>
    <t> -0.021 </t>
  </si>
  <si>
    <t>2432888.349 </t>
  </si>
  <si>
    <t> 02.12.1948 20:22 </t>
  </si>
  <si>
    <t> -0.026 </t>
  </si>
  <si>
    <t>2433239.416 </t>
  </si>
  <si>
    <t> 18.11.1949 21:59 </t>
  </si>
  <si>
    <t> 0.020 </t>
  </si>
  <si>
    <t>2450046.2852 </t>
  </si>
  <si>
    <t> 24.11.1995 18:50 </t>
  </si>
  <si>
    <t> -0.0596 </t>
  </si>
  <si>
    <t>E </t>
  </si>
  <si>
    <t>?</t>
  </si>
  <si>
    <t> R.Diethelm </t>
  </si>
  <si>
    <t> BBS 111 </t>
  </si>
  <si>
    <t>2450594.4080 </t>
  </si>
  <si>
    <t> 25.05.1997 21:47 </t>
  </si>
  <si>
    <t> -0.0617 </t>
  </si>
  <si>
    <t>o</t>
  </si>
  <si>
    <t> W.Moschner </t>
  </si>
  <si>
    <t>BAVM 117 </t>
  </si>
  <si>
    <t>2450605.4822 </t>
  </si>
  <si>
    <t> 05.06.1997 23:34 </t>
  </si>
  <si>
    <t> -0.0607 </t>
  </si>
  <si>
    <t>2453266.3758 </t>
  </si>
  <si>
    <t> 17.09.2004 21:01 </t>
  </si>
  <si>
    <t> -0.0643 </t>
  </si>
  <si>
    <t> Moschner &amp; Frank </t>
  </si>
  <si>
    <t>BAVM 173 </t>
  </si>
  <si>
    <t>2453566.462 </t>
  </si>
  <si>
    <t> 14.07.2005 23:05 </t>
  </si>
  <si>
    <t> -0.063 </t>
  </si>
  <si>
    <t>IBVS 5713 </t>
  </si>
  <si>
    <t>2454035.4253 </t>
  </si>
  <si>
    <t> 26.10.2006 22:12 </t>
  </si>
  <si>
    <t> -0.0506 </t>
  </si>
  <si>
    <t>C </t>
  </si>
  <si>
    <t>-I</t>
  </si>
  <si>
    <t> F.Agerer </t>
  </si>
  <si>
    <t>BAVM 183 </t>
  </si>
  <si>
    <t>2454390.3114 </t>
  </si>
  <si>
    <t> 16.10.2007 19:28 </t>
  </si>
  <si>
    <t>23526</t>
  </si>
  <si>
    <t> -0.0615 </t>
  </si>
  <si>
    <t>BAVM 193 </t>
  </si>
  <si>
    <t>2454712.5465 </t>
  </si>
  <si>
    <t> 03.09.2008 01:06 </t>
  </si>
  <si>
    <t>23817</t>
  </si>
  <si>
    <t> -0.0574 </t>
  </si>
  <si>
    <t>BAVM 203 </t>
  </si>
  <si>
    <t>2454738.5492 </t>
  </si>
  <si>
    <t> 29.09.2008 01:10 </t>
  </si>
  <si>
    <t>23840.5</t>
  </si>
  <si>
    <t> -0.0768 </t>
  </si>
  <si>
    <t>2454798.3385 </t>
  </si>
  <si>
    <t> 27.11.2008 20:07 </t>
  </si>
  <si>
    <t>23894.5</t>
  </si>
  <si>
    <t> -0.0829 </t>
  </si>
  <si>
    <t>2454834.3510 </t>
  </si>
  <si>
    <t> 02.01.2009 20:25 </t>
  </si>
  <si>
    <t>23927</t>
  </si>
  <si>
    <t> -0.0584 </t>
  </si>
  <si>
    <t>BAVM 209 </t>
  </si>
  <si>
    <t>2455051.3887 </t>
  </si>
  <si>
    <t> 07.08.2009 21:19 </t>
  </si>
  <si>
    <t>24123</t>
  </si>
  <si>
    <t> -0.0560 </t>
  </si>
  <si>
    <t>BAVM 212 </t>
  </si>
  <si>
    <t>2455398.5288 </t>
  </si>
  <si>
    <t> 21.07.2010 00:41 </t>
  </si>
  <si>
    <t>24436.5</t>
  </si>
  <si>
    <t>BAVM 215 </t>
  </si>
  <si>
    <t>2455480.4765 </t>
  </si>
  <si>
    <t> 10.10.2010 23:26 </t>
  </si>
  <si>
    <t>24510.5</t>
  </si>
  <si>
    <t> -0.0559 </t>
  </si>
  <si>
    <t>2455481.5933 </t>
  </si>
  <si>
    <t> 12.10.2010 02:14 </t>
  </si>
  <si>
    <t>24511.5</t>
  </si>
  <si>
    <t> -0.0464 </t>
  </si>
  <si>
    <t>2455759.5265 </t>
  </si>
  <si>
    <t> 17.07.2011 00:38 </t>
  </si>
  <si>
    <t>24762.5</t>
  </si>
  <si>
    <t> -0.0513 </t>
  </si>
  <si>
    <t>BAVM 220 </t>
  </si>
  <si>
    <t>2455784.4443 </t>
  </si>
  <si>
    <t> 10.08.2011 22:39 </t>
  </si>
  <si>
    <t>24785</t>
  </si>
  <si>
    <t> -0.0483 </t>
  </si>
  <si>
    <t>2455815.4513 </t>
  </si>
  <si>
    <t> 10.09.2011 22:49 </t>
  </si>
  <si>
    <t>24813</t>
  </si>
  <si>
    <t> -0.0463 </t>
  </si>
  <si>
    <t>BAVM 225 </t>
  </si>
  <si>
    <t>2455851.4387 </t>
  </si>
  <si>
    <t> 16.10.2011 22:31 </t>
  </si>
  <si>
    <t>24845.5</t>
  </si>
  <si>
    <t> -0.0469 </t>
  </si>
  <si>
    <t>2455887.4266 </t>
  </si>
  <si>
    <t> 21.11.2011 22:14 </t>
  </si>
  <si>
    <t>24878</t>
  </si>
  <si>
    <t> -0.0470 </t>
  </si>
  <si>
    <t>2456219.6260 </t>
  </si>
  <si>
    <t> 19.10.2012 03:01 </t>
  </si>
  <si>
    <t>25178</t>
  </si>
  <si>
    <t> -0.0445 </t>
  </si>
  <si>
    <t>BAVM 231 </t>
  </si>
  <si>
    <t>2456230.7007 </t>
  </si>
  <si>
    <t> 30.10.2012 04:49 </t>
  </si>
  <si>
    <t>25188</t>
  </si>
  <si>
    <t> -0.0430 </t>
  </si>
  <si>
    <t>IBVS 6042 </t>
  </si>
  <si>
    <t>2456568.4339 </t>
  </si>
  <si>
    <t> 02.10.2013 22:24 </t>
  </si>
  <si>
    <t>25493</t>
  </si>
  <si>
    <t> -0.0433 </t>
  </si>
  <si>
    <t>BAVM 234 </t>
  </si>
  <si>
    <t>2456600.5454 </t>
  </si>
  <si>
    <t> 04.11.2013 01:05 </t>
  </si>
  <si>
    <t>25522</t>
  </si>
  <si>
    <t> -0.0442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</si>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</sst>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0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20" fillId="0" borderId="0" xfId="0" applyFont="1" applyAlignment="1"/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Lac - O-C Diagr.</a:t>
            </a:r>
          </a:p>
        </c:rich>
      </c:tx>
      <c:layout>
        <c:manualLayout>
          <c:xMode val="edge"/>
          <c:yMode val="edge"/>
          <c:x val="0.3471078718465976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23926380368099"/>
          <c:w val="0.762397463356170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16-4A77-867B-A9C37631B4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3">
                  <c:v>-5.9569000004557893E-2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16-4A77-867B-A9C37631B4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4">
                  <c:v>-6.1653999997361097E-2</c:v>
                </c:pt>
                <c:pt idx="15">
                  <c:v>-6.0683999996399507E-2</c:v>
                </c:pt>
                <c:pt idx="16">
                  <c:v>-6.4252999996824656E-2</c:v>
                </c:pt>
                <c:pt idx="17">
                  <c:v>-6.2586000000010245E-2</c:v>
                </c:pt>
                <c:pt idx="18">
                  <c:v>-5.0576499997987412E-2</c:v>
                </c:pt>
                <c:pt idx="19">
                  <c:v>-9.5663499996589962E-2</c:v>
                </c:pt>
                <c:pt idx="24">
                  <c:v>-5.8421000001544598E-2</c:v>
                </c:pt>
                <c:pt idx="26">
                  <c:v>-6.168949999846518E-2</c:v>
                </c:pt>
                <c:pt idx="27">
                  <c:v>-5.5891500007419381E-2</c:v>
                </c:pt>
                <c:pt idx="28">
                  <c:v>-4.6414500000537373E-2</c:v>
                </c:pt>
                <c:pt idx="29">
                  <c:v>-5.1287499998579733E-2</c:v>
                </c:pt>
                <c:pt idx="30">
                  <c:v>-4.8255000001518056E-2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16-4A77-867B-A9C37631B4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0">
                  <c:v>-2.6999999998224666E-2</c:v>
                </c:pt>
                <c:pt idx="2">
                  <c:v>2.215500000238535E-2</c:v>
                </c:pt>
                <c:pt idx="3">
                  <c:v>-2.4648999999044463E-2</c:v>
                </c:pt>
                <c:pt idx="4">
                  <c:v>-1.2646999999560649E-2</c:v>
                </c:pt>
                <c:pt idx="5">
                  <c:v>2.724099999977625E-2</c:v>
                </c:pt>
                <c:pt idx="6">
                  <c:v>2.994100000069011E-2</c:v>
                </c:pt>
                <c:pt idx="7">
                  <c:v>7.3520000005373731E-3</c:v>
                </c:pt>
                <c:pt idx="8">
                  <c:v>-1.8369000001257518E-2</c:v>
                </c:pt>
                <c:pt idx="9">
                  <c:v>1.7995000001974404E-2</c:v>
                </c:pt>
                <c:pt idx="10">
                  <c:v>-2.1118999997270294E-2</c:v>
                </c:pt>
                <c:pt idx="11">
                  <c:v>-2.588399999513058E-2</c:v>
                </c:pt>
                <c:pt idx="12">
                  <c:v>1.9724999998288695E-2</c:v>
                </c:pt>
                <c:pt idx="20">
                  <c:v>-6.149800000275718E-2</c:v>
                </c:pt>
                <c:pt idx="21">
                  <c:v>-5.7391000002098735E-2</c:v>
                </c:pt>
                <c:pt idx="22">
                  <c:v>-7.6781499999924563E-2</c:v>
                </c:pt>
                <c:pt idx="23">
                  <c:v>-8.2923499998287298E-2</c:v>
                </c:pt>
                <c:pt idx="25">
                  <c:v>-5.6028999992122408E-2</c:v>
                </c:pt>
                <c:pt idx="31">
                  <c:v>-4.6298999994178303E-2</c:v>
                </c:pt>
                <c:pt idx="32">
                  <c:v>-4.689650000364054E-2</c:v>
                </c:pt>
                <c:pt idx="33">
                  <c:v>-4.6993999996630009E-2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16-4A77-867B-A9C37631B4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34">
                  <c:v>-4.449400000157766E-2</c:v>
                </c:pt>
                <c:pt idx="35">
                  <c:v>-4.3023999998695217E-2</c:v>
                </c:pt>
                <c:pt idx="37">
                  <c:v>-4.3338999996194616E-2</c:v>
                </c:pt>
                <c:pt idx="38">
                  <c:v>-4.4205999998666812E-2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16-4A77-867B-A9C37631B4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16-4A77-867B-A9C37631B4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16-4A77-867B-A9C37631B4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-0.14198509652050278</c:v>
                </c:pt>
                <c:pt idx="1">
                  <c:v>-0.14198509652050278</c:v>
                </c:pt>
                <c:pt idx="2">
                  <c:v>-0.13831018374916668</c:v>
                </c:pt>
                <c:pt idx="3">
                  <c:v>-0.13777433439925757</c:v>
                </c:pt>
                <c:pt idx="4">
                  <c:v>-0.13695607795953149</c:v>
                </c:pt>
                <c:pt idx="5">
                  <c:v>-0.13571059028136437</c:v>
                </c:pt>
                <c:pt idx="6">
                  <c:v>-0.13534852990980417</c:v>
                </c:pt>
                <c:pt idx="7">
                  <c:v>-0.1319343006059914</c:v>
                </c:pt>
                <c:pt idx="8">
                  <c:v>-0.13183654430567013</c:v>
                </c:pt>
                <c:pt idx="9">
                  <c:v>-0.13135862461521067</c:v>
                </c:pt>
                <c:pt idx="10">
                  <c:v>-0.12731078966116752</c:v>
                </c:pt>
                <c:pt idx="11">
                  <c:v>-0.12711165645680941</c:v>
                </c:pt>
                <c:pt idx="12">
                  <c:v>-0.12596392507896353</c:v>
                </c:pt>
                <c:pt idx="13">
                  <c:v>-7.1010401883555063E-2</c:v>
                </c:pt>
                <c:pt idx="14">
                  <c:v>-6.921820304433203E-2</c:v>
                </c:pt>
                <c:pt idx="15">
                  <c:v>-6.9181997007176005E-2</c:v>
                </c:pt>
                <c:pt idx="16">
                  <c:v>-6.048168627858419E-2</c:v>
                </c:pt>
                <c:pt idx="17">
                  <c:v>-5.9500502671656019E-2</c:v>
                </c:pt>
                <c:pt idx="18">
                  <c:v>-5.7967176998098544E-2</c:v>
                </c:pt>
                <c:pt idx="19">
                  <c:v>-5.7355294970161785E-2</c:v>
                </c:pt>
                <c:pt idx="20">
                  <c:v>-5.6806773507248068E-2</c:v>
                </c:pt>
                <c:pt idx="21">
                  <c:v>-5.575317782600786E-2</c:v>
                </c:pt>
                <c:pt idx="22">
                  <c:v>-5.5668093638691213E-2</c:v>
                </c:pt>
                <c:pt idx="23">
                  <c:v>-5.5472581038048696E-2</c:v>
                </c:pt>
                <c:pt idx="24">
                  <c:v>-5.5354911417291638E-2</c:v>
                </c:pt>
                <c:pt idx="25">
                  <c:v>-5.4645273089033622E-2</c:v>
                </c:pt>
                <c:pt idx="26">
                  <c:v>-5.3510213824192368E-2</c:v>
                </c:pt>
                <c:pt idx="27">
                  <c:v>-5.3242289149237815E-2</c:v>
                </c:pt>
                <c:pt idx="28">
                  <c:v>-5.3238668545522214E-2</c:v>
                </c:pt>
                <c:pt idx="29">
                  <c:v>-5.2329897012906093E-2</c:v>
                </c:pt>
                <c:pt idx="30">
                  <c:v>-5.2248433429305047E-2</c:v>
                </c:pt>
                <c:pt idx="31">
                  <c:v>-5.2147056525268187E-2</c:v>
                </c:pt>
                <c:pt idx="32">
                  <c:v>-5.2029386904511116E-2</c:v>
                </c:pt>
                <c:pt idx="33">
                  <c:v>-5.1911717283754044E-2</c:v>
                </c:pt>
                <c:pt idx="34">
                  <c:v>-5.0825536169073426E-2</c:v>
                </c:pt>
                <c:pt idx="35">
                  <c:v>-5.0789330131917401E-2</c:v>
                </c:pt>
                <c:pt idx="36">
                  <c:v>-4.9793664110126826E-2</c:v>
                </c:pt>
                <c:pt idx="37">
                  <c:v>-4.9685045998658764E-2</c:v>
                </c:pt>
                <c:pt idx="38">
                  <c:v>-4.9580048490906303E-2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16-4A77-867B-A9C37631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90456"/>
        <c:axId val="1"/>
      </c:scatterChart>
      <c:valAx>
        <c:axId val="529290456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29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2024539877300615"/>
          <c:w val="0.975207696145419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Lac - O-C Diagr.</a:t>
            </a:r>
          </a:p>
        </c:rich>
      </c:tx>
      <c:layout>
        <c:manualLayout>
          <c:xMode val="edge"/>
          <c:yMode val="edge"/>
          <c:x val="0.369911876059740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1252092481413"/>
          <c:y val="0.14678942920199375"/>
          <c:w val="0.7929210392362410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D-4D42-9CD1-995931DCE3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3">
                  <c:v>-5.9569000004557893E-2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D-4D42-9CD1-995931DCE3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4">
                  <c:v>-6.1653999997361097E-2</c:v>
                </c:pt>
                <c:pt idx="15">
                  <c:v>-6.0683999996399507E-2</c:v>
                </c:pt>
                <c:pt idx="16">
                  <c:v>-6.4252999996824656E-2</c:v>
                </c:pt>
                <c:pt idx="17">
                  <c:v>-6.2586000000010245E-2</c:v>
                </c:pt>
                <c:pt idx="18">
                  <c:v>-5.0576499997987412E-2</c:v>
                </c:pt>
                <c:pt idx="19">
                  <c:v>-9.5663499996589962E-2</c:v>
                </c:pt>
                <c:pt idx="24">
                  <c:v>-5.8421000001544598E-2</c:v>
                </c:pt>
                <c:pt idx="26">
                  <c:v>-6.168949999846518E-2</c:v>
                </c:pt>
                <c:pt idx="27">
                  <c:v>-5.5891500007419381E-2</c:v>
                </c:pt>
                <c:pt idx="28">
                  <c:v>-4.6414500000537373E-2</c:v>
                </c:pt>
                <c:pt idx="29">
                  <c:v>-5.1287499998579733E-2</c:v>
                </c:pt>
                <c:pt idx="30">
                  <c:v>-4.8255000001518056E-2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D-4D42-9CD1-995931DCE3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0">
                  <c:v>-2.6999999998224666E-2</c:v>
                </c:pt>
                <c:pt idx="2">
                  <c:v>2.215500000238535E-2</c:v>
                </c:pt>
                <c:pt idx="3">
                  <c:v>-2.4648999999044463E-2</c:v>
                </c:pt>
                <c:pt idx="4">
                  <c:v>-1.2646999999560649E-2</c:v>
                </c:pt>
                <c:pt idx="5">
                  <c:v>2.724099999977625E-2</c:v>
                </c:pt>
                <c:pt idx="6">
                  <c:v>2.994100000069011E-2</c:v>
                </c:pt>
                <c:pt idx="7">
                  <c:v>7.3520000005373731E-3</c:v>
                </c:pt>
                <c:pt idx="8">
                  <c:v>-1.8369000001257518E-2</c:v>
                </c:pt>
                <c:pt idx="9">
                  <c:v>1.7995000001974404E-2</c:v>
                </c:pt>
                <c:pt idx="10">
                  <c:v>-2.1118999997270294E-2</c:v>
                </c:pt>
                <c:pt idx="11">
                  <c:v>-2.588399999513058E-2</c:v>
                </c:pt>
                <c:pt idx="12">
                  <c:v>1.9724999998288695E-2</c:v>
                </c:pt>
                <c:pt idx="20">
                  <c:v>-6.149800000275718E-2</c:v>
                </c:pt>
                <c:pt idx="21">
                  <c:v>-5.7391000002098735E-2</c:v>
                </c:pt>
                <c:pt idx="22">
                  <c:v>-7.6781499999924563E-2</c:v>
                </c:pt>
                <c:pt idx="23">
                  <c:v>-8.2923499998287298E-2</c:v>
                </c:pt>
                <c:pt idx="25">
                  <c:v>-5.6028999992122408E-2</c:v>
                </c:pt>
                <c:pt idx="31">
                  <c:v>-4.6298999994178303E-2</c:v>
                </c:pt>
                <c:pt idx="32">
                  <c:v>-4.689650000364054E-2</c:v>
                </c:pt>
                <c:pt idx="33">
                  <c:v>-4.6993999996630009E-2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1D-4D42-9CD1-995931DCE3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34">
                  <c:v>-4.449400000157766E-2</c:v>
                </c:pt>
                <c:pt idx="35">
                  <c:v>-4.3023999998695217E-2</c:v>
                </c:pt>
                <c:pt idx="37">
                  <c:v>-4.3338999996194616E-2</c:v>
                </c:pt>
                <c:pt idx="38">
                  <c:v>-4.4205999998666812E-2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D-4D42-9CD1-995931DCE3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1D-4D42-9CD1-995931DCE3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1.1000000000000001E-3</c:v>
                  </c:pt>
                  <c:pt idx="16">
                    <c:v>2.9999999999999997E-4</c:v>
                  </c:pt>
                  <c:pt idx="17">
                    <c:v>5.0000000000000001E-3</c:v>
                  </c:pt>
                  <c:pt idx="18">
                    <c:v>5.3E-3</c:v>
                  </c:pt>
                  <c:pt idx="19">
                    <c:v>1.6999999999999999E-3</c:v>
                  </c:pt>
                  <c:pt idx="24">
                    <c:v>2E-3</c:v>
                  </c:pt>
                  <c:pt idx="26">
                    <c:v>1.3599999999999999E-2</c:v>
                  </c:pt>
                  <c:pt idx="27">
                    <c:v>4.9200000000000001E-2</c:v>
                  </c:pt>
                  <c:pt idx="28">
                    <c:v>1.7100000000000001E-2</c:v>
                  </c:pt>
                  <c:pt idx="29">
                    <c:v>2.3E-3</c:v>
                  </c:pt>
                  <c:pt idx="30">
                    <c:v>2.7000000000000001E-3</c:v>
                  </c:pt>
                  <c:pt idx="34">
                    <c:v>1.5E-3</c:v>
                  </c:pt>
                  <c:pt idx="35">
                    <c:v>5.0000000000000001E-4</c:v>
                  </c:pt>
                  <c:pt idx="36">
                    <c:v>1.8E-3</c:v>
                  </c:pt>
                  <c:pt idx="37">
                    <c:v>2.7000000000000001E-3</c:v>
                  </c:pt>
                  <c:pt idx="38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D-4D42-9CD1-995931DCE3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-0.14198509652050278</c:v>
                </c:pt>
                <c:pt idx="1">
                  <c:v>-0.14198509652050278</c:v>
                </c:pt>
                <c:pt idx="2">
                  <c:v>-0.13831018374916668</c:v>
                </c:pt>
                <c:pt idx="3">
                  <c:v>-0.13777433439925757</c:v>
                </c:pt>
                <c:pt idx="4">
                  <c:v>-0.13695607795953149</c:v>
                </c:pt>
                <c:pt idx="5">
                  <c:v>-0.13571059028136437</c:v>
                </c:pt>
                <c:pt idx="6">
                  <c:v>-0.13534852990980417</c:v>
                </c:pt>
                <c:pt idx="7">
                  <c:v>-0.1319343006059914</c:v>
                </c:pt>
                <c:pt idx="8">
                  <c:v>-0.13183654430567013</c:v>
                </c:pt>
                <c:pt idx="9">
                  <c:v>-0.13135862461521067</c:v>
                </c:pt>
                <c:pt idx="10">
                  <c:v>-0.12731078966116752</c:v>
                </c:pt>
                <c:pt idx="11">
                  <c:v>-0.12711165645680941</c:v>
                </c:pt>
                <c:pt idx="12">
                  <c:v>-0.12596392507896353</c:v>
                </c:pt>
                <c:pt idx="13">
                  <c:v>-7.1010401883555063E-2</c:v>
                </c:pt>
                <c:pt idx="14">
                  <c:v>-6.921820304433203E-2</c:v>
                </c:pt>
                <c:pt idx="15">
                  <c:v>-6.9181997007176005E-2</c:v>
                </c:pt>
                <c:pt idx="16">
                  <c:v>-6.048168627858419E-2</c:v>
                </c:pt>
                <c:pt idx="17">
                  <c:v>-5.9500502671656019E-2</c:v>
                </c:pt>
                <c:pt idx="18">
                  <c:v>-5.7967176998098544E-2</c:v>
                </c:pt>
                <c:pt idx="19">
                  <c:v>-5.7355294970161785E-2</c:v>
                </c:pt>
                <c:pt idx="20">
                  <c:v>-5.6806773507248068E-2</c:v>
                </c:pt>
                <c:pt idx="21">
                  <c:v>-5.575317782600786E-2</c:v>
                </c:pt>
                <c:pt idx="22">
                  <c:v>-5.5668093638691213E-2</c:v>
                </c:pt>
                <c:pt idx="23">
                  <c:v>-5.5472581038048696E-2</c:v>
                </c:pt>
                <c:pt idx="24">
                  <c:v>-5.5354911417291638E-2</c:v>
                </c:pt>
                <c:pt idx="25">
                  <c:v>-5.4645273089033622E-2</c:v>
                </c:pt>
                <c:pt idx="26">
                  <c:v>-5.3510213824192368E-2</c:v>
                </c:pt>
                <c:pt idx="27">
                  <c:v>-5.3242289149237815E-2</c:v>
                </c:pt>
                <c:pt idx="28">
                  <c:v>-5.3238668545522214E-2</c:v>
                </c:pt>
                <c:pt idx="29">
                  <c:v>-5.2329897012906093E-2</c:v>
                </c:pt>
                <c:pt idx="30">
                  <c:v>-5.2248433429305047E-2</c:v>
                </c:pt>
                <c:pt idx="31">
                  <c:v>-5.2147056525268187E-2</c:v>
                </c:pt>
                <c:pt idx="32">
                  <c:v>-5.2029386904511116E-2</c:v>
                </c:pt>
                <c:pt idx="33">
                  <c:v>-5.1911717283754044E-2</c:v>
                </c:pt>
                <c:pt idx="34">
                  <c:v>-5.0825536169073426E-2</c:v>
                </c:pt>
                <c:pt idx="35">
                  <c:v>-5.0789330131917401E-2</c:v>
                </c:pt>
                <c:pt idx="36">
                  <c:v>-4.9793664110126826E-2</c:v>
                </c:pt>
                <c:pt idx="37">
                  <c:v>-4.9685045998658764E-2</c:v>
                </c:pt>
                <c:pt idx="38">
                  <c:v>-4.9580048490906303E-2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1D-4D42-9CD1-995931DCE33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1015</c:v>
                </c:pt>
                <c:pt idx="3">
                  <c:v>1163</c:v>
                </c:pt>
                <c:pt idx="4">
                  <c:v>1389</c:v>
                </c:pt>
                <c:pt idx="5">
                  <c:v>1733</c:v>
                </c:pt>
                <c:pt idx="6">
                  <c:v>1833</c:v>
                </c:pt>
                <c:pt idx="7">
                  <c:v>2776</c:v>
                </c:pt>
                <c:pt idx="8">
                  <c:v>2803</c:v>
                </c:pt>
                <c:pt idx="9">
                  <c:v>2935</c:v>
                </c:pt>
                <c:pt idx="10">
                  <c:v>4053</c:v>
                </c:pt>
                <c:pt idx="11">
                  <c:v>4108</c:v>
                </c:pt>
                <c:pt idx="12">
                  <c:v>4425</c:v>
                </c:pt>
                <c:pt idx="13">
                  <c:v>19603</c:v>
                </c:pt>
                <c:pt idx="14">
                  <c:v>20098</c:v>
                </c:pt>
                <c:pt idx="15">
                  <c:v>20108</c:v>
                </c:pt>
                <c:pt idx="16">
                  <c:v>22511</c:v>
                </c:pt>
                <c:pt idx="17">
                  <c:v>22782</c:v>
                </c:pt>
                <c:pt idx="18">
                  <c:v>23205.5</c:v>
                </c:pt>
                <c:pt idx="19">
                  <c:v>23374.5</c:v>
                </c:pt>
                <c:pt idx="20">
                  <c:v>23526</c:v>
                </c:pt>
                <c:pt idx="21">
                  <c:v>23817</c:v>
                </c:pt>
                <c:pt idx="22">
                  <c:v>23840.5</c:v>
                </c:pt>
                <c:pt idx="23">
                  <c:v>23894.5</c:v>
                </c:pt>
                <c:pt idx="24">
                  <c:v>23927</c:v>
                </c:pt>
                <c:pt idx="25">
                  <c:v>24123</c:v>
                </c:pt>
                <c:pt idx="26">
                  <c:v>24436.5</c:v>
                </c:pt>
                <c:pt idx="27">
                  <c:v>24510.5</c:v>
                </c:pt>
                <c:pt idx="28">
                  <c:v>24511.5</c:v>
                </c:pt>
                <c:pt idx="29">
                  <c:v>24762.5</c:v>
                </c:pt>
                <c:pt idx="30">
                  <c:v>24785</c:v>
                </c:pt>
                <c:pt idx="31">
                  <c:v>24813</c:v>
                </c:pt>
                <c:pt idx="32">
                  <c:v>24845.5</c:v>
                </c:pt>
                <c:pt idx="33">
                  <c:v>24878</c:v>
                </c:pt>
                <c:pt idx="34">
                  <c:v>25178</c:v>
                </c:pt>
                <c:pt idx="35">
                  <c:v>25188</c:v>
                </c:pt>
                <c:pt idx="36">
                  <c:v>25463</c:v>
                </c:pt>
                <c:pt idx="37">
                  <c:v>25493</c:v>
                </c:pt>
                <c:pt idx="38">
                  <c:v>25522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36">
                  <c:v>0.21595099999831291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1D-4D42-9CD1-995931DCE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95944"/>
        <c:axId val="1"/>
      </c:scatterChart>
      <c:valAx>
        <c:axId val="582795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941769446960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9734513274336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95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017699115044247E-2"/>
          <c:y val="0.9204921861831491"/>
          <c:w val="0.9469033981371797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19049</xdr:rowOff>
    </xdr:from>
    <xdr:to>
      <xdr:col>17</xdr:col>
      <xdr:colOff>219075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328B04F-F351-0266-221E-557C50D7D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0</xdr:rowOff>
    </xdr:from>
    <xdr:to>
      <xdr:col>27</xdr:col>
      <xdr:colOff>238125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9D78AC9-4276-68CA-BA0C-901A00F5D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bav-astro.de/sfs/BAVM_link.php?BAVMnr=203" TargetMode="External"/><Relationship Id="rId12" Type="http://schemas.openxmlformats.org/officeDocument/2006/relationships/hyperlink" Target="http://www.bav-astro.de/sfs/BAVM_link.php?BAVMnr=215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17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117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bav-astro.de/sfs/BAVM_link.php?BAVMnr=220" TargetMode="External"/><Relationship Id="rId23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713" TargetMode="External"/><Relationship Id="rId9" Type="http://schemas.openxmlformats.org/officeDocument/2006/relationships/hyperlink" Target="http://www.bav-astro.de/sfs/BAVM_link.php?BAVMnr=203" TargetMode="External"/><Relationship Id="rId14" Type="http://schemas.openxmlformats.org/officeDocument/2006/relationships/hyperlink" Target="http://www.bav-astro.de/sfs/BAVM_link.php?BAVMnr=215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35</v>
      </c>
    </row>
    <row r="2" spans="1:6">
      <c r="A2" t="s">
        <v>24</v>
      </c>
      <c r="B2" s="13" t="s">
        <v>36</v>
      </c>
    </row>
    <row r="3" spans="1:6" ht="13.5" thickBot="1"/>
    <row r="4" spans="1:6" ht="14.25" thickTop="1" thickBot="1">
      <c r="A4" s="7" t="s">
        <v>0</v>
      </c>
      <c r="C4" s="3">
        <v>28339.491999999998</v>
      </c>
      <c r="D4" s="4">
        <v>1.1073230000000001</v>
      </c>
    </row>
    <row r="5" spans="1:6" ht="13.5" thickTop="1">
      <c r="A5" s="18" t="s">
        <v>39</v>
      </c>
      <c r="B5" s="19"/>
      <c r="C5" s="20">
        <v>-9.5</v>
      </c>
      <c r="D5" s="19" t="s">
        <v>40</v>
      </c>
    </row>
    <row r="6" spans="1:6">
      <c r="A6" s="7" t="s">
        <v>1</v>
      </c>
    </row>
    <row r="7" spans="1:6">
      <c r="A7" t="s">
        <v>2</v>
      </c>
      <c r="C7">
        <f>+C4</f>
        <v>28339.491999999998</v>
      </c>
    </row>
    <row r="8" spans="1:6">
      <c r="A8" t="s">
        <v>3</v>
      </c>
      <c r="C8">
        <f>+D4</f>
        <v>1.1073230000000001</v>
      </c>
    </row>
    <row r="9" spans="1:6">
      <c r="A9" s="35" t="s">
        <v>49</v>
      </c>
      <c r="B9" s="36">
        <v>35</v>
      </c>
      <c r="C9" s="34" t="str">
        <f>"F"&amp;B9</f>
        <v>F35</v>
      </c>
      <c r="D9" s="14" t="str">
        <f>"G"&amp;B9</f>
        <v>G35</v>
      </c>
    </row>
    <row r="10" spans="1:6" ht="13.5" thickBot="1">
      <c r="A10" s="19"/>
      <c r="B10" s="19"/>
      <c r="C10" s="6" t="s">
        <v>20</v>
      </c>
      <c r="D10" s="6" t="s">
        <v>21</v>
      </c>
      <c r="E10" s="19"/>
    </row>
    <row r="11" spans="1:6">
      <c r="A11" s="19" t="s">
        <v>16</v>
      </c>
      <c r="B11" s="19"/>
      <c r="C11" s="33">
        <f ca="1">INTERCEPT(INDIRECT($D$9):G992,INDIRECT($C$9):F992)</f>
        <v>-0.14198509652050278</v>
      </c>
      <c r="D11" s="5"/>
      <c r="E11" s="19"/>
    </row>
    <row r="12" spans="1:6">
      <c r="A12" s="19" t="s">
        <v>17</v>
      </c>
      <c r="B12" s="19"/>
      <c r="C12" s="33">
        <f ca="1">SLOPE(INDIRECT($D$9):G992,INDIRECT($C$9):F992)</f>
        <v>3.6206037156020877E-6</v>
      </c>
      <c r="D12" s="5"/>
      <c r="E12" s="19"/>
    </row>
    <row r="13" spans="1:6">
      <c r="A13" s="19" t="s">
        <v>19</v>
      </c>
      <c r="B13" s="19"/>
      <c r="C13" s="5" t="s">
        <v>14</v>
      </c>
    </row>
    <row r="14" spans="1:6">
      <c r="A14" s="19"/>
      <c r="B14" s="19"/>
      <c r="C14" s="19"/>
    </row>
    <row r="15" spans="1:6">
      <c r="A15" s="21" t="s">
        <v>18</v>
      </c>
      <c r="B15" s="19"/>
      <c r="C15" s="22">
        <f ca="1">(C7+C11)+(C8+C12)*INT(MAX(F21:F3533))</f>
        <v>56600.540025951501</v>
      </c>
      <c r="E15" s="23" t="s">
        <v>47</v>
      </c>
      <c r="F15" s="20">
        <v>1</v>
      </c>
    </row>
    <row r="16" spans="1:6">
      <c r="A16" s="25" t="s">
        <v>4</v>
      </c>
      <c r="B16" s="19"/>
      <c r="C16" s="26">
        <f ca="1">+C8+C12</f>
        <v>1.1073266206037156</v>
      </c>
      <c r="E16" s="23" t="s">
        <v>41</v>
      </c>
      <c r="F16" s="24">
        <f ca="1">NOW()+15018.5+$C$5/24</f>
        <v>60356.768570138884</v>
      </c>
    </row>
    <row r="17" spans="1:21" ht="13.5" thickBot="1">
      <c r="A17" s="23" t="s">
        <v>37</v>
      </c>
      <c r="B17" s="19"/>
      <c r="C17" s="19">
        <f>COUNT(C21:C2191)</f>
        <v>39</v>
      </c>
      <c r="E17" s="23" t="s">
        <v>48</v>
      </c>
      <c r="F17" s="24">
        <f ca="1">ROUND(2*(F16-$C$7)/$C$8,0)/2+F15</f>
        <v>28915</v>
      </c>
    </row>
    <row r="18" spans="1:21" ht="14.25" thickTop="1" thickBot="1">
      <c r="A18" s="25" t="s">
        <v>5</v>
      </c>
      <c r="B18" s="19"/>
      <c r="C18" s="28">
        <f ca="1">+C15</f>
        <v>56600.540025951501</v>
      </c>
      <c r="D18" s="29">
        <f ca="1">+C16</f>
        <v>1.1073266206037156</v>
      </c>
      <c r="E18" s="23" t="s">
        <v>42</v>
      </c>
      <c r="F18" s="14">
        <f ca="1">ROUND(2*(F16-$C$15)/$C$16,0)/2+F15</f>
        <v>3393</v>
      </c>
    </row>
    <row r="19" spans="1:21" ht="13.5" thickTop="1">
      <c r="E19" s="23" t="s">
        <v>43</v>
      </c>
      <c r="F19" s="27">
        <f ca="1">+$C$15+$C$16*F18-15018.5-$C$5/24</f>
        <v>45339.595082993241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30</v>
      </c>
      <c r="J20" s="9" t="s">
        <v>33</v>
      </c>
      <c r="K20" s="9" t="s">
        <v>220</v>
      </c>
      <c r="L20" s="9" t="s">
        <v>59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  <c r="U20" s="41" t="s">
        <v>55</v>
      </c>
    </row>
    <row r="21" spans="1:21">
      <c r="A21" s="60" t="s">
        <v>73</v>
      </c>
      <c r="B21" s="61" t="s">
        <v>32</v>
      </c>
      <c r="C21" s="60">
        <v>28339.465</v>
      </c>
      <c r="D21" s="44"/>
      <c r="E21">
        <f t="shared" ref="E21:E59" si="0">+(C21-C$7)/C$8</f>
        <v>-2.4383129401470631E-2</v>
      </c>
      <c r="F21">
        <f t="shared" ref="F21:F59" si="1">ROUND(2*E21,0)/2</f>
        <v>0</v>
      </c>
      <c r="G21">
        <f>+C21-(C$7+F21*C$8)</f>
        <v>-2.6999999998224666E-2</v>
      </c>
      <c r="K21">
        <f>+G21</f>
        <v>-2.6999999998224666E-2</v>
      </c>
      <c r="O21">
        <f t="shared" ref="O21:O59" ca="1" si="2">+C$11+C$12*$F21</f>
        <v>-0.14198509652050278</v>
      </c>
      <c r="Q21" s="2">
        <f t="shared" ref="Q21:Q59" si="3">+C21-15018.5</f>
        <v>13320.965</v>
      </c>
      <c r="U21" s="46"/>
    </row>
    <row r="22" spans="1:21">
      <c r="A22" t="s">
        <v>12</v>
      </c>
      <c r="C22" s="12">
        <v>28339.491999999998</v>
      </c>
      <c r="D22" s="12" t="s">
        <v>14</v>
      </c>
      <c r="E22">
        <f t="shared" si="0"/>
        <v>0</v>
      </c>
      <c r="F22">
        <f t="shared" si="1"/>
        <v>0</v>
      </c>
      <c r="H22" s="14">
        <v>0</v>
      </c>
      <c r="O22">
        <f t="shared" ca="1" si="2"/>
        <v>-0.14198509652050278</v>
      </c>
      <c r="Q22" s="2">
        <f t="shared" si="3"/>
        <v>13320.991999999998</v>
      </c>
    </row>
    <row r="23" spans="1:21">
      <c r="A23" s="60" t="s">
        <v>73</v>
      </c>
      <c r="B23" s="61" t="s">
        <v>32</v>
      </c>
      <c r="C23" s="60">
        <v>29463.447</v>
      </c>
      <c r="D23" s="44"/>
      <c r="E23">
        <f t="shared" si="0"/>
        <v>1015.0200077122951</v>
      </c>
      <c r="F23">
        <f t="shared" si="1"/>
        <v>1015</v>
      </c>
      <c r="G23">
        <f t="shared" ref="G23:G39" si="4">+C23-(C$7+F23*C$8)</f>
        <v>2.215500000238535E-2</v>
      </c>
      <c r="K23">
        <f t="shared" ref="K23:K33" si="5">+G23</f>
        <v>2.215500000238535E-2</v>
      </c>
      <c r="O23">
        <f t="shared" ca="1" si="2"/>
        <v>-0.13831018374916668</v>
      </c>
      <c r="Q23" s="2">
        <f t="shared" si="3"/>
        <v>14444.947</v>
      </c>
      <c r="U23" s="46"/>
    </row>
    <row r="24" spans="1:21">
      <c r="A24" s="60" t="s">
        <v>73</v>
      </c>
      <c r="B24" s="61" t="s">
        <v>32</v>
      </c>
      <c r="C24" s="60">
        <v>29627.284</v>
      </c>
      <c r="D24" s="44"/>
      <c r="E24">
        <f t="shared" si="0"/>
        <v>1162.9777400090138</v>
      </c>
      <c r="F24">
        <f t="shared" si="1"/>
        <v>1163</v>
      </c>
      <c r="G24">
        <f t="shared" si="4"/>
        <v>-2.4648999999044463E-2</v>
      </c>
      <c r="K24">
        <f t="shared" si="5"/>
        <v>-2.4648999999044463E-2</v>
      </c>
      <c r="O24">
        <f t="shared" ca="1" si="2"/>
        <v>-0.13777433439925757</v>
      </c>
      <c r="Q24" s="2">
        <f t="shared" si="3"/>
        <v>14608.784</v>
      </c>
      <c r="U24" s="46"/>
    </row>
    <row r="25" spans="1:21">
      <c r="A25" s="60" t="s">
        <v>73</v>
      </c>
      <c r="B25" s="61" t="s">
        <v>32</v>
      </c>
      <c r="C25" s="60">
        <v>29877.550999999999</v>
      </c>
      <c r="D25" s="44"/>
      <c r="E25">
        <f t="shared" si="0"/>
        <v>1388.9885787615729</v>
      </c>
      <c r="F25">
        <f t="shared" si="1"/>
        <v>1389</v>
      </c>
      <c r="G25">
        <f t="shared" si="4"/>
        <v>-1.2646999999560649E-2</v>
      </c>
      <c r="K25">
        <f t="shared" si="5"/>
        <v>-1.2646999999560649E-2</v>
      </c>
      <c r="O25">
        <f t="shared" ca="1" si="2"/>
        <v>-0.13695607795953149</v>
      </c>
      <c r="Q25" s="2">
        <f t="shared" si="3"/>
        <v>14859.050999999999</v>
      </c>
      <c r="U25" s="46"/>
    </row>
    <row r="26" spans="1:21">
      <c r="A26" s="60" t="s">
        <v>73</v>
      </c>
      <c r="B26" s="61" t="s">
        <v>32</v>
      </c>
      <c r="C26" s="60">
        <v>30258.51</v>
      </c>
      <c r="D26" s="44"/>
      <c r="E26">
        <f t="shared" si="0"/>
        <v>1733.02460077141</v>
      </c>
      <c r="F26">
        <f t="shared" si="1"/>
        <v>1733</v>
      </c>
      <c r="G26">
        <f t="shared" si="4"/>
        <v>2.724099999977625E-2</v>
      </c>
      <c r="K26">
        <f t="shared" si="5"/>
        <v>2.724099999977625E-2</v>
      </c>
      <c r="O26">
        <f t="shared" ca="1" si="2"/>
        <v>-0.13571059028136437</v>
      </c>
      <c r="Q26" s="2">
        <f t="shared" si="3"/>
        <v>15240.009999999998</v>
      </c>
    </row>
    <row r="27" spans="1:21">
      <c r="A27" s="60" t="s">
        <v>73</v>
      </c>
      <c r="B27" s="61" t="s">
        <v>32</v>
      </c>
      <c r="C27" s="60">
        <v>30369.244999999999</v>
      </c>
      <c r="D27" s="44"/>
      <c r="E27">
        <f t="shared" si="0"/>
        <v>1833.0270390843507</v>
      </c>
      <c r="F27">
        <f t="shared" si="1"/>
        <v>1833</v>
      </c>
      <c r="G27">
        <f t="shared" si="4"/>
        <v>2.994100000069011E-2</v>
      </c>
      <c r="K27">
        <f t="shared" si="5"/>
        <v>2.994100000069011E-2</v>
      </c>
      <c r="O27">
        <f t="shared" ca="1" si="2"/>
        <v>-0.13534852990980417</v>
      </c>
      <c r="Q27" s="2">
        <f t="shared" si="3"/>
        <v>15350.744999999999</v>
      </c>
    </row>
    <row r="28" spans="1:21">
      <c r="A28" s="60" t="s">
        <v>73</v>
      </c>
      <c r="B28" s="61" t="s">
        <v>32</v>
      </c>
      <c r="C28" s="60">
        <v>31413.428</v>
      </c>
      <c r="D28" s="44"/>
      <c r="E28">
        <f t="shared" si="0"/>
        <v>2776.0066394358296</v>
      </c>
      <c r="F28">
        <f t="shared" si="1"/>
        <v>2776</v>
      </c>
      <c r="G28">
        <f t="shared" si="4"/>
        <v>7.3520000005373731E-3</v>
      </c>
      <c r="K28">
        <f t="shared" si="5"/>
        <v>7.3520000005373731E-3</v>
      </c>
      <c r="O28">
        <f t="shared" ca="1" si="2"/>
        <v>-0.1319343006059914</v>
      </c>
      <c r="Q28" s="2">
        <f t="shared" si="3"/>
        <v>16394.928</v>
      </c>
    </row>
    <row r="29" spans="1:21">
      <c r="A29" s="60" t="s">
        <v>73</v>
      </c>
      <c r="B29" s="61" t="s">
        <v>32</v>
      </c>
      <c r="C29" s="60">
        <v>31443.3</v>
      </c>
      <c r="D29" s="44"/>
      <c r="E29">
        <f t="shared" si="0"/>
        <v>2802.9834113442967</v>
      </c>
      <c r="F29">
        <f t="shared" si="1"/>
        <v>2803</v>
      </c>
      <c r="G29">
        <f t="shared" si="4"/>
        <v>-1.8369000001257518E-2</v>
      </c>
      <c r="K29">
        <f t="shared" si="5"/>
        <v>-1.8369000001257518E-2</v>
      </c>
      <c r="O29">
        <f t="shared" ca="1" si="2"/>
        <v>-0.13183654430567013</v>
      </c>
      <c r="Q29" s="2">
        <f t="shared" si="3"/>
        <v>16424.8</v>
      </c>
    </row>
    <row r="30" spans="1:21">
      <c r="A30" s="60" t="s">
        <v>73</v>
      </c>
      <c r="B30" s="61" t="s">
        <v>32</v>
      </c>
      <c r="C30" s="60">
        <v>31589.503000000001</v>
      </c>
      <c r="D30" s="44"/>
      <c r="E30">
        <f t="shared" si="0"/>
        <v>2935.0162509042098</v>
      </c>
      <c r="F30">
        <f t="shared" si="1"/>
        <v>2935</v>
      </c>
      <c r="G30">
        <f t="shared" si="4"/>
        <v>1.7995000001974404E-2</v>
      </c>
      <c r="K30">
        <f t="shared" si="5"/>
        <v>1.7995000001974404E-2</v>
      </c>
      <c r="O30">
        <f t="shared" ca="1" si="2"/>
        <v>-0.13135862461521067</v>
      </c>
      <c r="Q30" s="2">
        <f t="shared" si="3"/>
        <v>16571.003000000001</v>
      </c>
    </row>
    <row r="31" spans="1:21">
      <c r="A31" s="60" t="s">
        <v>73</v>
      </c>
      <c r="B31" s="61" t="s">
        <v>32</v>
      </c>
      <c r="C31" s="60">
        <v>32827.451000000001</v>
      </c>
      <c r="D31" s="44"/>
      <c r="E31">
        <f t="shared" si="0"/>
        <v>4052.9809278774146</v>
      </c>
      <c r="F31">
        <f t="shared" si="1"/>
        <v>4053</v>
      </c>
      <c r="G31">
        <f t="shared" si="4"/>
        <v>-2.1118999997270294E-2</v>
      </c>
      <c r="K31">
        <f t="shared" si="5"/>
        <v>-2.1118999997270294E-2</v>
      </c>
      <c r="O31">
        <f t="shared" ca="1" si="2"/>
        <v>-0.12731078966116752</v>
      </c>
      <c r="Q31" s="2">
        <f t="shared" si="3"/>
        <v>17808.951000000001</v>
      </c>
    </row>
    <row r="32" spans="1:21">
      <c r="A32" s="60" t="s">
        <v>73</v>
      </c>
      <c r="B32" s="61" t="s">
        <v>32</v>
      </c>
      <c r="C32" s="60">
        <v>32888.349000000002</v>
      </c>
      <c r="D32" s="44"/>
      <c r="E32">
        <f t="shared" si="0"/>
        <v>4107.9766247066154</v>
      </c>
      <c r="F32">
        <f t="shared" si="1"/>
        <v>4108</v>
      </c>
      <c r="G32">
        <f t="shared" si="4"/>
        <v>-2.588399999513058E-2</v>
      </c>
      <c r="K32">
        <f t="shared" si="5"/>
        <v>-2.588399999513058E-2</v>
      </c>
      <c r="O32">
        <f t="shared" ca="1" si="2"/>
        <v>-0.12711165645680941</v>
      </c>
      <c r="Q32" s="2">
        <f t="shared" si="3"/>
        <v>17869.849000000002</v>
      </c>
    </row>
    <row r="33" spans="1:31">
      <c r="A33" s="60" t="s">
        <v>73</v>
      </c>
      <c r="B33" s="61" t="s">
        <v>32</v>
      </c>
      <c r="C33" s="60">
        <v>33239.415999999997</v>
      </c>
      <c r="D33" s="44"/>
      <c r="E33">
        <f t="shared" si="0"/>
        <v>4425.0178132306464</v>
      </c>
      <c r="F33">
        <f t="shared" si="1"/>
        <v>4425</v>
      </c>
      <c r="G33">
        <f t="shared" si="4"/>
        <v>1.9724999998288695E-2</v>
      </c>
      <c r="K33">
        <f t="shared" si="5"/>
        <v>1.9724999998288695E-2</v>
      </c>
      <c r="O33">
        <f t="shared" ca="1" si="2"/>
        <v>-0.12596392507896353</v>
      </c>
      <c r="Q33" s="2">
        <f t="shared" si="3"/>
        <v>18220.915999999997</v>
      </c>
    </row>
    <row r="34" spans="1:31">
      <c r="A34" t="s">
        <v>28</v>
      </c>
      <c r="C34" s="39">
        <v>50046.285199999998</v>
      </c>
      <c r="D34" s="12">
        <v>8.0000000000000004E-4</v>
      </c>
      <c r="E34">
        <f t="shared" si="0"/>
        <v>19602.946204494983</v>
      </c>
      <c r="F34">
        <f t="shared" si="1"/>
        <v>19603</v>
      </c>
      <c r="G34">
        <f t="shared" si="4"/>
        <v>-5.9569000004557893E-2</v>
      </c>
      <c r="I34">
        <f>+G34</f>
        <v>-5.9569000004557893E-2</v>
      </c>
      <c r="O34">
        <f t="shared" ca="1" si="2"/>
        <v>-7.1010401883555063E-2</v>
      </c>
      <c r="Q34" s="2">
        <f t="shared" si="3"/>
        <v>35027.785199999998</v>
      </c>
      <c r="AA34">
        <v>20</v>
      </c>
      <c r="AC34" t="s">
        <v>27</v>
      </c>
      <c r="AE34" t="s">
        <v>29</v>
      </c>
    </row>
    <row r="35" spans="1:31">
      <c r="A35" t="s">
        <v>31</v>
      </c>
      <c r="B35" s="5" t="s">
        <v>32</v>
      </c>
      <c r="C35" s="12">
        <v>50594.408000000003</v>
      </c>
      <c r="D35" s="12">
        <v>1.1000000000000001E-3</v>
      </c>
      <c r="E35">
        <f t="shared" si="0"/>
        <v>20097.944321575549</v>
      </c>
      <c r="F35">
        <f t="shared" si="1"/>
        <v>20098</v>
      </c>
      <c r="G35">
        <f t="shared" si="4"/>
        <v>-6.1653999997361097E-2</v>
      </c>
      <c r="J35">
        <f>+G35</f>
        <v>-6.1653999997361097E-2</v>
      </c>
      <c r="O35">
        <f t="shared" ca="1" si="2"/>
        <v>-6.921820304433203E-2</v>
      </c>
      <c r="Q35" s="2">
        <f t="shared" si="3"/>
        <v>35575.908000000003</v>
      </c>
    </row>
    <row r="36" spans="1:31">
      <c r="A36" t="s">
        <v>31</v>
      </c>
      <c r="B36" s="5" t="s">
        <v>32</v>
      </c>
      <c r="C36" s="12">
        <v>50605.482199999999</v>
      </c>
      <c r="D36" s="12">
        <v>1.1000000000000001E-3</v>
      </c>
      <c r="E36">
        <f t="shared" si="0"/>
        <v>20107.945197562047</v>
      </c>
      <c r="F36">
        <f t="shared" si="1"/>
        <v>20108</v>
      </c>
      <c r="G36">
        <f t="shared" si="4"/>
        <v>-6.0683999996399507E-2</v>
      </c>
      <c r="J36">
        <f>+G36</f>
        <v>-6.0683999996399507E-2</v>
      </c>
      <c r="O36">
        <f t="shared" ca="1" si="2"/>
        <v>-6.9181997007176005E-2</v>
      </c>
      <c r="Q36" s="2">
        <f t="shared" si="3"/>
        <v>35586.982199999999</v>
      </c>
    </row>
    <row r="37" spans="1:31">
      <c r="A37" s="10" t="s">
        <v>34</v>
      </c>
      <c r="B37" s="11"/>
      <c r="C37" s="12">
        <v>53266.375800000002</v>
      </c>
      <c r="D37" s="12">
        <v>2.9999999999999997E-4</v>
      </c>
      <c r="E37">
        <f t="shared" si="0"/>
        <v>22510.941974473575</v>
      </c>
      <c r="F37">
        <f t="shared" si="1"/>
        <v>22511</v>
      </c>
      <c r="G37">
        <f t="shared" si="4"/>
        <v>-6.4252999996824656E-2</v>
      </c>
      <c r="J37">
        <f>+G37</f>
        <v>-6.4252999996824656E-2</v>
      </c>
      <c r="O37">
        <f t="shared" ca="1" si="2"/>
        <v>-6.048168627858419E-2</v>
      </c>
      <c r="Q37" s="2">
        <f t="shared" si="3"/>
        <v>38247.875800000002</v>
      </c>
    </row>
    <row r="38" spans="1:31">
      <c r="A38" s="15" t="s">
        <v>38</v>
      </c>
      <c r="B38" s="16" t="s">
        <v>32</v>
      </c>
      <c r="C38" s="17">
        <v>53566.462</v>
      </c>
      <c r="D38" s="17">
        <v>5.0000000000000001E-3</v>
      </c>
      <c r="E38">
        <f t="shared" si="0"/>
        <v>22781.943479906044</v>
      </c>
      <c r="F38">
        <f t="shared" si="1"/>
        <v>22782</v>
      </c>
      <c r="G38">
        <f t="shared" si="4"/>
        <v>-6.2586000000010245E-2</v>
      </c>
      <c r="J38">
        <f>+G38</f>
        <v>-6.2586000000010245E-2</v>
      </c>
      <c r="O38">
        <f t="shared" ca="1" si="2"/>
        <v>-5.9500502671656019E-2</v>
      </c>
      <c r="Q38" s="2">
        <f t="shared" si="3"/>
        <v>38547.962</v>
      </c>
      <c r="U38" s="46"/>
    </row>
    <row r="39" spans="1:31">
      <c r="A39" s="32" t="s">
        <v>45</v>
      </c>
      <c r="B39" s="5" t="s">
        <v>46</v>
      </c>
      <c r="C39" s="31">
        <v>54035.425300000003</v>
      </c>
      <c r="D39" s="12">
        <v>5.3E-3</v>
      </c>
      <c r="E39">
        <f t="shared" si="0"/>
        <v>23205.454325431696</v>
      </c>
      <c r="F39">
        <f t="shared" si="1"/>
        <v>23205.5</v>
      </c>
      <c r="G39">
        <f t="shared" si="4"/>
        <v>-5.0576499997987412E-2</v>
      </c>
      <c r="J39">
        <f>+G39</f>
        <v>-5.0576499997987412E-2</v>
      </c>
      <c r="O39">
        <f t="shared" ca="1" si="2"/>
        <v>-5.7967176998098544E-2</v>
      </c>
      <c r="Q39" s="2">
        <f t="shared" si="3"/>
        <v>39016.925300000003</v>
      </c>
      <c r="U39" s="46"/>
    </row>
    <row r="40" spans="1:31">
      <c r="A40" s="30" t="s">
        <v>44</v>
      </c>
      <c r="B40" s="11"/>
      <c r="C40" s="31">
        <v>54222.517800000001</v>
      </c>
      <c r="D40" s="12">
        <v>1.6999999999999999E-3</v>
      </c>
      <c r="E40">
        <f t="shared" si="0"/>
        <v>23374.41360831483</v>
      </c>
      <c r="F40">
        <f t="shared" si="1"/>
        <v>23374.5</v>
      </c>
      <c r="J40" s="14">
        <v>-9.5663499996589962E-2</v>
      </c>
      <c r="O40">
        <f t="shared" ca="1" si="2"/>
        <v>-5.7355294970161785E-2</v>
      </c>
      <c r="Q40" s="2">
        <f t="shared" si="3"/>
        <v>39204.017800000001</v>
      </c>
      <c r="U40" s="46"/>
    </row>
    <row r="41" spans="1:31">
      <c r="A41" s="60" t="s">
        <v>143</v>
      </c>
      <c r="B41" s="61" t="s">
        <v>32</v>
      </c>
      <c r="C41" s="60">
        <v>54390.311399999999</v>
      </c>
      <c r="D41" s="44"/>
      <c r="E41">
        <f t="shared" si="0"/>
        <v>23525.944462455849</v>
      </c>
      <c r="F41">
        <f t="shared" si="1"/>
        <v>23526</v>
      </c>
      <c r="G41">
        <f t="shared" ref="G41:G56" si="6">+C41-(C$7+F41*C$8)</f>
        <v>-6.149800000275718E-2</v>
      </c>
      <c r="K41">
        <f>+G41</f>
        <v>-6.149800000275718E-2</v>
      </c>
      <c r="O41">
        <f t="shared" ca="1" si="2"/>
        <v>-5.6806773507248068E-2</v>
      </c>
      <c r="Q41" s="2">
        <f t="shared" si="3"/>
        <v>39371.811399999999</v>
      </c>
    </row>
    <row r="42" spans="1:31">
      <c r="A42" s="60" t="s">
        <v>148</v>
      </c>
      <c r="B42" s="61" t="s">
        <v>32</v>
      </c>
      <c r="C42" s="60">
        <v>54712.546499999997</v>
      </c>
      <c r="D42" s="44"/>
      <c r="E42">
        <f t="shared" si="0"/>
        <v>23816.948171400752</v>
      </c>
      <c r="F42">
        <f t="shared" si="1"/>
        <v>23817</v>
      </c>
      <c r="G42">
        <f t="shared" si="6"/>
        <v>-5.7391000002098735E-2</v>
      </c>
      <c r="K42">
        <f>+G42</f>
        <v>-5.7391000002098735E-2</v>
      </c>
      <c r="O42">
        <f t="shared" ca="1" si="2"/>
        <v>-5.575317782600786E-2</v>
      </c>
      <c r="Q42" s="2">
        <f t="shared" si="3"/>
        <v>39694.046499999997</v>
      </c>
    </row>
    <row r="43" spans="1:31">
      <c r="A43" s="60" t="s">
        <v>148</v>
      </c>
      <c r="B43" s="61" t="s">
        <v>46</v>
      </c>
      <c r="C43" s="60">
        <v>54738.549200000001</v>
      </c>
      <c r="D43" s="44"/>
      <c r="E43">
        <f t="shared" si="0"/>
        <v>23840.430660249993</v>
      </c>
      <c r="F43">
        <f t="shared" si="1"/>
        <v>23840.5</v>
      </c>
      <c r="G43">
        <f t="shared" si="6"/>
        <v>-7.6781499999924563E-2</v>
      </c>
      <c r="K43">
        <f>+G43</f>
        <v>-7.6781499999924563E-2</v>
      </c>
      <c r="O43">
        <f t="shared" ca="1" si="2"/>
        <v>-5.5668093638691213E-2</v>
      </c>
      <c r="Q43" s="2">
        <f t="shared" si="3"/>
        <v>39720.049200000001</v>
      </c>
    </row>
    <row r="44" spans="1:31">
      <c r="A44" s="60" t="s">
        <v>148</v>
      </c>
      <c r="B44" s="61" t="s">
        <v>46</v>
      </c>
      <c r="C44" s="60">
        <v>54798.338499999998</v>
      </c>
      <c r="D44" s="44"/>
      <c r="E44">
        <f t="shared" si="0"/>
        <v>23894.42511353959</v>
      </c>
      <c r="F44">
        <f t="shared" si="1"/>
        <v>23894.5</v>
      </c>
      <c r="G44">
        <f t="shared" si="6"/>
        <v>-8.2923499998287298E-2</v>
      </c>
      <c r="K44">
        <f>+G44</f>
        <v>-8.2923499998287298E-2</v>
      </c>
      <c r="O44">
        <f t="shared" ca="1" si="2"/>
        <v>-5.5472581038048696E-2</v>
      </c>
      <c r="Q44" s="2">
        <f t="shared" si="3"/>
        <v>39779.838499999998</v>
      </c>
    </row>
    <row r="45" spans="1:31">
      <c r="A45" s="37" t="s">
        <v>50</v>
      </c>
      <c r="B45" s="38" t="s">
        <v>32</v>
      </c>
      <c r="C45" s="37">
        <v>54834.351000000002</v>
      </c>
      <c r="D45" s="37">
        <v>2E-3</v>
      </c>
      <c r="E45">
        <f t="shared" si="0"/>
        <v>23926.947241229525</v>
      </c>
      <c r="F45">
        <f t="shared" si="1"/>
        <v>23927</v>
      </c>
      <c r="G45">
        <f t="shared" si="6"/>
        <v>-5.8421000001544598E-2</v>
      </c>
      <c r="J45">
        <f>+G45</f>
        <v>-5.8421000001544598E-2</v>
      </c>
      <c r="O45">
        <f t="shared" ca="1" si="2"/>
        <v>-5.5354911417291638E-2</v>
      </c>
      <c r="Q45" s="2">
        <f t="shared" si="3"/>
        <v>39815.851000000002</v>
      </c>
      <c r="U45" s="46"/>
    </row>
    <row r="46" spans="1:31">
      <c r="A46" s="60" t="s">
        <v>166</v>
      </c>
      <c r="B46" s="61" t="s">
        <v>32</v>
      </c>
      <c r="C46" s="60">
        <v>55051.388700000003</v>
      </c>
      <c r="D46" s="44"/>
      <c r="E46">
        <f t="shared" si="0"/>
        <v>24122.949401394177</v>
      </c>
      <c r="F46">
        <f t="shared" si="1"/>
        <v>24123</v>
      </c>
      <c r="G46">
        <f t="shared" si="6"/>
        <v>-5.6028999992122408E-2</v>
      </c>
      <c r="K46">
        <f>+G46</f>
        <v>-5.6028999992122408E-2</v>
      </c>
      <c r="O46">
        <f t="shared" ca="1" si="2"/>
        <v>-5.4645273089033622E-2</v>
      </c>
      <c r="Q46" s="2">
        <f t="shared" si="3"/>
        <v>40032.888700000003</v>
      </c>
    </row>
    <row r="47" spans="1:31">
      <c r="A47" s="45" t="s">
        <v>56</v>
      </c>
      <c r="B47" s="45"/>
      <c r="C47" s="40">
        <v>55398.5288</v>
      </c>
      <c r="D47" s="40">
        <v>1.3599999999999999E-2</v>
      </c>
      <c r="E47">
        <f t="shared" si="0"/>
        <v>24436.444289516246</v>
      </c>
      <c r="F47">
        <f t="shared" si="1"/>
        <v>24436.5</v>
      </c>
      <c r="G47">
        <f t="shared" si="6"/>
        <v>-6.168949999846518E-2</v>
      </c>
      <c r="J47">
        <f>+G47</f>
        <v>-6.168949999846518E-2</v>
      </c>
      <c r="O47">
        <f t="shared" ca="1" si="2"/>
        <v>-5.3510213824192368E-2</v>
      </c>
      <c r="Q47" s="2">
        <f t="shared" si="3"/>
        <v>40380.0288</v>
      </c>
      <c r="U47" s="46"/>
    </row>
    <row r="48" spans="1:31">
      <c r="A48" s="45" t="s">
        <v>56</v>
      </c>
      <c r="B48" s="45"/>
      <c r="C48" s="40">
        <v>55480.476499999997</v>
      </c>
      <c r="D48" s="40">
        <v>4.9200000000000001E-2</v>
      </c>
      <c r="E48">
        <f t="shared" si="0"/>
        <v>24510.449525567514</v>
      </c>
      <c r="F48">
        <f t="shared" si="1"/>
        <v>24510.5</v>
      </c>
      <c r="G48">
        <f t="shared" si="6"/>
        <v>-5.5891500007419381E-2</v>
      </c>
      <c r="J48">
        <f>+G48</f>
        <v>-5.5891500007419381E-2</v>
      </c>
      <c r="O48">
        <f t="shared" ca="1" si="2"/>
        <v>-5.3242289149237815E-2</v>
      </c>
      <c r="Q48" s="2">
        <f t="shared" si="3"/>
        <v>40461.976499999997</v>
      </c>
      <c r="U48" s="46"/>
    </row>
    <row r="49" spans="1:21">
      <c r="A49" s="45" t="s">
        <v>56</v>
      </c>
      <c r="B49" s="45"/>
      <c r="C49" s="40">
        <v>55481.5933</v>
      </c>
      <c r="D49" s="40">
        <v>1.7100000000000001E-2</v>
      </c>
      <c r="E49">
        <f t="shared" si="0"/>
        <v>24511.458084045938</v>
      </c>
      <c r="F49">
        <f t="shared" si="1"/>
        <v>24511.5</v>
      </c>
      <c r="G49">
        <f t="shared" si="6"/>
        <v>-4.6414500000537373E-2</v>
      </c>
      <c r="J49">
        <f>+G49</f>
        <v>-4.6414500000537373E-2</v>
      </c>
      <c r="O49">
        <f t="shared" ca="1" si="2"/>
        <v>-5.3238668545522214E-2</v>
      </c>
      <c r="Q49" s="2">
        <f t="shared" si="3"/>
        <v>40463.0933</v>
      </c>
      <c r="U49" s="46"/>
    </row>
    <row r="50" spans="1:21">
      <c r="A50" s="37" t="s">
        <v>51</v>
      </c>
      <c r="B50" s="38" t="s">
        <v>46</v>
      </c>
      <c r="C50" s="37">
        <v>55759.5265</v>
      </c>
      <c r="D50" s="37">
        <v>2.3E-3</v>
      </c>
      <c r="E50">
        <f t="shared" si="0"/>
        <v>24762.453683342621</v>
      </c>
      <c r="F50">
        <f t="shared" si="1"/>
        <v>24762.5</v>
      </c>
      <c r="G50">
        <f t="shared" si="6"/>
        <v>-5.1287499998579733E-2</v>
      </c>
      <c r="J50">
        <f>+G50</f>
        <v>-5.1287499998579733E-2</v>
      </c>
      <c r="O50">
        <f t="shared" ca="1" si="2"/>
        <v>-5.2329897012906093E-2</v>
      </c>
      <c r="Q50" s="2">
        <f t="shared" si="3"/>
        <v>40741.0265</v>
      </c>
      <c r="U50" s="46"/>
    </row>
    <row r="51" spans="1:21">
      <c r="A51" s="37" t="s">
        <v>51</v>
      </c>
      <c r="B51" s="38" t="s">
        <v>32</v>
      </c>
      <c r="C51" s="37">
        <v>55784.444300000003</v>
      </c>
      <c r="D51" s="37">
        <v>2.7000000000000001E-3</v>
      </c>
      <c r="E51">
        <f t="shared" si="0"/>
        <v>24784.956421929288</v>
      </c>
      <c r="F51">
        <f t="shared" si="1"/>
        <v>24785</v>
      </c>
      <c r="G51">
        <f t="shared" si="6"/>
        <v>-4.8255000001518056E-2</v>
      </c>
      <c r="J51">
        <f>+G51</f>
        <v>-4.8255000001518056E-2</v>
      </c>
      <c r="O51">
        <f t="shared" ca="1" si="2"/>
        <v>-5.2248433429305047E-2</v>
      </c>
      <c r="Q51" s="2">
        <f t="shared" si="3"/>
        <v>40765.944300000003</v>
      </c>
      <c r="U51" s="46"/>
    </row>
    <row r="52" spans="1:21">
      <c r="A52" s="60" t="s">
        <v>192</v>
      </c>
      <c r="B52" s="61" t="s">
        <v>32</v>
      </c>
      <c r="C52" s="60">
        <v>55815.451300000001</v>
      </c>
      <c r="D52" s="44"/>
      <c r="E52">
        <f t="shared" si="0"/>
        <v>24812.958188351549</v>
      </c>
      <c r="F52">
        <f t="shared" si="1"/>
        <v>24813</v>
      </c>
      <c r="G52">
        <f t="shared" si="6"/>
        <v>-4.6298999994178303E-2</v>
      </c>
      <c r="K52">
        <f>+G52</f>
        <v>-4.6298999994178303E-2</v>
      </c>
      <c r="O52">
        <f t="shared" ca="1" si="2"/>
        <v>-5.2147056525268187E-2</v>
      </c>
      <c r="Q52" s="2">
        <f t="shared" si="3"/>
        <v>40796.951300000001</v>
      </c>
    </row>
    <row r="53" spans="1:21">
      <c r="A53" s="60" t="s">
        <v>192</v>
      </c>
      <c r="B53" s="61" t="s">
        <v>46</v>
      </c>
      <c r="C53" s="60">
        <v>55851.438699999999</v>
      </c>
      <c r="D53" s="44"/>
      <c r="E53">
        <f t="shared" si="0"/>
        <v>24845.457648761923</v>
      </c>
      <c r="F53">
        <f t="shared" si="1"/>
        <v>24845.5</v>
      </c>
      <c r="G53">
        <f t="shared" si="6"/>
        <v>-4.689650000364054E-2</v>
      </c>
      <c r="K53">
        <f>+G53</f>
        <v>-4.689650000364054E-2</v>
      </c>
      <c r="O53">
        <f t="shared" ca="1" si="2"/>
        <v>-5.2029386904511116E-2</v>
      </c>
      <c r="Q53" s="2">
        <f t="shared" si="3"/>
        <v>40832.938699999999</v>
      </c>
    </row>
    <row r="54" spans="1:21">
      <c r="A54" s="60" t="s">
        <v>192</v>
      </c>
      <c r="B54" s="61" t="s">
        <v>32</v>
      </c>
      <c r="C54" s="60">
        <v>55887.426599999999</v>
      </c>
      <c r="D54" s="44"/>
      <c r="E54">
        <f t="shared" si="0"/>
        <v>24877.957560711733</v>
      </c>
      <c r="F54">
        <f t="shared" si="1"/>
        <v>24878</v>
      </c>
      <c r="G54">
        <f t="shared" si="6"/>
        <v>-4.6993999996630009E-2</v>
      </c>
      <c r="K54">
        <f>+G54</f>
        <v>-4.6993999996630009E-2</v>
      </c>
      <c r="O54">
        <f t="shared" ca="1" si="2"/>
        <v>-5.1911717283754044E-2</v>
      </c>
      <c r="Q54" s="2">
        <f t="shared" si="3"/>
        <v>40868.926599999999</v>
      </c>
    </row>
    <row r="55" spans="1:21">
      <c r="A55" s="15" t="s">
        <v>53</v>
      </c>
      <c r="B55" s="16" t="s">
        <v>32</v>
      </c>
      <c r="C55" s="17">
        <v>56219.625999999997</v>
      </c>
      <c r="D55" s="17">
        <v>1.5E-3</v>
      </c>
      <c r="E55">
        <f t="shared" si="0"/>
        <v>25177.959818408897</v>
      </c>
      <c r="F55">
        <f t="shared" si="1"/>
        <v>25178</v>
      </c>
      <c r="G55">
        <f t="shared" si="6"/>
        <v>-4.449400000157766E-2</v>
      </c>
      <c r="L55">
        <f>+G55</f>
        <v>-4.449400000157766E-2</v>
      </c>
      <c r="O55">
        <f t="shared" ca="1" si="2"/>
        <v>-5.0825536169073426E-2</v>
      </c>
      <c r="Q55" s="2">
        <f t="shared" si="3"/>
        <v>41201.125999999997</v>
      </c>
      <c r="U55" s="46"/>
    </row>
    <row r="56" spans="1:21">
      <c r="A56" s="15" t="s">
        <v>52</v>
      </c>
      <c r="B56" s="16" t="s">
        <v>32</v>
      </c>
      <c r="C56" s="17">
        <v>56230.700700000001</v>
      </c>
      <c r="D56" s="17">
        <v>5.0000000000000001E-4</v>
      </c>
      <c r="E56">
        <f t="shared" si="0"/>
        <v>25187.961145934838</v>
      </c>
      <c r="F56">
        <f t="shared" si="1"/>
        <v>25188</v>
      </c>
      <c r="G56">
        <f t="shared" si="6"/>
        <v>-4.3023999998695217E-2</v>
      </c>
      <c r="L56">
        <f>+G56</f>
        <v>-4.3023999998695217E-2</v>
      </c>
      <c r="O56">
        <f t="shared" ca="1" si="2"/>
        <v>-5.0789330131917401E-2</v>
      </c>
      <c r="Q56" s="2">
        <f t="shared" si="3"/>
        <v>41212.200700000001</v>
      </c>
      <c r="U56" s="46"/>
    </row>
    <row r="57" spans="1:21">
      <c r="A57" s="42" t="s">
        <v>54</v>
      </c>
      <c r="B57" s="43" t="s">
        <v>32</v>
      </c>
      <c r="C57" s="17">
        <v>56535.4735</v>
      </c>
      <c r="D57" s="44">
        <v>1.8E-3</v>
      </c>
      <c r="E57">
        <f t="shared" si="0"/>
        <v>25463.195020784362</v>
      </c>
      <c r="F57">
        <f t="shared" si="1"/>
        <v>25463</v>
      </c>
      <c r="O57">
        <f t="shared" ca="1" si="2"/>
        <v>-4.9793664110126826E-2</v>
      </c>
      <c r="Q57" s="2">
        <f t="shared" si="3"/>
        <v>41516.9735</v>
      </c>
      <c r="U57" s="46">
        <f>+C57-(C$7+F57*C$8)</f>
        <v>0.21595099999831291</v>
      </c>
    </row>
    <row r="58" spans="1:21">
      <c r="A58" s="42" t="s">
        <v>54</v>
      </c>
      <c r="B58" s="43" t="s">
        <v>32</v>
      </c>
      <c r="C58" s="17">
        <v>56568.433900000004</v>
      </c>
      <c r="D58" s="44">
        <v>2.7000000000000001E-3</v>
      </c>
      <c r="E58">
        <f t="shared" si="0"/>
        <v>25492.960861464995</v>
      </c>
      <c r="F58">
        <f t="shared" si="1"/>
        <v>25493</v>
      </c>
      <c r="G58">
        <f>+C58-(C$7+F58*C$8)</f>
        <v>-4.3338999996194616E-2</v>
      </c>
      <c r="L58">
        <f>+G58</f>
        <v>-4.3338999996194616E-2</v>
      </c>
      <c r="O58">
        <f t="shared" ca="1" si="2"/>
        <v>-4.9685045998658764E-2</v>
      </c>
      <c r="Q58" s="2">
        <f t="shared" si="3"/>
        <v>41549.933900000004</v>
      </c>
      <c r="U58" s="46"/>
    </row>
    <row r="59" spans="1:21">
      <c r="A59" s="42" t="s">
        <v>54</v>
      </c>
      <c r="B59" s="43" t="s">
        <v>32</v>
      </c>
      <c r="C59" s="17">
        <v>56600.545400000003</v>
      </c>
      <c r="D59" s="44">
        <v>4.4000000000000003E-3</v>
      </c>
      <c r="E59">
        <f t="shared" si="0"/>
        <v>25521.960078495616</v>
      </c>
      <c r="F59">
        <f t="shared" si="1"/>
        <v>25522</v>
      </c>
      <c r="G59">
        <f>+C59-(C$7+F59*C$8)</f>
        <v>-4.4205999998666812E-2</v>
      </c>
      <c r="L59">
        <f>+G59</f>
        <v>-4.4205999998666812E-2</v>
      </c>
      <c r="O59">
        <f t="shared" ca="1" si="2"/>
        <v>-4.9580048490906303E-2</v>
      </c>
      <c r="Q59" s="2">
        <f t="shared" si="3"/>
        <v>41582.045400000003</v>
      </c>
      <c r="U59" s="46"/>
    </row>
    <row r="60" spans="1:21">
      <c r="B60" s="5"/>
    </row>
    <row r="61" spans="1:21">
      <c r="B61" s="5"/>
    </row>
    <row r="62" spans="1:21">
      <c r="B62" s="5"/>
    </row>
    <row r="63" spans="1:21">
      <c r="B63" s="5"/>
    </row>
    <row r="64" spans="1:21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  <row r="71" spans="2:2">
      <c r="B71" s="5"/>
    </row>
    <row r="72" spans="2:2">
      <c r="B72" s="5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7"/>
  <sheetViews>
    <sheetView workbookViewId="0">
      <selection activeCell="A27" sqref="A27:C46"/>
    </sheetView>
  </sheetViews>
  <sheetFormatPr defaultRowHeight="12.75"/>
  <cols>
    <col min="1" max="1" width="19.7109375" style="12" customWidth="1"/>
    <col min="2" max="2" width="4.42578125" style="19" customWidth="1"/>
    <col min="3" max="3" width="12.7109375" style="12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2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47" t="s">
        <v>57</v>
      </c>
      <c r="I1" s="48" t="s">
        <v>58</v>
      </c>
      <c r="J1" s="49" t="s">
        <v>59</v>
      </c>
    </row>
    <row r="2" spans="1:16">
      <c r="I2" s="50" t="s">
        <v>60</v>
      </c>
      <c r="J2" s="51" t="s">
        <v>61</v>
      </c>
    </row>
    <row r="3" spans="1:16">
      <c r="A3" s="52" t="s">
        <v>62</v>
      </c>
      <c r="I3" s="50" t="s">
        <v>63</v>
      </c>
      <c r="J3" s="51" t="s">
        <v>64</v>
      </c>
    </row>
    <row r="4" spans="1:16">
      <c r="I4" s="50" t="s">
        <v>65</v>
      </c>
      <c r="J4" s="51" t="s">
        <v>64</v>
      </c>
    </row>
    <row r="5" spans="1:16" ht="13.5" thickBot="1">
      <c r="I5" s="53" t="s">
        <v>66</v>
      </c>
      <c r="J5" s="54" t="s">
        <v>67</v>
      </c>
    </row>
    <row r="10" spans="1:16" ht="13.5" thickBot="1"/>
    <row r="11" spans="1:16" ht="12.75" customHeight="1" thickBot="1">
      <c r="A11" s="12" t="str">
        <f t="shared" ref="A11:A46" si="0">P11</f>
        <v> BBS 111 </v>
      </c>
      <c r="B11" s="5" t="str">
        <f t="shared" ref="B11:B46" si="1">IF(H11=INT(H11),"I","II")</f>
        <v>I</v>
      </c>
      <c r="C11" s="12">
        <f t="shared" ref="C11:C46" si="2">1*G11</f>
        <v>50046.285199999998</v>
      </c>
      <c r="D11" s="19" t="str">
        <f t="shared" ref="D11:D46" si="3">VLOOKUP(F11,I$1:J$5,2,FALSE)</f>
        <v>vis</v>
      </c>
      <c r="E11" s="55">
        <f>VLOOKUP(C11,Active!C$21:E$973,3,FALSE)</f>
        <v>19602.946204494983</v>
      </c>
      <c r="F11" s="5" t="s">
        <v>66</v>
      </c>
      <c r="G11" s="19" t="str">
        <f t="shared" ref="G11:G46" si="4">MID(I11,3,LEN(I11)-3)</f>
        <v>50046.2852</v>
      </c>
      <c r="H11" s="12">
        <f t="shared" ref="H11:H46" si="5">1*K11</f>
        <v>19603</v>
      </c>
      <c r="I11" s="56" t="s">
        <v>107</v>
      </c>
      <c r="J11" s="57" t="s">
        <v>108</v>
      </c>
      <c r="K11" s="56">
        <v>19603</v>
      </c>
      <c r="L11" s="56" t="s">
        <v>109</v>
      </c>
      <c r="M11" s="57" t="s">
        <v>110</v>
      </c>
      <c r="N11" s="57" t="s">
        <v>111</v>
      </c>
      <c r="O11" s="58" t="s">
        <v>112</v>
      </c>
      <c r="P11" s="58" t="s">
        <v>113</v>
      </c>
    </row>
    <row r="12" spans="1:16" ht="12.75" customHeight="1" thickBot="1">
      <c r="A12" s="12" t="str">
        <f t="shared" si="0"/>
        <v>BAVM 117 </v>
      </c>
      <c r="B12" s="5" t="str">
        <f t="shared" si="1"/>
        <v>I</v>
      </c>
      <c r="C12" s="12">
        <f t="shared" si="2"/>
        <v>50594.408000000003</v>
      </c>
      <c r="D12" s="19" t="str">
        <f t="shared" si="3"/>
        <v>vis</v>
      </c>
      <c r="E12" s="55">
        <f>VLOOKUP(C12,Active!C$21:E$973,3,FALSE)</f>
        <v>20097.944321575549</v>
      </c>
      <c r="F12" s="5" t="s">
        <v>66</v>
      </c>
      <c r="G12" s="19" t="str">
        <f t="shared" si="4"/>
        <v>50594.4080</v>
      </c>
      <c r="H12" s="12">
        <f t="shared" si="5"/>
        <v>20098</v>
      </c>
      <c r="I12" s="56" t="s">
        <v>114</v>
      </c>
      <c r="J12" s="57" t="s">
        <v>115</v>
      </c>
      <c r="K12" s="56">
        <v>20098</v>
      </c>
      <c r="L12" s="56" t="s">
        <v>116</v>
      </c>
      <c r="M12" s="57" t="s">
        <v>110</v>
      </c>
      <c r="N12" s="57" t="s">
        <v>117</v>
      </c>
      <c r="O12" s="58" t="s">
        <v>118</v>
      </c>
      <c r="P12" s="59" t="s">
        <v>119</v>
      </c>
    </row>
    <row r="13" spans="1:16" ht="12.75" customHeight="1" thickBot="1">
      <c r="A13" s="12" t="str">
        <f t="shared" si="0"/>
        <v>BAVM 117 </v>
      </c>
      <c r="B13" s="5" t="str">
        <f t="shared" si="1"/>
        <v>I</v>
      </c>
      <c r="C13" s="12">
        <f t="shared" si="2"/>
        <v>50605.482199999999</v>
      </c>
      <c r="D13" s="19" t="str">
        <f t="shared" si="3"/>
        <v>vis</v>
      </c>
      <c r="E13" s="55">
        <f>VLOOKUP(C13,Active!C$21:E$973,3,FALSE)</f>
        <v>20107.945197562047</v>
      </c>
      <c r="F13" s="5" t="s">
        <v>66</v>
      </c>
      <c r="G13" s="19" t="str">
        <f t="shared" si="4"/>
        <v>50605.4822</v>
      </c>
      <c r="H13" s="12">
        <f t="shared" si="5"/>
        <v>20108</v>
      </c>
      <c r="I13" s="56" t="s">
        <v>120</v>
      </c>
      <c r="J13" s="57" t="s">
        <v>121</v>
      </c>
      <c r="K13" s="56">
        <v>20108</v>
      </c>
      <c r="L13" s="56" t="s">
        <v>122</v>
      </c>
      <c r="M13" s="57" t="s">
        <v>110</v>
      </c>
      <c r="N13" s="57" t="s">
        <v>117</v>
      </c>
      <c r="O13" s="58" t="s">
        <v>118</v>
      </c>
      <c r="P13" s="59" t="s">
        <v>119</v>
      </c>
    </row>
    <row r="14" spans="1:16" ht="12.75" customHeight="1" thickBot="1">
      <c r="A14" s="12" t="str">
        <f t="shared" si="0"/>
        <v>BAVM 173 </v>
      </c>
      <c r="B14" s="5" t="str">
        <f t="shared" si="1"/>
        <v>I</v>
      </c>
      <c r="C14" s="12">
        <f t="shared" si="2"/>
        <v>53266.375800000002</v>
      </c>
      <c r="D14" s="19" t="str">
        <f t="shared" si="3"/>
        <v>vis</v>
      </c>
      <c r="E14" s="55">
        <f>VLOOKUP(C14,Active!C$21:E$973,3,FALSE)</f>
        <v>22510.941974473575</v>
      </c>
      <c r="F14" s="5" t="s">
        <v>66</v>
      </c>
      <c r="G14" s="19" t="str">
        <f t="shared" si="4"/>
        <v>53266.3758</v>
      </c>
      <c r="H14" s="12">
        <f t="shared" si="5"/>
        <v>22511</v>
      </c>
      <c r="I14" s="56" t="s">
        <v>123</v>
      </c>
      <c r="J14" s="57" t="s">
        <v>124</v>
      </c>
      <c r="K14" s="56">
        <v>22511</v>
      </c>
      <c r="L14" s="56" t="s">
        <v>125</v>
      </c>
      <c r="M14" s="57" t="s">
        <v>110</v>
      </c>
      <c r="N14" s="57" t="s">
        <v>117</v>
      </c>
      <c r="O14" s="58" t="s">
        <v>126</v>
      </c>
      <c r="P14" s="59" t="s">
        <v>127</v>
      </c>
    </row>
    <row r="15" spans="1:16" ht="12.75" customHeight="1" thickBot="1">
      <c r="A15" s="12" t="str">
        <f t="shared" si="0"/>
        <v>IBVS 5713 </v>
      </c>
      <c r="B15" s="5" t="str">
        <f t="shared" si="1"/>
        <v>I</v>
      </c>
      <c r="C15" s="12">
        <f t="shared" si="2"/>
        <v>53566.462</v>
      </c>
      <c r="D15" s="19" t="str">
        <f t="shared" si="3"/>
        <v>vis</v>
      </c>
      <c r="E15" s="55">
        <f>VLOOKUP(C15,Active!C$21:E$973,3,FALSE)</f>
        <v>22781.943479906044</v>
      </c>
      <c r="F15" s="5" t="s">
        <v>66</v>
      </c>
      <c r="G15" s="19" t="str">
        <f t="shared" si="4"/>
        <v>53566.462</v>
      </c>
      <c r="H15" s="12">
        <f t="shared" si="5"/>
        <v>22782</v>
      </c>
      <c r="I15" s="56" t="s">
        <v>128</v>
      </c>
      <c r="J15" s="57" t="s">
        <v>129</v>
      </c>
      <c r="K15" s="56">
        <v>22782</v>
      </c>
      <c r="L15" s="56" t="s">
        <v>130</v>
      </c>
      <c r="M15" s="57" t="s">
        <v>110</v>
      </c>
      <c r="N15" s="57" t="s">
        <v>111</v>
      </c>
      <c r="O15" s="58" t="s">
        <v>112</v>
      </c>
      <c r="P15" s="59" t="s">
        <v>131</v>
      </c>
    </row>
    <row r="16" spans="1:16" ht="12.75" customHeight="1" thickBot="1">
      <c r="A16" s="12" t="str">
        <f t="shared" si="0"/>
        <v>BAVM 183 </v>
      </c>
      <c r="B16" s="5" t="str">
        <f t="shared" si="1"/>
        <v>II</v>
      </c>
      <c r="C16" s="12">
        <f t="shared" si="2"/>
        <v>54035.425300000003</v>
      </c>
      <c r="D16" s="19" t="str">
        <f t="shared" si="3"/>
        <v>vis</v>
      </c>
      <c r="E16" s="55">
        <f>VLOOKUP(C16,Active!C$21:E$973,3,FALSE)</f>
        <v>23205.454325431696</v>
      </c>
      <c r="F16" s="5" t="s">
        <v>66</v>
      </c>
      <c r="G16" s="19" t="str">
        <f t="shared" si="4"/>
        <v>54035.4253</v>
      </c>
      <c r="H16" s="12">
        <f t="shared" si="5"/>
        <v>23205.5</v>
      </c>
      <c r="I16" s="56" t="s">
        <v>132</v>
      </c>
      <c r="J16" s="57" t="s">
        <v>133</v>
      </c>
      <c r="K16" s="56">
        <v>23205.5</v>
      </c>
      <c r="L16" s="56" t="s">
        <v>134</v>
      </c>
      <c r="M16" s="57" t="s">
        <v>135</v>
      </c>
      <c r="N16" s="57" t="s">
        <v>136</v>
      </c>
      <c r="O16" s="58" t="s">
        <v>137</v>
      </c>
      <c r="P16" s="59" t="s">
        <v>138</v>
      </c>
    </row>
    <row r="17" spans="1:16" ht="12.75" customHeight="1" thickBot="1">
      <c r="A17" s="12" t="str">
        <f t="shared" si="0"/>
        <v>BAVM 209 </v>
      </c>
      <c r="B17" s="5" t="str">
        <f t="shared" si="1"/>
        <v>I</v>
      </c>
      <c r="C17" s="12">
        <f t="shared" si="2"/>
        <v>54834.351000000002</v>
      </c>
      <c r="D17" s="19" t="str">
        <f t="shared" si="3"/>
        <v>vis</v>
      </c>
      <c r="E17" s="55">
        <f>VLOOKUP(C17,Active!C$21:E$973,3,FALSE)</f>
        <v>23926.947241229525</v>
      </c>
      <c r="F17" s="5" t="s">
        <v>66</v>
      </c>
      <c r="G17" s="19" t="str">
        <f t="shared" si="4"/>
        <v>54834.3510</v>
      </c>
      <c r="H17" s="12">
        <f t="shared" si="5"/>
        <v>23927</v>
      </c>
      <c r="I17" s="56" t="s">
        <v>157</v>
      </c>
      <c r="J17" s="57" t="s">
        <v>158</v>
      </c>
      <c r="K17" s="56" t="s">
        <v>159</v>
      </c>
      <c r="L17" s="56" t="s">
        <v>160</v>
      </c>
      <c r="M17" s="57" t="s">
        <v>135</v>
      </c>
      <c r="N17" s="57" t="s">
        <v>136</v>
      </c>
      <c r="O17" s="58" t="s">
        <v>137</v>
      </c>
      <c r="P17" s="59" t="s">
        <v>161</v>
      </c>
    </row>
    <row r="18" spans="1:16" ht="12.75" customHeight="1" thickBot="1">
      <c r="A18" s="12" t="str">
        <f t="shared" si="0"/>
        <v>BAVM 215 </v>
      </c>
      <c r="B18" s="5" t="str">
        <f t="shared" si="1"/>
        <v>II</v>
      </c>
      <c r="C18" s="12">
        <f t="shared" si="2"/>
        <v>55398.5288</v>
      </c>
      <c r="D18" s="19" t="str">
        <f t="shared" si="3"/>
        <v>vis</v>
      </c>
      <c r="E18" s="55">
        <f>VLOOKUP(C18,Active!C$21:E$973,3,FALSE)</f>
        <v>24436.444289516246</v>
      </c>
      <c r="F18" s="5" t="s">
        <v>66</v>
      </c>
      <c r="G18" s="19" t="str">
        <f t="shared" si="4"/>
        <v>55398.5288</v>
      </c>
      <c r="H18" s="12">
        <f t="shared" si="5"/>
        <v>24436.5</v>
      </c>
      <c r="I18" s="56" t="s">
        <v>167</v>
      </c>
      <c r="J18" s="57" t="s">
        <v>168</v>
      </c>
      <c r="K18" s="56" t="s">
        <v>169</v>
      </c>
      <c r="L18" s="56" t="s">
        <v>116</v>
      </c>
      <c r="M18" s="57" t="s">
        <v>135</v>
      </c>
      <c r="N18" s="57" t="s">
        <v>136</v>
      </c>
      <c r="O18" s="58" t="s">
        <v>137</v>
      </c>
      <c r="P18" s="59" t="s">
        <v>170</v>
      </c>
    </row>
    <row r="19" spans="1:16" ht="12.75" customHeight="1" thickBot="1">
      <c r="A19" s="12" t="str">
        <f t="shared" si="0"/>
        <v>BAVM 215 </v>
      </c>
      <c r="B19" s="5" t="str">
        <f t="shared" si="1"/>
        <v>II</v>
      </c>
      <c r="C19" s="12">
        <f t="shared" si="2"/>
        <v>55480.476499999997</v>
      </c>
      <c r="D19" s="19" t="str">
        <f t="shared" si="3"/>
        <v>vis</v>
      </c>
      <c r="E19" s="55">
        <f>VLOOKUP(C19,Active!C$21:E$973,3,FALSE)</f>
        <v>24510.449525567514</v>
      </c>
      <c r="F19" s="5" t="s">
        <v>66</v>
      </c>
      <c r="G19" s="19" t="str">
        <f t="shared" si="4"/>
        <v>55480.4765</v>
      </c>
      <c r="H19" s="12">
        <f t="shared" si="5"/>
        <v>24510.5</v>
      </c>
      <c r="I19" s="56" t="s">
        <v>171</v>
      </c>
      <c r="J19" s="57" t="s">
        <v>172</v>
      </c>
      <c r="K19" s="56" t="s">
        <v>173</v>
      </c>
      <c r="L19" s="56" t="s">
        <v>174</v>
      </c>
      <c r="M19" s="57" t="s">
        <v>135</v>
      </c>
      <c r="N19" s="57" t="s">
        <v>136</v>
      </c>
      <c r="O19" s="58" t="s">
        <v>137</v>
      </c>
      <c r="P19" s="59" t="s">
        <v>170</v>
      </c>
    </row>
    <row r="20" spans="1:16" ht="12.75" customHeight="1" thickBot="1">
      <c r="A20" s="12" t="str">
        <f t="shared" si="0"/>
        <v>BAVM 215 </v>
      </c>
      <c r="B20" s="5" t="str">
        <f t="shared" si="1"/>
        <v>II</v>
      </c>
      <c r="C20" s="12">
        <f t="shared" si="2"/>
        <v>55481.5933</v>
      </c>
      <c r="D20" s="19" t="str">
        <f t="shared" si="3"/>
        <v>vis</v>
      </c>
      <c r="E20" s="55">
        <f>VLOOKUP(C20,Active!C$21:E$973,3,FALSE)</f>
        <v>24511.458084045938</v>
      </c>
      <c r="F20" s="5" t="s">
        <v>66</v>
      </c>
      <c r="G20" s="19" t="str">
        <f t="shared" si="4"/>
        <v>55481.5933</v>
      </c>
      <c r="H20" s="12">
        <f t="shared" si="5"/>
        <v>24511.5</v>
      </c>
      <c r="I20" s="56" t="s">
        <v>175</v>
      </c>
      <c r="J20" s="57" t="s">
        <v>176</v>
      </c>
      <c r="K20" s="56" t="s">
        <v>177</v>
      </c>
      <c r="L20" s="56" t="s">
        <v>178</v>
      </c>
      <c r="M20" s="57" t="s">
        <v>135</v>
      </c>
      <c r="N20" s="57" t="s">
        <v>136</v>
      </c>
      <c r="O20" s="58" t="s">
        <v>137</v>
      </c>
      <c r="P20" s="59" t="s">
        <v>170</v>
      </c>
    </row>
    <row r="21" spans="1:16" ht="12.75" customHeight="1" thickBot="1">
      <c r="A21" s="12" t="str">
        <f t="shared" si="0"/>
        <v>BAVM 220 </v>
      </c>
      <c r="B21" s="5" t="str">
        <f t="shared" si="1"/>
        <v>II</v>
      </c>
      <c r="C21" s="12">
        <f t="shared" si="2"/>
        <v>55759.5265</v>
      </c>
      <c r="D21" s="19" t="str">
        <f t="shared" si="3"/>
        <v>vis</v>
      </c>
      <c r="E21" s="55">
        <f>VLOOKUP(C21,Active!C$21:E$973,3,FALSE)</f>
        <v>24762.453683342621</v>
      </c>
      <c r="F21" s="5" t="s">
        <v>66</v>
      </c>
      <c r="G21" s="19" t="str">
        <f t="shared" si="4"/>
        <v>55759.5265</v>
      </c>
      <c r="H21" s="12">
        <f t="shared" si="5"/>
        <v>24762.5</v>
      </c>
      <c r="I21" s="56" t="s">
        <v>179</v>
      </c>
      <c r="J21" s="57" t="s">
        <v>180</v>
      </c>
      <c r="K21" s="56" t="s">
        <v>181</v>
      </c>
      <c r="L21" s="56" t="s">
        <v>182</v>
      </c>
      <c r="M21" s="57" t="s">
        <v>135</v>
      </c>
      <c r="N21" s="57" t="s">
        <v>136</v>
      </c>
      <c r="O21" s="58" t="s">
        <v>137</v>
      </c>
      <c r="P21" s="59" t="s">
        <v>183</v>
      </c>
    </row>
    <row r="22" spans="1:16" ht="12.75" customHeight="1" thickBot="1">
      <c r="A22" s="12" t="str">
        <f t="shared" si="0"/>
        <v>BAVM 220 </v>
      </c>
      <c r="B22" s="5" t="str">
        <f t="shared" si="1"/>
        <v>I</v>
      </c>
      <c r="C22" s="12">
        <f t="shared" si="2"/>
        <v>55784.444300000003</v>
      </c>
      <c r="D22" s="19" t="str">
        <f t="shared" si="3"/>
        <v>vis</v>
      </c>
      <c r="E22" s="55">
        <f>VLOOKUP(C22,Active!C$21:E$973,3,FALSE)</f>
        <v>24784.956421929288</v>
      </c>
      <c r="F22" s="5" t="s">
        <v>66</v>
      </c>
      <c r="G22" s="19" t="str">
        <f t="shared" si="4"/>
        <v>55784.4443</v>
      </c>
      <c r="H22" s="12">
        <f t="shared" si="5"/>
        <v>24785</v>
      </c>
      <c r="I22" s="56" t="s">
        <v>184</v>
      </c>
      <c r="J22" s="57" t="s">
        <v>185</v>
      </c>
      <c r="K22" s="56" t="s">
        <v>186</v>
      </c>
      <c r="L22" s="56" t="s">
        <v>187</v>
      </c>
      <c r="M22" s="57" t="s">
        <v>135</v>
      </c>
      <c r="N22" s="57" t="s">
        <v>136</v>
      </c>
      <c r="O22" s="58" t="s">
        <v>137</v>
      </c>
      <c r="P22" s="59" t="s">
        <v>183</v>
      </c>
    </row>
    <row r="23" spans="1:16" ht="12.75" customHeight="1" thickBot="1">
      <c r="A23" s="12" t="str">
        <f t="shared" si="0"/>
        <v>BAVM 231 </v>
      </c>
      <c r="B23" s="5" t="str">
        <f t="shared" si="1"/>
        <v>I</v>
      </c>
      <c r="C23" s="12">
        <f t="shared" si="2"/>
        <v>56219.625999999997</v>
      </c>
      <c r="D23" s="19" t="str">
        <f t="shared" si="3"/>
        <v>vis</v>
      </c>
      <c r="E23" s="55">
        <f>VLOOKUP(C23,Active!C$21:E$973,3,FALSE)</f>
        <v>25177.959818408897</v>
      </c>
      <c r="F23" s="5" t="s">
        <v>66</v>
      </c>
      <c r="G23" s="19" t="str">
        <f t="shared" si="4"/>
        <v>56219.6260</v>
      </c>
      <c r="H23" s="12">
        <f t="shared" si="5"/>
        <v>25178</v>
      </c>
      <c r="I23" s="56" t="s">
        <v>201</v>
      </c>
      <c r="J23" s="57" t="s">
        <v>202</v>
      </c>
      <c r="K23" s="56" t="s">
        <v>203</v>
      </c>
      <c r="L23" s="56" t="s">
        <v>204</v>
      </c>
      <c r="M23" s="57" t="s">
        <v>135</v>
      </c>
      <c r="N23" s="57" t="s">
        <v>136</v>
      </c>
      <c r="O23" s="58" t="s">
        <v>137</v>
      </c>
      <c r="P23" s="59" t="s">
        <v>205</v>
      </c>
    </row>
    <row r="24" spans="1:16" ht="12.75" customHeight="1" thickBot="1">
      <c r="A24" s="12" t="str">
        <f t="shared" si="0"/>
        <v>IBVS 6042 </v>
      </c>
      <c r="B24" s="5" t="str">
        <f t="shared" si="1"/>
        <v>I</v>
      </c>
      <c r="C24" s="12">
        <f t="shared" si="2"/>
        <v>56230.700700000001</v>
      </c>
      <c r="D24" s="19" t="str">
        <f t="shared" si="3"/>
        <v>vis</v>
      </c>
      <c r="E24" s="55">
        <f>VLOOKUP(C24,Active!C$21:E$973,3,FALSE)</f>
        <v>25187.961145934838</v>
      </c>
      <c r="F24" s="5" t="s">
        <v>66</v>
      </c>
      <c r="G24" s="19" t="str">
        <f t="shared" si="4"/>
        <v>56230.7007</v>
      </c>
      <c r="H24" s="12">
        <f t="shared" si="5"/>
        <v>25188</v>
      </c>
      <c r="I24" s="56" t="s">
        <v>206</v>
      </c>
      <c r="J24" s="57" t="s">
        <v>207</v>
      </c>
      <c r="K24" s="56" t="s">
        <v>208</v>
      </c>
      <c r="L24" s="56" t="s">
        <v>209</v>
      </c>
      <c r="M24" s="57" t="s">
        <v>135</v>
      </c>
      <c r="N24" s="57" t="s">
        <v>66</v>
      </c>
      <c r="O24" s="58" t="s">
        <v>112</v>
      </c>
      <c r="P24" s="59" t="s">
        <v>210</v>
      </c>
    </row>
    <row r="25" spans="1:16" ht="12.75" customHeight="1" thickBot="1">
      <c r="A25" s="12" t="str">
        <f t="shared" si="0"/>
        <v>BAVM 234 </v>
      </c>
      <c r="B25" s="5" t="str">
        <f t="shared" si="1"/>
        <v>I</v>
      </c>
      <c r="C25" s="12">
        <f t="shared" si="2"/>
        <v>56568.433900000004</v>
      </c>
      <c r="D25" s="19" t="str">
        <f t="shared" si="3"/>
        <v>vis</v>
      </c>
      <c r="E25" s="55">
        <f>VLOOKUP(C25,Active!C$21:E$973,3,FALSE)</f>
        <v>25492.960861464995</v>
      </c>
      <c r="F25" s="5" t="s">
        <v>66</v>
      </c>
      <c r="G25" s="19" t="str">
        <f t="shared" si="4"/>
        <v>56568.4339</v>
      </c>
      <c r="H25" s="12">
        <f t="shared" si="5"/>
        <v>25493</v>
      </c>
      <c r="I25" s="56" t="s">
        <v>211</v>
      </c>
      <c r="J25" s="57" t="s">
        <v>212</v>
      </c>
      <c r="K25" s="56" t="s">
        <v>213</v>
      </c>
      <c r="L25" s="56" t="s">
        <v>214</v>
      </c>
      <c r="M25" s="57" t="s">
        <v>135</v>
      </c>
      <c r="N25" s="57" t="s">
        <v>136</v>
      </c>
      <c r="O25" s="58" t="s">
        <v>137</v>
      </c>
      <c r="P25" s="59" t="s">
        <v>215</v>
      </c>
    </row>
    <row r="26" spans="1:16" ht="12.75" customHeight="1" thickBot="1">
      <c r="A26" s="12" t="str">
        <f t="shared" si="0"/>
        <v>BAVM 234 </v>
      </c>
      <c r="B26" s="5" t="str">
        <f t="shared" si="1"/>
        <v>I</v>
      </c>
      <c r="C26" s="12">
        <f t="shared" si="2"/>
        <v>56600.545400000003</v>
      </c>
      <c r="D26" s="19" t="str">
        <f t="shared" si="3"/>
        <v>vis</v>
      </c>
      <c r="E26" s="55">
        <f>VLOOKUP(C26,Active!C$21:E$973,3,FALSE)</f>
        <v>25521.960078495616</v>
      </c>
      <c r="F26" s="5" t="s">
        <v>66</v>
      </c>
      <c r="G26" s="19" t="str">
        <f t="shared" si="4"/>
        <v>56600.5454</v>
      </c>
      <c r="H26" s="12">
        <f t="shared" si="5"/>
        <v>25522</v>
      </c>
      <c r="I26" s="56" t="s">
        <v>216</v>
      </c>
      <c r="J26" s="57" t="s">
        <v>217</v>
      </c>
      <c r="K26" s="56" t="s">
        <v>218</v>
      </c>
      <c r="L26" s="56" t="s">
        <v>219</v>
      </c>
      <c r="M26" s="57" t="s">
        <v>135</v>
      </c>
      <c r="N26" s="57" t="s">
        <v>136</v>
      </c>
      <c r="O26" s="58" t="s">
        <v>137</v>
      </c>
      <c r="P26" s="59" t="s">
        <v>215</v>
      </c>
    </row>
    <row r="27" spans="1:16" ht="12.75" customHeight="1" thickBot="1">
      <c r="A27" s="12" t="str">
        <f t="shared" si="0"/>
        <v> VSS 4.162 </v>
      </c>
      <c r="B27" s="5" t="str">
        <f t="shared" si="1"/>
        <v>I</v>
      </c>
      <c r="C27" s="12">
        <f t="shared" si="2"/>
        <v>28339.465</v>
      </c>
      <c r="D27" s="19" t="str">
        <f t="shared" si="3"/>
        <v>vis</v>
      </c>
      <c r="E27" s="55">
        <f>VLOOKUP(C27,Active!C$21:E$973,3,FALSE)</f>
        <v>-2.4383129401470631E-2</v>
      </c>
      <c r="F27" s="5" t="s">
        <v>66</v>
      </c>
      <c r="G27" s="19" t="str">
        <f t="shared" si="4"/>
        <v>28339.465</v>
      </c>
      <c r="H27" s="12">
        <f t="shared" si="5"/>
        <v>0</v>
      </c>
      <c r="I27" s="56" t="s">
        <v>68</v>
      </c>
      <c r="J27" s="57" t="s">
        <v>69</v>
      </c>
      <c r="K27" s="56">
        <v>0</v>
      </c>
      <c r="L27" s="56" t="s">
        <v>70</v>
      </c>
      <c r="M27" s="57" t="s">
        <v>71</v>
      </c>
      <c r="N27" s="57"/>
      <c r="O27" s="58" t="s">
        <v>72</v>
      </c>
      <c r="P27" s="58" t="s">
        <v>73</v>
      </c>
    </row>
    <row r="28" spans="1:16" ht="12.75" customHeight="1" thickBot="1">
      <c r="A28" s="12" t="str">
        <f t="shared" si="0"/>
        <v> VSS 4.162 </v>
      </c>
      <c r="B28" s="5" t="str">
        <f t="shared" si="1"/>
        <v>I</v>
      </c>
      <c r="C28" s="12">
        <f t="shared" si="2"/>
        <v>29463.447</v>
      </c>
      <c r="D28" s="19" t="str">
        <f t="shared" si="3"/>
        <v>vis</v>
      </c>
      <c r="E28" s="55">
        <f>VLOOKUP(C28,Active!C$21:E$973,3,FALSE)</f>
        <v>1015.0200077122951</v>
      </c>
      <c r="F28" s="5" t="s">
        <v>66</v>
      </c>
      <c r="G28" s="19" t="str">
        <f t="shared" si="4"/>
        <v>29463.447</v>
      </c>
      <c r="H28" s="12">
        <f t="shared" si="5"/>
        <v>1015</v>
      </c>
      <c r="I28" s="56" t="s">
        <v>74</v>
      </c>
      <c r="J28" s="57" t="s">
        <v>75</v>
      </c>
      <c r="K28" s="56">
        <v>1015</v>
      </c>
      <c r="L28" s="56" t="s">
        <v>76</v>
      </c>
      <c r="M28" s="57" t="s">
        <v>71</v>
      </c>
      <c r="N28" s="57"/>
      <c r="O28" s="58" t="s">
        <v>72</v>
      </c>
      <c r="P28" s="58" t="s">
        <v>73</v>
      </c>
    </row>
    <row r="29" spans="1:16" ht="12.75" customHeight="1" thickBot="1">
      <c r="A29" s="12" t="str">
        <f t="shared" si="0"/>
        <v> VSS 4.162 </v>
      </c>
      <c r="B29" s="5" t="str">
        <f t="shared" si="1"/>
        <v>I</v>
      </c>
      <c r="C29" s="12">
        <f t="shared" si="2"/>
        <v>29627.284</v>
      </c>
      <c r="D29" s="19" t="str">
        <f t="shared" si="3"/>
        <v>vis</v>
      </c>
      <c r="E29" s="55">
        <f>VLOOKUP(C29,Active!C$21:E$973,3,FALSE)</f>
        <v>1162.9777400090138</v>
      </c>
      <c r="F29" s="5" t="s">
        <v>66</v>
      </c>
      <c r="G29" s="19" t="str">
        <f t="shared" si="4"/>
        <v>29627.284</v>
      </c>
      <c r="H29" s="12">
        <f t="shared" si="5"/>
        <v>1163</v>
      </c>
      <c r="I29" s="56" t="s">
        <v>77</v>
      </c>
      <c r="J29" s="57" t="s">
        <v>78</v>
      </c>
      <c r="K29" s="56">
        <v>1163</v>
      </c>
      <c r="L29" s="56" t="s">
        <v>79</v>
      </c>
      <c r="M29" s="57" t="s">
        <v>71</v>
      </c>
      <c r="N29" s="57"/>
      <c r="O29" s="58" t="s">
        <v>72</v>
      </c>
      <c r="P29" s="58" t="s">
        <v>73</v>
      </c>
    </row>
    <row r="30" spans="1:16" ht="12.75" customHeight="1" thickBot="1">
      <c r="A30" s="12" t="str">
        <f t="shared" si="0"/>
        <v> VSS 4.162 </v>
      </c>
      <c r="B30" s="5" t="str">
        <f t="shared" si="1"/>
        <v>I</v>
      </c>
      <c r="C30" s="12">
        <f t="shared" si="2"/>
        <v>29877.550999999999</v>
      </c>
      <c r="D30" s="19" t="str">
        <f t="shared" si="3"/>
        <v>vis</v>
      </c>
      <c r="E30" s="55">
        <f>VLOOKUP(C30,Active!C$21:E$973,3,FALSE)</f>
        <v>1388.9885787615729</v>
      </c>
      <c r="F30" s="5" t="s">
        <v>66</v>
      </c>
      <c r="G30" s="19" t="str">
        <f t="shared" si="4"/>
        <v>29877.551</v>
      </c>
      <c r="H30" s="12">
        <f t="shared" si="5"/>
        <v>1389</v>
      </c>
      <c r="I30" s="56" t="s">
        <v>80</v>
      </c>
      <c r="J30" s="57" t="s">
        <v>81</v>
      </c>
      <c r="K30" s="56">
        <v>1389</v>
      </c>
      <c r="L30" s="56" t="s">
        <v>82</v>
      </c>
      <c r="M30" s="57" t="s">
        <v>71</v>
      </c>
      <c r="N30" s="57"/>
      <c r="O30" s="58" t="s">
        <v>72</v>
      </c>
      <c r="P30" s="58" t="s">
        <v>73</v>
      </c>
    </row>
    <row r="31" spans="1:16" ht="12.75" customHeight="1" thickBot="1">
      <c r="A31" s="12" t="str">
        <f t="shared" si="0"/>
        <v> VSS 4.162 </v>
      </c>
      <c r="B31" s="5" t="str">
        <f t="shared" si="1"/>
        <v>I</v>
      </c>
      <c r="C31" s="12">
        <f t="shared" si="2"/>
        <v>30258.51</v>
      </c>
      <c r="D31" s="19" t="str">
        <f t="shared" si="3"/>
        <v>vis</v>
      </c>
      <c r="E31" s="55">
        <f>VLOOKUP(C31,Active!C$21:E$973,3,FALSE)</f>
        <v>1733.02460077141</v>
      </c>
      <c r="F31" s="5" t="s">
        <v>66</v>
      </c>
      <c r="G31" s="19" t="str">
        <f t="shared" si="4"/>
        <v>30258.510</v>
      </c>
      <c r="H31" s="12">
        <f t="shared" si="5"/>
        <v>1733</v>
      </c>
      <c r="I31" s="56" t="s">
        <v>83</v>
      </c>
      <c r="J31" s="57" t="s">
        <v>84</v>
      </c>
      <c r="K31" s="56">
        <v>1733</v>
      </c>
      <c r="L31" s="56" t="s">
        <v>85</v>
      </c>
      <c r="M31" s="57" t="s">
        <v>71</v>
      </c>
      <c r="N31" s="57"/>
      <c r="O31" s="58" t="s">
        <v>72</v>
      </c>
      <c r="P31" s="58" t="s">
        <v>73</v>
      </c>
    </row>
    <row r="32" spans="1:16" ht="12.75" customHeight="1" thickBot="1">
      <c r="A32" s="12" t="str">
        <f t="shared" si="0"/>
        <v> VSS 4.162 </v>
      </c>
      <c r="B32" s="5" t="str">
        <f t="shared" si="1"/>
        <v>I</v>
      </c>
      <c r="C32" s="12">
        <f t="shared" si="2"/>
        <v>30369.244999999999</v>
      </c>
      <c r="D32" s="19" t="str">
        <f t="shared" si="3"/>
        <v>vis</v>
      </c>
      <c r="E32" s="55">
        <f>VLOOKUP(C32,Active!C$21:E$973,3,FALSE)</f>
        <v>1833.0270390843507</v>
      </c>
      <c r="F32" s="5" t="s">
        <v>66</v>
      </c>
      <c r="G32" s="19" t="str">
        <f t="shared" si="4"/>
        <v>30369.245</v>
      </c>
      <c r="H32" s="12">
        <f t="shared" si="5"/>
        <v>1833</v>
      </c>
      <c r="I32" s="56" t="s">
        <v>86</v>
      </c>
      <c r="J32" s="57" t="s">
        <v>87</v>
      </c>
      <c r="K32" s="56">
        <v>1833</v>
      </c>
      <c r="L32" s="56" t="s">
        <v>88</v>
      </c>
      <c r="M32" s="57" t="s">
        <v>71</v>
      </c>
      <c r="N32" s="57"/>
      <c r="O32" s="58" t="s">
        <v>72</v>
      </c>
      <c r="P32" s="58" t="s">
        <v>73</v>
      </c>
    </row>
    <row r="33" spans="1:16" ht="12.75" customHeight="1" thickBot="1">
      <c r="A33" s="12" t="str">
        <f t="shared" si="0"/>
        <v> VSS 4.162 </v>
      </c>
      <c r="B33" s="5" t="str">
        <f t="shared" si="1"/>
        <v>I</v>
      </c>
      <c r="C33" s="12">
        <f t="shared" si="2"/>
        <v>31413.428</v>
      </c>
      <c r="D33" s="19" t="str">
        <f t="shared" si="3"/>
        <v>vis</v>
      </c>
      <c r="E33" s="55">
        <f>VLOOKUP(C33,Active!C$21:E$973,3,FALSE)</f>
        <v>2776.0066394358296</v>
      </c>
      <c r="F33" s="5" t="s">
        <v>66</v>
      </c>
      <c r="G33" s="19" t="str">
        <f t="shared" si="4"/>
        <v>31413.428</v>
      </c>
      <c r="H33" s="12">
        <f t="shared" si="5"/>
        <v>2776</v>
      </c>
      <c r="I33" s="56" t="s">
        <v>89</v>
      </c>
      <c r="J33" s="57" t="s">
        <v>90</v>
      </c>
      <c r="K33" s="56">
        <v>2776</v>
      </c>
      <c r="L33" s="56" t="s">
        <v>91</v>
      </c>
      <c r="M33" s="57" t="s">
        <v>71</v>
      </c>
      <c r="N33" s="57"/>
      <c r="O33" s="58" t="s">
        <v>72</v>
      </c>
      <c r="P33" s="58" t="s">
        <v>73</v>
      </c>
    </row>
    <row r="34" spans="1:16" ht="12.75" customHeight="1" thickBot="1">
      <c r="A34" s="12" t="str">
        <f t="shared" si="0"/>
        <v> VSS 4.162 </v>
      </c>
      <c r="B34" s="5" t="str">
        <f t="shared" si="1"/>
        <v>I</v>
      </c>
      <c r="C34" s="12">
        <f t="shared" si="2"/>
        <v>31443.3</v>
      </c>
      <c r="D34" s="19" t="str">
        <f t="shared" si="3"/>
        <v>vis</v>
      </c>
      <c r="E34" s="55">
        <f>VLOOKUP(C34,Active!C$21:E$973,3,FALSE)</f>
        <v>2802.9834113442967</v>
      </c>
      <c r="F34" s="5" t="s">
        <v>66</v>
      </c>
      <c r="G34" s="19" t="str">
        <f t="shared" si="4"/>
        <v>31443.300</v>
      </c>
      <c r="H34" s="12">
        <f t="shared" si="5"/>
        <v>2803</v>
      </c>
      <c r="I34" s="56" t="s">
        <v>92</v>
      </c>
      <c r="J34" s="57" t="s">
        <v>93</v>
      </c>
      <c r="K34" s="56">
        <v>2803</v>
      </c>
      <c r="L34" s="56" t="s">
        <v>94</v>
      </c>
      <c r="M34" s="57" t="s">
        <v>71</v>
      </c>
      <c r="N34" s="57"/>
      <c r="O34" s="58" t="s">
        <v>72</v>
      </c>
      <c r="P34" s="58" t="s">
        <v>73</v>
      </c>
    </row>
    <row r="35" spans="1:16" ht="12.75" customHeight="1" thickBot="1">
      <c r="A35" s="12" t="str">
        <f t="shared" si="0"/>
        <v> VSS 4.162 </v>
      </c>
      <c r="B35" s="5" t="str">
        <f t="shared" si="1"/>
        <v>I</v>
      </c>
      <c r="C35" s="12">
        <f t="shared" si="2"/>
        <v>31589.503000000001</v>
      </c>
      <c r="D35" s="19" t="str">
        <f t="shared" si="3"/>
        <v>vis</v>
      </c>
      <c r="E35" s="55">
        <f>VLOOKUP(C35,Active!C$21:E$973,3,FALSE)</f>
        <v>2935.0162509042098</v>
      </c>
      <c r="F35" s="5" t="s">
        <v>66</v>
      </c>
      <c r="G35" s="19" t="str">
        <f t="shared" si="4"/>
        <v>31589.503</v>
      </c>
      <c r="H35" s="12">
        <f t="shared" si="5"/>
        <v>2935</v>
      </c>
      <c r="I35" s="56" t="s">
        <v>95</v>
      </c>
      <c r="J35" s="57" t="s">
        <v>96</v>
      </c>
      <c r="K35" s="56">
        <v>2935</v>
      </c>
      <c r="L35" s="56" t="s">
        <v>97</v>
      </c>
      <c r="M35" s="57" t="s">
        <v>71</v>
      </c>
      <c r="N35" s="57"/>
      <c r="O35" s="58" t="s">
        <v>72</v>
      </c>
      <c r="P35" s="58" t="s">
        <v>73</v>
      </c>
    </row>
    <row r="36" spans="1:16" ht="12.75" customHeight="1" thickBot="1">
      <c r="A36" s="12" t="str">
        <f t="shared" si="0"/>
        <v> VSS 4.162 </v>
      </c>
      <c r="B36" s="5" t="str">
        <f t="shared" si="1"/>
        <v>I</v>
      </c>
      <c r="C36" s="12">
        <f t="shared" si="2"/>
        <v>32827.451000000001</v>
      </c>
      <c r="D36" s="19" t="str">
        <f t="shared" si="3"/>
        <v>vis</v>
      </c>
      <c r="E36" s="55">
        <f>VLOOKUP(C36,Active!C$21:E$973,3,FALSE)</f>
        <v>4052.9809278774146</v>
      </c>
      <c r="F36" s="5" t="s">
        <v>66</v>
      </c>
      <c r="G36" s="19" t="str">
        <f t="shared" si="4"/>
        <v>32827.451</v>
      </c>
      <c r="H36" s="12">
        <f t="shared" si="5"/>
        <v>4053</v>
      </c>
      <c r="I36" s="56" t="s">
        <v>98</v>
      </c>
      <c r="J36" s="57" t="s">
        <v>99</v>
      </c>
      <c r="K36" s="56">
        <v>4053</v>
      </c>
      <c r="L36" s="56" t="s">
        <v>100</v>
      </c>
      <c r="M36" s="57" t="s">
        <v>71</v>
      </c>
      <c r="N36" s="57"/>
      <c r="O36" s="58" t="s">
        <v>72</v>
      </c>
      <c r="P36" s="58" t="s">
        <v>73</v>
      </c>
    </row>
    <row r="37" spans="1:16" ht="12.75" customHeight="1" thickBot="1">
      <c r="A37" s="12" t="str">
        <f t="shared" si="0"/>
        <v> VSS 4.162 </v>
      </c>
      <c r="B37" s="5" t="str">
        <f t="shared" si="1"/>
        <v>I</v>
      </c>
      <c r="C37" s="12">
        <f t="shared" si="2"/>
        <v>32888.349000000002</v>
      </c>
      <c r="D37" s="19" t="str">
        <f t="shared" si="3"/>
        <v>vis</v>
      </c>
      <c r="E37" s="55">
        <f>VLOOKUP(C37,Active!C$21:E$973,3,FALSE)</f>
        <v>4107.9766247066154</v>
      </c>
      <c r="F37" s="5" t="s">
        <v>66</v>
      </c>
      <c r="G37" s="19" t="str">
        <f t="shared" si="4"/>
        <v>32888.349</v>
      </c>
      <c r="H37" s="12">
        <f t="shared" si="5"/>
        <v>4108</v>
      </c>
      <c r="I37" s="56" t="s">
        <v>101</v>
      </c>
      <c r="J37" s="57" t="s">
        <v>102</v>
      </c>
      <c r="K37" s="56">
        <v>4108</v>
      </c>
      <c r="L37" s="56" t="s">
        <v>103</v>
      </c>
      <c r="M37" s="57" t="s">
        <v>71</v>
      </c>
      <c r="N37" s="57"/>
      <c r="O37" s="58" t="s">
        <v>72</v>
      </c>
      <c r="P37" s="58" t="s">
        <v>73</v>
      </c>
    </row>
    <row r="38" spans="1:16" ht="12.75" customHeight="1" thickBot="1">
      <c r="A38" s="12" t="str">
        <f t="shared" si="0"/>
        <v> VSS 4.162 </v>
      </c>
      <c r="B38" s="5" t="str">
        <f t="shared" si="1"/>
        <v>I</v>
      </c>
      <c r="C38" s="12">
        <f t="shared" si="2"/>
        <v>33239.415999999997</v>
      </c>
      <c r="D38" s="19" t="str">
        <f t="shared" si="3"/>
        <v>vis</v>
      </c>
      <c r="E38" s="55">
        <f>VLOOKUP(C38,Active!C$21:E$973,3,FALSE)</f>
        <v>4425.0178132306464</v>
      </c>
      <c r="F38" s="5" t="s">
        <v>66</v>
      </c>
      <c r="G38" s="19" t="str">
        <f t="shared" si="4"/>
        <v>33239.416</v>
      </c>
      <c r="H38" s="12">
        <f t="shared" si="5"/>
        <v>4425</v>
      </c>
      <c r="I38" s="56" t="s">
        <v>104</v>
      </c>
      <c r="J38" s="57" t="s">
        <v>105</v>
      </c>
      <c r="K38" s="56">
        <v>4425</v>
      </c>
      <c r="L38" s="56" t="s">
        <v>106</v>
      </c>
      <c r="M38" s="57" t="s">
        <v>71</v>
      </c>
      <c r="N38" s="57"/>
      <c r="O38" s="58" t="s">
        <v>72</v>
      </c>
      <c r="P38" s="58" t="s">
        <v>73</v>
      </c>
    </row>
    <row r="39" spans="1:16" ht="12.75" customHeight="1" thickBot="1">
      <c r="A39" s="12" t="str">
        <f t="shared" si="0"/>
        <v>BAVM 193 </v>
      </c>
      <c r="B39" s="5" t="str">
        <f t="shared" si="1"/>
        <v>I</v>
      </c>
      <c r="C39" s="12">
        <f t="shared" si="2"/>
        <v>54390.311399999999</v>
      </c>
      <c r="D39" s="19" t="str">
        <f t="shared" si="3"/>
        <v>vis</v>
      </c>
      <c r="E39" s="55">
        <f>VLOOKUP(C39,Active!C$21:E$973,3,FALSE)</f>
        <v>23525.944462455849</v>
      </c>
      <c r="F39" s="5" t="s">
        <v>66</v>
      </c>
      <c r="G39" s="19" t="str">
        <f t="shared" si="4"/>
        <v>54390.3114</v>
      </c>
      <c r="H39" s="12">
        <f t="shared" si="5"/>
        <v>23526</v>
      </c>
      <c r="I39" s="56" t="s">
        <v>139</v>
      </c>
      <c r="J39" s="57" t="s">
        <v>140</v>
      </c>
      <c r="K39" s="56" t="s">
        <v>141</v>
      </c>
      <c r="L39" s="56" t="s">
        <v>142</v>
      </c>
      <c r="M39" s="57" t="s">
        <v>135</v>
      </c>
      <c r="N39" s="57" t="s">
        <v>136</v>
      </c>
      <c r="O39" s="58" t="s">
        <v>137</v>
      </c>
      <c r="P39" s="59" t="s">
        <v>143</v>
      </c>
    </row>
    <row r="40" spans="1:16" ht="12.75" customHeight="1" thickBot="1">
      <c r="A40" s="12" t="str">
        <f t="shared" si="0"/>
        <v>BAVM 203 </v>
      </c>
      <c r="B40" s="5" t="str">
        <f t="shared" si="1"/>
        <v>I</v>
      </c>
      <c r="C40" s="12">
        <f t="shared" si="2"/>
        <v>54712.546499999997</v>
      </c>
      <c r="D40" s="19" t="str">
        <f t="shared" si="3"/>
        <v>vis</v>
      </c>
      <c r="E40" s="55">
        <f>VLOOKUP(C40,Active!C$21:E$973,3,FALSE)</f>
        <v>23816.948171400752</v>
      </c>
      <c r="F40" s="5" t="s">
        <v>66</v>
      </c>
      <c r="G40" s="19" t="str">
        <f t="shared" si="4"/>
        <v>54712.5465</v>
      </c>
      <c r="H40" s="12">
        <f t="shared" si="5"/>
        <v>23817</v>
      </c>
      <c r="I40" s="56" t="s">
        <v>144</v>
      </c>
      <c r="J40" s="57" t="s">
        <v>145</v>
      </c>
      <c r="K40" s="56" t="s">
        <v>146</v>
      </c>
      <c r="L40" s="56" t="s">
        <v>147</v>
      </c>
      <c r="M40" s="57" t="s">
        <v>135</v>
      </c>
      <c r="N40" s="57" t="s">
        <v>136</v>
      </c>
      <c r="O40" s="58" t="s">
        <v>137</v>
      </c>
      <c r="P40" s="59" t="s">
        <v>148</v>
      </c>
    </row>
    <row r="41" spans="1:16" ht="12.75" customHeight="1" thickBot="1">
      <c r="A41" s="12" t="str">
        <f t="shared" si="0"/>
        <v>BAVM 203 </v>
      </c>
      <c r="B41" s="5" t="str">
        <f t="shared" si="1"/>
        <v>II</v>
      </c>
      <c r="C41" s="12">
        <f t="shared" si="2"/>
        <v>54738.549200000001</v>
      </c>
      <c r="D41" s="19" t="str">
        <f t="shared" si="3"/>
        <v>vis</v>
      </c>
      <c r="E41" s="55">
        <f>VLOOKUP(C41,Active!C$21:E$973,3,FALSE)</f>
        <v>23840.430660249993</v>
      </c>
      <c r="F41" s="5" t="s">
        <v>66</v>
      </c>
      <c r="G41" s="19" t="str">
        <f t="shared" si="4"/>
        <v>54738.5492</v>
      </c>
      <c r="H41" s="12">
        <f t="shared" si="5"/>
        <v>23840.5</v>
      </c>
      <c r="I41" s="56" t="s">
        <v>149</v>
      </c>
      <c r="J41" s="57" t="s">
        <v>150</v>
      </c>
      <c r="K41" s="56" t="s">
        <v>151</v>
      </c>
      <c r="L41" s="56" t="s">
        <v>152</v>
      </c>
      <c r="M41" s="57" t="s">
        <v>135</v>
      </c>
      <c r="N41" s="57" t="s">
        <v>136</v>
      </c>
      <c r="O41" s="58" t="s">
        <v>137</v>
      </c>
      <c r="P41" s="59" t="s">
        <v>148</v>
      </c>
    </row>
    <row r="42" spans="1:16" ht="12.75" customHeight="1" thickBot="1">
      <c r="A42" s="12" t="str">
        <f t="shared" si="0"/>
        <v>BAVM 203 </v>
      </c>
      <c r="B42" s="5" t="str">
        <f t="shared" si="1"/>
        <v>II</v>
      </c>
      <c r="C42" s="12">
        <f t="shared" si="2"/>
        <v>54798.338499999998</v>
      </c>
      <c r="D42" s="19" t="str">
        <f t="shared" si="3"/>
        <v>vis</v>
      </c>
      <c r="E42" s="55">
        <f>VLOOKUP(C42,Active!C$21:E$973,3,FALSE)</f>
        <v>23894.42511353959</v>
      </c>
      <c r="F42" s="5" t="s">
        <v>66</v>
      </c>
      <c r="G42" s="19" t="str">
        <f t="shared" si="4"/>
        <v>54798.3385</v>
      </c>
      <c r="H42" s="12">
        <f t="shared" si="5"/>
        <v>23894.5</v>
      </c>
      <c r="I42" s="56" t="s">
        <v>153</v>
      </c>
      <c r="J42" s="57" t="s">
        <v>154</v>
      </c>
      <c r="K42" s="56" t="s">
        <v>155</v>
      </c>
      <c r="L42" s="56" t="s">
        <v>156</v>
      </c>
      <c r="M42" s="57" t="s">
        <v>135</v>
      </c>
      <c r="N42" s="57" t="s">
        <v>136</v>
      </c>
      <c r="O42" s="58" t="s">
        <v>137</v>
      </c>
      <c r="P42" s="59" t="s">
        <v>148</v>
      </c>
    </row>
    <row r="43" spans="1:16" ht="12.75" customHeight="1" thickBot="1">
      <c r="A43" s="12" t="str">
        <f t="shared" si="0"/>
        <v>BAVM 212 </v>
      </c>
      <c r="B43" s="5" t="str">
        <f t="shared" si="1"/>
        <v>I</v>
      </c>
      <c r="C43" s="12">
        <f t="shared" si="2"/>
        <v>55051.388700000003</v>
      </c>
      <c r="D43" s="19" t="str">
        <f t="shared" si="3"/>
        <v>vis</v>
      </c>
      <c r="E43" s="55">
        <f>VLOOKUP(C43,Active!C$21:E$973,3,FALSE)</f>
        <v>24122.949401394177</v>
      </c>
      <c r="F43" s="5" t="s">
        <v>66</v>
      </c>
      <c r="G43" s="19" t="str">
        <f t="shared" si="4"/>
        <v>55051.3887</v>
      </c>
      <c r="H43" s="12">
        <f t="shared" si="5"/>
        <v>24123</v>
      </c>
      <c r="I43" s="56" t="s">
        <v>162</v>
      </c>
      <c r="J43" s="57" t="s">
        <v>163</v>
      </c>
      <c r="K43" s="56" t="s">
        <v>164</v>
      </c>
      <c r="L43" s="56" t="s">
        <v>165</v>
      </c>
      <c r="M43" s="57" t="s">
        <v>135</v>
      </c>
      <c r="N43" s="57" t="s">
        <v>136</v>
      </c>
      <c r="O43" s="58" t="s">
        <v>137</v>
      </c>
      <c r="P43" s="59" t="s">
        <v>166</v>
      </c>
    </row>
    <row r="44" spans="1:16" ht="12.75" customHeight="1" thickBot="1">
      <c r="A44" s="12" t="str">
        <f t="shared" si="0"/>
        <v>BAVM 225 </v>
      </c>
      <c r="B44" s="5" t="str">
        <f t="shared" si="1"/>
        <v>I</v>
      </c>
      <c r="C44" s="12">
        <f t="shared" si="2"/>
        <v>55815.451300000001</v>
      </c>
      <c r="D44" s="19" t="str">
        <f t="shared" si="3"/>
        <v>vis</v>
      </c>
      <c r="E44" s="55">
        <f>VLOOKUP(C44,Active!C$21:E$973,3,FALSE)</f>
        <v>24812.958188351549</v>
      </c>
      <c r="F44" s="5" t="s">
        <v>66</v>
      </c>
      <c r="G44" s="19" t="str">
        <f t="shared" si="4"/>
        <v>55815.4513</v>
      </c>
      <c r="H44" s="12">
        <f t="shared" si="5"/>
        <v>24813</v>
      </c>
      <c r="I44" s="56" t="s">
        <v>188</v>
      </c>
      <c r="J44" s="57" t="s">
        <v>189</v>
      </c>
      <c r="K44" s="56" t="s">
        <v>190</v>
      </c>
      <c r="L44" s="56" t="s">
        <v>191</v>
      </c>
      <c r="M44" s="57" t="s">
        <v>135</v>
      </c>
      <c r="N44" s="57" t="s">
        <v>136</v>
      </c>
      <c r="O44" s="58" t="s">
        <v>137</v>
      </c>
      <c r="P44" s="59" t="s">
        <v>192</v>
      </c>
    </row>
    <row r="45" spans="1:16" ht="12.75" customHeight="1" thickBot="1">
      <c r="A45" s="12" t="str">
        <f t="shared" si="0"/>
        <v>BAVM 225 </v>
      </c>
      <c r="B45" s="5" t="str">
        <f t="shared" si="1"/>
        <v>II</v>
      </c>
      <c r="C45" s="12">
        <f t="shared" si="2"/>
        <v>55851.438699999999</v>
      </c>
      <c r="D45" s="19" t="str">
        <f t="shared" si="3"/>
        <v>vis</v>
      </c>
      <c r="E45" s="55">
        <f>VLOOKUP(C45,Active!C$21:E$973,3,FALSE)</f>
        <v>24845.457648761923</v>
      </c>
      <c r="F45" s="5" t="s">
        <v>66</v>
      </c>
      <c r="G45" s="19" t="str">
        <f t="shared" si="4"/>
        <v>55851.4387</v>
      </c>
      <c r="H45" s="12">
        <f t="shared" si="5"/>
        <v>24845.5</v>
      </c>
      <c r="I45" s="56" t="s">
        <v>193</v>
      </c>
      <c r="J45" s="57" t="s">
        <v>194</v>
      </c>
      <c r="K45" s="56" t="s">
        <v>195</v>
      </c>
      <c r="L45" s="56" t="s">
        <v>196</v>
      </c>
      <c r="M45" s="57" t="s">
        <v>135</v>
      </c>
      <c r="N45" s="57" t="s">
        <v>136</v>
      </c>
      <c r="O45" s="58" t="s">
        <v>137</v>
      </c>
      <c r="P45" s="59" t="s">
        <v>192</v>
      </c>
    </row>
    <row r="46" spans="1:16" ht="12.75" customHeight="1" thickBot="1">
      <c r="A46" s="12" t="str">
        <f t="shared" si="0"/>
        <v>BAVM 225 </v>
      </c>
      <c r="B46" s="5" t="str">
        <f t="shared" si="1"/>
        <v>I</v>
      </c>
      <c r="C46" s="12">
        <f t="shared" si="2"/>
        <v>55887.426599999999</v>
      </c>
      <c r="D46" s="19" t="str">
        <f t="shared" si="3"/>
        <v>vis</v>
      </c>
      <c r="E46" s="55">
        <f>VLOOKUP(C46,Active!C$21:E$973,3,FALSE)</f>
        <v>24877.957560711733</v>
      </c>
      <c r="F46" s="5" t="s">
        <v>66</v>
      </c>
      <c r="G46" s="19" t="str">
        <f t="shared" si="4"/>
        <v>55887.4266</v>
      </c>
      <c r="H46" s="12">
        <f t="shared" si="5"/>
        <v>24878</v>
      </c>
      <c r="I46" s="56" t="s">
        <v>197</v>
      </c>
      <c r="J46" s="57" t="s">
        <v>198</v>
      </c>
      <c r="K46" s="56" t="s">
        <v>199</v>
      </c>
      <c r="L46" s="56" t="s">
        <v>200</v>
      </c>
      <c r="M46" s="57" t="s">
        <v>135</v>
      </c>
      <c r="N46" s="57" t="s">
        <v>136</v>
      </c>
      <c r="O46" s="58" t="s">
        <v>137</v>
      </c>
      <c r="P46" s="59" t="s">
        <v>192</v>
      </c>
    </row>
    <row r="47" spans="1:16">
      <c r="B47" s="5"/>
      <c r="E47" s="55"/>
      <c r="F47" s="5"/>
    </row>
    <row r="48" spans="1:16">
      <c r="B48" s="5"/>
      <c r="E48" s="55"/>
      <c r="F48" s="5"/>
    </row>
    <row r="49" spans="2:6">
      <c r="B49" s="5"/>
      <c r="E49" s="5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</sheetData>
  <phoneticPr fontId="8" type="noConversion"/>
  <hyperlinks>
    <hyperlink ref="P12" r:id="rId1" display="http://www.bav-astro.de/sfs/BAVM_link.php?BAVMnr=117"/>
    <hyperlink ref="P13" r:id="rId2" display="http://www.bav-astro.de/sfs/BAVM_link.php?BAVMnr=117"/>
    <hyperlink ref="P14" r:id="rId3" display="http://www.bav-astro.de/sfs/BAVM_link.php?BAVMnr=173"/>
    <hyperlink ref="P15" r:id="rId4" display="http://www.konkoly.hu/cgi-bin/IBVS?5713"/>
    <hyperlink ref="P16" r:id="rId5" display="http://www.bav-astro.de/sfs/BAVM_link.php?BAVMnr=183"/>
    <hyperlink ref="P39" r:id="rId6" display="http://www.bav-astro.de/sfs/BAVM_link.php?BAVMnr=193"/>
    <hyperlink ref="P40" r:id="rId7" display="http://www.bav-astro.de/sfs/BAVM_link.php?BAVMnr=203"/>
    <hyperlink ref="P41" r:id="rId8" display="http://www.bav-astro.de/sfs/BAVM_link.php?BAVMnr=203"/>
    <hyperlink ref="P42" r:id="rId9" display="http://www.bav-astro.de/sfs/BAVM_link.php?BAVMnr=203"/>
    <hyperlink ref="P17" r:id="rId10" display="http://www.bav-astro.de/sfs/BAVM_link.php?BAVMnr=209"/>
    <hyperlink ref="P43" r:id="rId11" display="http://www.bav-astro.de/sfs/BAVM_link.php?BAVMnr=212"/>
    <hyperlink ref="P18" r:id="rId12" display="http://www.bav-astro.de/sfs/BAVM_link.php?BAVMnr=215"/>
    <hyperlink ref="P19" r:id="rId13" display="http://www.bav-astro.de/sfs/BAVM_link.php?BAVMnr=215"/>
    <hyperlink ref="P20" r:id="rId14" display="http://www.bav-astro.de/sfs/BAVM_link.php?BAVMnr=215"/>
    <hyperlink ref="P21" r:id="rId15" display="http://www.bav-astro.de/sfs/BAVM_link.php?BAVMnr=220"/>
    <hyperlink ref="P22" r:id="rId16" display="http://www.bav-astro.de/sfs/BAVM_link.php?BAVMnr=220"/>
    <hyperlink ref="P44" r:id="rId17" display="http://www.bav-astro.de/sfs/BAVM_link.php?BAVMnr=225"/>
    <hyperlink ref="P45" r:id="rId18" display="http://www.bav-astro.de/sfs/BAVM_link.php?BAVMnr=225"/>
    <hyperlink ref="P46" r:id="rId19" display="http://www.bav-astro.de/sfs/BAVM_link.php?BAVMnr=225"/>
    <hyperlink ref="P23" r:id="rId20" display="http://www.bav-astro.de/sfs/BAVM_link.php?BAVMnr=231"/>
    <hyperlink ref="P24" r:id="rId21" display="http://www.konkoly.hu/cgi-bin/IBVS?6042"/>
    <hyperlink ref="P25" r:id="rId22" display="http://www.bav-astro.de/sfs/BAVM_link.php?BAVMnr=234"/>
    <hyperlink ref="P26" r:id="rId23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2024-02-16T05:26:44Z</dcterms:modified>
</cp:coreProperties>
</file>