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767A0FE-44FE-4DF2-BC61-417317328836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Q25" i="1"/>
  <c r="Q28" i="1"/>
  <c r="Q29" i="1"/>
  <c r="Q32" i="1"/>
  <c r="G21" i="2"/>
  <c r="C21" i="2"/>
  <c r="G20" i="2"/>
  <c r="C20" i="2"/>
  <c r="G19" i="2"/>
  <c r="C19" i="2"/>
  <c r="G18" i="2"/>
  <c r="C18" i="2"/>
  <c r="G25" i="2"/>
  <c r="C25" i="2"/>
  <c r="G17" i="2"/>
  <c r="C17" i="2"/>
  <c r="G16" i="2"/>
  <c r="C16" i="2"/>
  <c r="G24" i="2"/>
  <c r="C24" i="2"/>
  <c r="G23" i="2"/>
  <c r="C23" i="2"/>
  <c r="G15" i="2"/>
  <c r="C15" i="2"/>
  <c r="G14" i="2"/>
  <c r="C14" i="2"/>
  <c r="G22" i="2"/>
  <c r="C22" i="2"/>
  <c r="G13" i="2"/>
  <c r="C13" i="2"/>
  <c r="G12" i="2"/>
  <c r="C12" i="2"/>
  <c r="G11" i="2"/>
  <c r="C11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25" i="2"/>
  <c r="D25" i="2"/>
  <c r="B25" i="2"/>
  <c r="A25" i="2"/>
  <c r="H17" i="2"/>
  <c r="B17" i="2"/>
  <c r="D17" i="2"/>
  <c r="A17" i="2"/>
  <c r="H16" i="2"/>
  <c r="D16" i="2"/>
  <c r="B16" i="2"/>
  <c r="A16" i="2"/>
  <c r="H24" i="2"/>
  <c r="B24" i="2"/>
  <c r="D24" i="2"/>
  <c r="A24" i="2"/>
  <c r="H23" i="2"/>
  <c r="D23" i="2"/>
  <c r="B23" i="2"/>
  <c r="A23" i="2"/>
  <c r="H15" i="2"/>
  <c r="B15" i="2"/>
  <c r="D15" i="2"/>
  <c r="A15" i="2"/>
  <c r="H14" i="2"/>
  <c r="D14" i="2"/>
  <c r="B14" i="2"/>
  <c r="A14" i="2"/>
  <c r="H22" i="2"/>
  <c r="B22" i="2"/>
  <c r="D22" i="2"/>
  <c r="A22" i="2"/>
  <c r="H13" i="2"/>
  <c r="D13" i="2"/>
  <c r="B13" i="2"/>
  <c r="A13" i="2"/>
  <c r="H12" i="2"/>
  <c r="B12" i="2"/>
  <c r="D12" i="2"/>
  <c r="A12" i="2"/>
  <c r="H11" i="2"/>
  <c r="D11" i="2"/>
  <c r="B11" i="2"/>
  <c r="A11" i="2"/>
  <c r="F11" i="1"/>
  <c r="Q36" i="1"/>
  <c r="C7" i="1"/>
  <c r="E25" i="1"/>
  <c r="F25" i="1"/>
  <c r="C8" i="1"/>
  <c r="G11" i="1"/>
  <c r="Q34" i="1"/>
  <c r="Q23" i="1"/>
  <c r="Q35" i="1"/>
  <c r="E14" i="1"/>
  <c r="E15" i="1" s="1"/>
  <c r="C17" i="1"/>
  <c r="Q33" i="1"/>
  <c r="Q31" i="1"/>
  <c r="Q22" i="1"/>
  <c r="Q24" i="1"/>
  <c r="Q26" i="1"/>
  <c r="Q27" i="1"/>
  <c r="Q30" i="1"/>
  <c r="Q21" i="1"/>
  <c r="E24" i="2"/>
  <c r="E11" i="2"/>
  <c r="E17" i="2"/>
  <c r="E22" i="2"/>
  <c r="E14" i="2"/>
  <c r="E31" i="1"/>
  <c r="F31" i="1"/>
  <c r="E29" i="1"/>
  <c r="F29" i="1"/>
  <c r="E26" i="1"/>
  <c r="F26" i="1"/>
  <c r="E34" i="1"/>
  <c r="F34" i="1"/>
  <c r="G34" i="1"/>
  <c r="I34" i="1"/>
  <c r="E22" i="1"/>
  <c r="F22" i="1"/>
  <c r="G22" i="1"/>
  <c r="E30" i="1"/>
  <c r="F30" i="1"/>
  <c r="G30" i="1"/>
  <c r="I30" i="1"/>
  <c r="E28" i="1"/>
  <c r="F28" i="1"/>
  <c r="G28" i="1"/>
  <c r="J28" i="1"/>
  <c r="E36" i="1"/>
  <c r="F36" i="1"/>
  <c r="G36" i="1"/>
  <c r="K36" i="1"/>
  <c r="G27" i="1"/>
  <c r="I27" i="1"/>
  <c r="E24" i="1"/>
  <c r="F24" i="1"/>
  <c r="G24" i="1"/>
  <c r="I24" i="1"/>
  <c r="E33" i="1"/>
  <c r="F33" i="1"/>
  <c r="G33" i="1"/>
  <c r="I33" i="1"/>
  <c r="E32" i="1"/>
  <c r="F32" i="1"/>
  <c r="G32" i="1"/>
  <c r="J32" i="1"/>
  <c r="G25" i="1"/>
  <c r="J25" i="1"/>
  <c r="G31" i="1"/>
  <c r="I31" i="1"/>
  <c r="E27" i="1"/>
  <c r="F27" i="1"/>
  <c r="G29" i="1"/>
  <c r="J29" i="1"/>
  <c r="E35" i="1"/>
  <c r="F35" i="1"/>
  <c r="G35" i="1"/>
  <c r="I35" i="1"/>
  <c r="G26" i="1"/>
  <c r="I26" i="1"/>
  <c r="E23" i="1"/>
  <c r="F23" i="1"/>
  <c r="G23" i="1"/>
  <c r="I23" i="1"/>
  <c r="I22" i="1"/>
  <c r="E18" i="2"/>
  <c r="E21" i="2"/>
  <c r="E25" i="2"/>
  <c r="E20" i="2"/>
  <c r="E13" i="2"/>
  <c r="E23" i="2"/>
  <c r="E16" i="2"/>
  <c r="E19" i="2"/>
  <c r="E12" i="2"/>
  <c r="E15" i="2"/>
  <c r="C11" i="1"/>
  <c r="C12" i="1"/>
  <c r="C16" i="1" l="1"/>
  <c r="D18" i="1" s="1"/>
  <c r="O33" i="1"/>
  <c r="O23" i="1"/>
  <c r="O35" i="1"/>
  <c r="O34" i="1"/>
  <c r="O30" i="1"/>
  <c r="O26" i="1"/>
  <c r="O24" i="1"/>
  <c r="O32" i="1"/>
  <c r="O29" i="1"/>
  <c r="O25" i="1"/>
  <c r="O22" i="1"/>
  <c r="C15" i="1"/>
  <c r="O27" i="1"/>
  <c r="O31" i="1"/>
  <c r="O36" i="1"/>
  <c r="O21" i="1"/>
  <c r="O28" i="1"/>
  <c r="C18" i="1" l="1"/>
  <c r="E16" i="1"/>
  <c r="E17" i="1" s="1"/>
</calcChain>
</file>

<file path=xl/sharedStrings.xml><?xml version="1.0" encoding="utf-8"?>
<sst xmlns="http://schemas.openxmlformats.org/spreadsheetml/2006/main" count="205" uniqueCount="137">
  <si>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</si>
  <si>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</si>
  <si>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</si>
  <si>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</si>
  <si>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</si>
  <si>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</si>
  <si>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</si>
  <si>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</si>
  <si>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</si>
  <si>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</si>
  <si>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</si>
  <si>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</si>
  <si>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</si>
  <si>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</si>
  <si>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</si>
  <si>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</si>
  <si>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</si>
  <si>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</si>
  <si>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</si>
  <si>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</si>
  <si>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</si>
  <si>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</si>
  <si>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</si>
  <si>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</si>
  <si>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</si>
  <si>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</si>
  <si>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</si>
  <si>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</si>
  <si>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</si>
  <si>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IBVS 5263</t>
  </si>
  <si>
    <t>I</t>
  </si>
  <si>
    <t>IBVS 5287</t>
  </si>
  <si>
    <t>IBVS 5296</t>
  </si>
  <si>
    <t>IBVS 5603</t>
  </si>
  <si>
    <t># of data points:</t>
  </si>
  <si>
    <t>IBVS 5653</t>
  </si>
  <si>
    <t>HX Lac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</si>
  <si>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</si>
  <si>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</si>
  <si>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</si>
  <si>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</si>
  <si>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</si>
  <si>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</si>
  <si>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5920</t>
  </si>
  <si>
    <t>Add cycle</t>
  </si>
  <si>
    <t>Old Cycle</t>
  </si>
  <si>
    <t>Start of linear fit &gt;&gt;&gt;&gt;&gt;&gt;&gt;&gt;&gt;&gt;&gt;&gt;&gt;&gt;&gt;&gt;&gt;&gt;&gt;&gt;&gt;</t>
  </si>
  <si>
    <t>IBVS 5960</t>
  </si>
  <si>
    <t>II</t>
  </si>
  <si>
    <t>IBVS 6010</t>
  </si>
  <si>
    <t>OEJV 0074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</si>
  <si>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</si>
  <si>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</si>
  <si>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</si>
  <si>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</si>
  <si>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</si>
  <si>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</si>
  <si>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</si>
  <si>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</si>
  <si>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</si>
  <si>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</si>
  <si>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</si>
  <si>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</si>
  <si>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2451435.4143 </t>
  </si>
  <si>
    <t> 13.09.1999 21:56 </t>
  </si>
  <si>
    <t> -0.0749 </t>
  </si>
  <si>
    <t>E </t>
  </si>
  <si>
    <t>?</t>
  </si>
  <si>
    <t> M.Zejda </t>
  </si>
  <si>
    <t>IBVS 5263 </t>
  </si>
  <si>
    <t>2451704.43116 </t>
  </si>
  <si>
    <t> 08.06.2000 22:20 </t>
  </si>
  <si>
    <t> -0.06565 </t>
  </si>
  <si>
    <t>C </t>
  </si>
  <si>
    <t>o</t>
  </si>
  <si>
    <t> J.Šafár </t>
  </si>
  <si>
    <t>OEJV 0074 </t>
  </si>
  <si>
    <t>2451781.4402 </t>
  </si>
  <si>
    <t> 24.08.2000 22:33 </t>
  </si>
  <si>
    <t> -0.0666 </t>
  </si>
  <si>
    <t>IBVS 5287 </t>
  </si>
  <si>
    <t>2452113.487 </t>
  </si>
  <si>
    <t> 22.07.2001 23:41 </t>
  </si>
  <si>
    <t> -0.060 </t>
  </si>
  <si>
    <t> R.Diethelm </t>
  </si>
  <si>
    <t> BBS 126 </t>
  </si>
  <si>
    <t>2452144.596 </t>
  </si>
  <si>
    <t> 23.08.2001 02:18 </t>
  </si>
  <si>
    <t> -0.071 </t>
  </si>
  <si>
    <t> F.Agerer </t>
  </si>
  <si>
    <t>BAVM 152 </t>
  </si>
  <si>
    <t>2452196.5654 </t>
  </si>
  <si>
    <t> 14.10.2001 01:34 </t>
  </si>
  <si>
    <t> -0.0571 </t>
  </si>
  <si>
    <t>2452277.2681 </t>
  </si>
  <si>
    <t> 02.01.2002 18:26 </t>
  </si>
  <si>
    <t> -0.0567 </t>
  </si>
  <si>
    <t> E.Blättler </t>
  </si>
  <si>
    <t> BBS 127 </t>
  </si>
  <si>
    <t>2452502.502 </t>
  </si>
  <si>
    <t> 16.08.2002 00:02 </t>
  </si>
  <si>
    <t> -0.051 </t>
  </si>
  <si>
    <t> BBS 128 </t>
  </si>
  <si>
    <t>2453310.598 </t>
  </si>
  <si>
    <t> 01.11.2004 02:21 </t>
  </si>
  <si>
    <t> -0.032 </t>
  </si>
  <si>
    <t> S.Dvorak </t>
  </si>
  <si>
    <t>IBVS 5603 </t>
  </si>
  <si>
    <t>2453343.294 </t>
  </si>
  <si>
    <t> 03.12.2004 19:03 </t>
  </si>
  <si>
    <t> -0.039 </t>
  </si>
  <si>
    <t> E. Blättler </t>
  </si>
  <si>
    <t>IBVS 5653 </t>
  </si>
  <si>
    <t>2455041.5187 </t>
  </si>
  <si>
    <t> 29.07.2009 00:26 </t>
  </si>
  <si>
    <t> 0.0089 </t>
  </si>
  <si>
    <t> Moschner &amp; Frank </t>
  </si>
  <si>
    <t>BAVM 212 </t>
  </si>
  <si>
    <t>2455127.7587 </t>
  </si>
  <si>
    <t> 23.10.2009 06:12 </t>
  </si>
  <si>
    <t> 0.0082 </t>
  </si>
  <si>
    <t>IBVS 5920 </t>
  </si>
  <si>
    <t>2455373.5619 </t>
  </si>
  <si>
    <t> 26.06.2010 01:29 </t>
  </si>
  <si>
    <t> 0.0123 </t>
  </si>
  <si>
    <t> W.Moschner &amp; P.Frank </t>
  </si>
  <si>
    <t>BAVM 220 </t>
  </si>
  <si>
    <t>2455477.745 </t>
  </si>
  <si>
    <t> 08.10.2010 05:52 </t>
  </si>
  <si>
    <t> 0.021 </t>
  </si>
  <si>
    <t>IBVS 5960 </t>
  </si>
  <si>
    <t>2456135.5087 </t>
  </si>
  <si>
    <t> 27.07.2012 00:12 </t>
  </si>
  <si>
    <t> 0.0346 </t>
  </si>
  <si>
    <t>BAVM 234 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</si>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</sst>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HX Lac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7-4DAD-95B6-714EFCEED54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  <c:pt idx="1">
                  <c:v>-7.4896300007821992E-2</c:v>
                </c:pt>
                <c:pt idx="2">
                  <c:v>-6.5645300004689489E-2</c:v>
                </c:pt>
                <c:pt idx="3">
                  <c:v>-6.6626700005144812E-2</c:v>
                </c:pt>
                <c:pt idx="5">
                  <c:v>-7.1098850006819703E-2</c:v>
                </c:pt>
                <c:pt idx="6">
                  <c:v>-5.7090000009338837E-2</c:v>
                </c:pt>
                <c:pt idx="9">
                  <c:v>-3.2470800004375633E-2</c:v>
                </c:pt>
                <c:pt idx="10">
                  <c:v>-3.9356600005703513E-2</c:v>
                </c:pt>
                <c:pt idx="12">
                  <c:v>8.2036999956471846E-3</c:v>
                </c:pt>
                <c:pt idx="13">
                  <c:v>1.2294299995119218E-2</c:v>
                </c:pt>
                <c:pt idx="14">
                  <c:v>2.0879049996437971E-2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07-4DAD-95B6-714EFCEED54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  <c:pt idx="4">
                  <c:v>-5.9610750002320856E-2</c:v>
                </c:pt>
                <c:pt idx="7">
                  <c:v>-5.6672700004128274E-2</c:v>
                </c:pt>
                <c:pt idx="8">
                  <c:v>-5.071200000384124E-2</c:v>
                </c:pt>
                <c:pt idx="11">
                  <c:v>8.878349995939061E-3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07-4DAD-95B6-714EFCEED54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  <c:pt idx="15">
                  <c:v>3.4601749990542885E-2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07-4DAD-95B6-714EFCEED54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07-4DAD-95B6-714EFCEED54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07-4DAD-95B6-714EFCEED54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07-4DAD-95B6-714EFCEED54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-0.68766126594008581</c:v>
                </c:pt>
                <c:pt idx="1">
                  <c:v>-7.6828586253652076E-2</c:v>
                </c:pt>
                <c:pt idx="2">
                  <c:v>-7.0555056506786951E-2</c:v>
                </c:pt>
                <c:pt idx="3">
                  <c:v>-6.8759104853762909E-2</c:v>
                </c:pt>
                <c:pt idx="4">
                  <c:v>-6.1015600979936191E-2</c:v>
                </c:pt>
                <c:pt idx="5">
                  <c:v>-6.0289839695494951E-2</c:v>
                </c:pt>
                <c:pt idx="6">
                  <c:v>-5.9078187381639613E-2</c:v>
                </c:pt>
                <c:pt idx="7">
                  <c:v>-5.7196128457580153E-2</c:v>
                </c:pt>
                <c:pt idx="8">
                  <c:v>-5.1943584924420527E-2</c:v>
                </c:pt>
                <c:pt idx="9">
                  <c:v>-3.3098393606386445E-2</c:v>
                </c:pt>
                <c:pt idx="10">
                  <c:v>-3.23357292057872E-2</c:v>
                </c:pt>
                <c:pt idx="11">
                  <c:v>7.2674649511388356E-3</c:v>
                </c:pt>
                <c:pt idx="12">
                  <c:v>9.2786847817514229E-3</c:v>
                </c:pt>
                <c:pt idx="13">
                  <c:v>1.5010968824965443E-2</c:v>
                </c:pt>
                <c:pt idx="14">
                  <c:v>1.7440423972035823E-2</c:v>
                </c:pt>
                <c:pt idx="15">
                  <c:v>3.2779819255057019E-2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07-4DAD-95B6-714EFCEE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322992"/>
        <c:axId val="1"/>
      </c:scatterChart>
      <c:valAx>
        <c:axId val="686322992"/>
        <c:scaling>
          <c:orientation val="minMax"/>
          <c:min val="4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322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2073298764483702"/>
          <c:w val="0.7237484894355896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HX Lac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F-4AF7-AC26-D06F4EE2A43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  <c:pt idx="1">
                  <c:v>-7.4896300007821992E-2</c:v>
                </c:pt>
                <c:pt idx="2">
                  <c:v>-6.5645300004689489E-2</c:v>
                </c:pt>
                <c:pt idx="3">
                  <c:v>-6.6626700005144812E-2</c:v>
                </c:pt>
                <c:pt idx="5">
                  <c:v>-7.1098850006819703E-2</c:v>
                </c:pt>
                <c:pt idx="6">
                  <c:v>-5.7090000009338837E-2</c:v>
                </c:pt>
                <c:pt idx="9">
                  <c:v>-3.2470800004375633E-2</c:v>
                </c:pt>
                <c:pt idx="10">
                  <c:v>-3.9356600005703513E-2</c:v>
                </c:pt>
                <c:pt idx="12">
                  <c:v>8.2036999956471846E-3</c:v>
                </c:pt>
                <c:pt idx="13">
                  <c:v>1.2294299995119218E-2</c:v>
                </c:pt>
                <c:pt idx="14">
                  <c:v>2.0879049996437971E-2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8F-4AF7-AC26-D06F4EE2A43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  <c:pt idx="4">
                  <c:v>-5.9610750002320856E-2</c:v>
                </c:pt>
                <c:pt idx="7">
                  <c:v>-5.6672700004128274E-2</c:v>
                </c:pt>
                <c:pt idx="8">
                  <c:v>-5.071200000384124E-2</c:v>
                </c:pt>
                <c:pt idx="11">
                  <c:v>8.878349995939061E-3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8F-4AF7-AC26-D06F4EE2A43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  <c:pt idx="15">
                  <c:v>3.4601749990542885E-2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8F-4AF7-AC26-D06F4EE2A43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8F-4AF7-AC26-D06F4EE2A43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8F-4AF7-AC26-D06F4EE2A43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2.2000000000000001E-3</c:v>
                  </c:pt>
                  <c:pt idx="2">
                    <c:v>2.7000000000000001E-3</c:v>
                  </c:pt>
                  <c:pt idx="3">
                    <c:v>1.5E-3</c:v>
                  </c:pt>
                  <c:pt idx="5">
                    <c:v>1E-3</c:v>
                  </c:pt>
                  <c:pt idx="6">
                    <c:v>1.8E-3</c:v>
                  </c:pt>
                  <c:pt idx="9">
                    <c:v>2E-3</c:v>
                  </c:pt>
                  <c:pt idx="10">
                    <c:v>5.0000000000000001E-3</c:v>
                  </c:pt>
                  <c:pt idx="12">
                    <c:v>1E-3</c:v>
                  </c:pt>
                  <c:pt idx="13">
                    <c:v>1E-4</c:v>
                  </c:pt>
                  <c:pt idx="14">
                    <c:v>3.0000000000000001E-3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8F-4AF7-AC26-D06F4EE2A43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49657</c:v>
                </c:pt>
                <c:pt idx="2">
                  <c:v>50167</c:v>
                </c:pt>
                <c:pt idx="3">
                  <c:v>50313</c:v>
                </c:pt>
                <c:pt idx="4">
                  <c:v>50942.5</c:v>
                </c:pt>
                <c:pt idx="5">
                  <c:v>51001.5</c:v>
                </c:pt>
                <c:pt idx="6">
                  <c:v>51100</c:v>
                </c:pt>
                <c:pt idx="7">
                  <c:v>51253</c:v>
                </c:pt>
                <c:pt idx="8">
                  <c:v>51680</c:v>
                </c:pt>
                <c:pt idx="9">
                  <c:v>53212</c:v>
                </c:pt>
                <c:pt idx="10">
                  <c:v>53274</c:v>
                </c:pt>
                <c:pt idx="11">
                  <c:v>56493.5</c:v>
                </c:pt>
                <c:pt idx="12">
                  <c:v>56657</c:v>
                </c:pt>
                <c:pt idx="13">
                  <c:v>57123</c:v>
                </c:pt>
                <c:pt idx="14">
                  <c:v>57320.5</c:v>
                </c:pt>
                <c:pt idx="15">
                  <c:v>58567.5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-0.68766126594008581</c:v>
                </c:pt>
                <c:pt idx="1">
                  <c:v>-7.6828586253652076E-2</c:v>
                </c:pt>
                <c:pt idx="2">
                  <c:v>-7.0555056506786951E-2</c:v>
                </c:pt>
                <c:pt idx="3">
                  <c:v>-6.8759104853762909E-2</c:v>
                </c:pt>
                <c:pt idx="4">
                  <c:v>-6.1015600979936191E-2</c:v>
                </c:pt>
                <c:pt idx="5">
                  <c:v>-6.0289839695494951E-2</c:v>
                </c:pt>
                <c:pt idx="6">
                  <c:v>-5.9078187381639613E-2</c:v>
                </c:pt>
                <c:pt idx="7">
                  <c:v>-5.7196128457580153E-2</c:v>
                </c:pt>
                <c:pt idx="8">
                  <c:v>-5.1943584924420527E-2</c:v>
                </c:pt>
                <c:pt idx="9">
                  <c:v>-3.3098393606386445E-2</c:v>
                </c:pt>
                <c:pt idx="10">
                  <c:v>-3.23357292057872E-2</c:v>
                </c:pt>
                <c:pt idx="11">
                  <c:v>7.2674649511388356E-3</c:v>
                </c:pt>
                <c:pt idx="12">
                  <c:v>9.2786847817514229E-3</c:v>
                </c:pt>
                <c:pt idx="13">
                  <c:v>1.5010968824965443E-2</c:v>
                </c:pt>
                <c:pt idx="14">
                  <c:v>1.7440423972035823E-2</c:v>
                </c:pt>
                <c:pt idx="15">
                  <c:v>3.2779819255057019E-2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8F-4AF7-AC26-D06F4EE2A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114072"/>
        <c:axId val="1"/>
      </c:scatterChart>
      <c:valAx>
        <c:axId val="74311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11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64516129032257"/>
          <c:y val="0.92097264437689974"/>
          <c:w val="0.7225806451612902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9524</xdr:rowOff>
    </xdr:from>
    <xdr:to>
      <xdr:col>17</xdr:col>
      <xdr:colOff>266700</xdr:colOff>
      <xdr:row>18</xdr:row>
      <xdr:rowOff>57149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957CA19-B03E-3C7D-B91E-705D3093E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27</xdr:col>
      <xdr:colOff>104775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9E2242A-66BF-4BE2-E42A-31559C6F1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603" TargetMode="External"/><Relationship Id="rId11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152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6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t="s">
        <v>28</v>
      </c>
    </row>
    <row r="3" spans="1:7" ht="13.5" thickBot="1" x14ac:dyDescent="0.25"/>
    <row r="4" spans="1:7" ht="14.25" thickTop="1" thickBot="1" x14ac:dyDescent="0.25">
      <c r="A4" s="6" t="s">
        <v>0</v>
      </c>
      <c r="C4" s="3">
        <v>25243.115000000002</v>
      </c>
      <c r="D4" s="4">
        <v>0.52746590000000004</v>
      </c>
    </row>
    <row r="5" spans="1:7" ht="13.5" thickTop="1" x14ac:dyDescent="0.2"/>
    <row r="6" spans="1:7" x14ac:dyDescent="0.2">
      <c r="A6" s="6" t="s">
        <v>1</v>
      </c>
    </row>
    <row r="7" spans="1:7" x14ac:dyDescent="0.2">
      <c r="A7" t="s">
        <v>2</v>
      </c>
      <c r="C7">
        <f>+C4</f>
        <v>25243.115000000002</v>
      </c>
    </row>
    <row r="8" spans="1:7" x14ac:dyDescent="0.2">
      <c r="A8" t="s">
        <v>3</v>
      </c>
      <c r="C8">
        <f>+D4</f>
        <v>0.52746590000000004</v>
      </c>
    </row>
    <row r="9" spans="1:7" x14ac:dyDescent="0.2">
      <c r="A9" s="17" t="s">
        <v>37</v>
      </c>
      <c r="B9" s="18"/>
      <c r="C9" s="19">
        <v>-9.5</v>
      </c>
      <c r="D9" s="18" t="s">
        <v>38</v>
      </c>
      <c r="E9" s="18"/>
    </row>
    <row r="10" spans="1:7" ht="13.5" thickBot="1" x14ac:dyDescent="0.25">
      <c r="A10" s="18"/>
      <c r="B10" s="18"/>
      <c r="C10" s="5" t="s">
        <v>20</v>
      </c>
      <c r="D10" s="5" t="s">
        <v>21</v>
      </c>
      <c r="E10" s="18"/>
    </row>
    <row r="11" spans="1:7" x14ac:dyDescent="0.2">
      <c r="A11" s="18" t="s">
        <v>16</v>
      </c>
      <c r="B11" s="18"/>
      <c r="C11" s="31">
        <f ca="1">INTERCEPT(INDIRECT($G$11):G991,INDIRECT($F$11):F991)</f>
        <v>-0.68766126594008581</v>
      </c>
      <c r="D11" s="20"/>
      <c r="E11" s="18"/>
      <c r="F11" s="32" t="str">
        <f>"F"&amp;E19</f>
        <v>F21</v>
      </c>
      <c r="G11" s="11" t="str">
        <f>"G"&amp;E19</f>
        <v>G21</v>
      </c>
    </row>
    <row r="12" spans="1:7" x14ac:dyDescent="0.2">
      <c r="A12" s="18" t="s">
        <v>17</v>
      </c>
      <c r="B12" s="18"/>
      <c r="C12" s="31">
        <f ca="1">SLOPE(INDIRECT($G$11):G991,INDIRECT($F$11):F991)</f>
        <v>1.2301038719343369E-5</v>
      </c>
      <c r="D12" s="20"/>
      <c r="E12" s="18"/>
    </row>
    <row r="13" spans="1:7" x14ac:dyDescent="0.2">
      <c r="A13" s="18" t="s">
        <v>19</v>
      </c>
      <c r="B13" s="18"/>
      <c r="C13" s="20" t="s">
        <v>14</v>
      </c>
      <c r="D13" s="23" t="s">
        <v>44</v>
      </c>
      <c r="E13" s="19">
        <v>1</v>
      </c>
    </row>
    <row r="14" spans="1:7" x14ac:dyDescent="0.2">
      <c r="A14" s="18"/>
      <c r="B14" s="18"/>
      <c r="C14" s="18"/>
      <c r="D14" s="23" t="s">
        <v>39</v>
      </c>
      <c r="E14" s="24">
        <f ca="1">NOW()+15018.5+$C$9/24</f>
        <v>60357.65275671296</v>
      </c>
    </row>
    <row r="15" spans="1:7" x14ac:dyDescent="0.2">
      <c r="A15" s="21" t="s">
        <v>18</v>
      </c>
      <c r="B15" s="18"/>
      <c r="C15" s="22">
        <f ca="1">(C7+C11)+(C8+C12)*INT(MAX(F21:F3532))</f>
        <v>56135.243138968741</v>
      </c>
      <c r="D15" s="23" t="s">
        <v>45</v>
      </c>
      <c r="E15" s="24">
        <f ca="1">ROUND(2*(E14-$C$7)/$C$8,0)/2+E13</f>
        <v>66573</v>
      </c>
    </row>
    <row r="16" spans="1:7" x14ac:dyDescent="0.2">
      <c r="A16" s="25" t="s">
        <v>4</v>
      </c>
      <c r="B16" s="18"/>
      <c r="C16" s="26">
        <f ca="1">+C8+C12</f>
        <v>0.52747820103871934</v>
      </c>
      <c r="D16" s="23" t="s">
        <v>40</v>
      </c>
      <c r="E16" s="11">
        <f ca="1">ROUND(2*(E14-$C$15)/$C$16,0)/2+E13</f>
        <v>8006</v>
      </c>
    </row>
    <row r="17" spans="1:17" ht="13.5" thickBot="1" x14ac:dyDescent="0.25">
      <c r="A17" s="23" t="s">
        <v>34</v>
      </c>
      <c r="B17" s="18"/>
      <c r="C17" s="18">
        <f>COUNT(C21:C2190)</f>
        <v>16</v>
      </c>
      <c r="D17" s="23" t="s">
        <v>41</v>
      </c>
      <c r="E17" s="27">
        <f ca="1">+$C$15+$C$16*E16-15018.5-$C$9/24</f>
        <v>45340.129449818065</v>
      </c>
    </row>
    <row r="18" spans="1:17" ht="14.25" thickTop="1" thickBot="1" x14ac:dyDescent="0.25">
      <c r="A18" s="25" t="s">
        <v>5</v>
      </c>
      <c r="B18" s="18"/>
      <c r="C18" s="28">
        <f ca="1">+C15</f>
        <v>56135.243138968741</v>
      </c>
      <c r="D18" s="29">
        <f ca="1">+C16</f>
        <v>0.52747820103871934</v>
      </c>
      <c r="E18" s="30" t="s">
        <v>42</v>
      </c>
    </row>
    <row r="19" spans="1:17" ht="13.5" thickTop="1" x14ac:dyDescent="0.2">
      <c r="A19" s="33" t="s">
        <v>46</v>
      </c>
      <c r="E19" s="34">
        <v>21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136</v>
      </c>
      <c r="J20" s="8" t="s">
        <v>135</v>
      </c>
      <c r="K20" s="8" t="s">
        <v>54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5">
        <f>+C4</f>
        <v>25243.115000000002</v>
      </c>
      <c r="D21" s="15" t="s">
        <v>14</v>
      </c>
      <c r="E21">
        <f t="shared" ref="E21:E36" si="0">+(C21-C$7)/C$8</f>
        <v>0</v>
      </c>
      <c r="F21">
        <f t="shared" ref="F21:F36" si="1">ROUND(2*E21,0)/2</f>
        <v>0</v>
      </c>
      <c r="H21" s="11">
        <v>0</v>
      </c>
      <c r="O21">
        <f t="shared" ref="O21:O36" ca="1" si="2">+C$11+C$12*$F21</f>
        <v>-0.68766126594008581</v>
      </c>
      <c r="Q21" s="2">
        <f t="shared" ref="Q21:Q36" si="3">+C21-15018.5</f>
        <v>10224.615000000002</v>
      </c>
    </row>
    <row r="22" spans="1:17" x14ac:dyDescent="0.2">
      <c r="A22" s="9" t="s">
        <v>29</v>
      </c>
      <c r="B22" s="10" t="s">
        <v>30</v>
      </c>
      <c r="C22" s="16">
        <v>51435.414299999997</v>
      </c>
      <c r="D22" s="16">
        <v>2.2000000000000001E-3</v>
      </c>
      <c r="E22">
        <f t="shared" si="0"/>
        <v>49656.858007313822</v>
      </c>
      <c r="F22">
        <f t="shared" si="1"/>
        <v>49657</v>
      </c>
      <c r="G22">
        <f t="shared" ref="G22:G36" si="4">+C22-(C$7+F22*C$8)</f>
        <v>-7.4896300007821992E-2</v>
      </c>
      <c r="I22">
        <f>+G22</f>
        <v>-7.4896300007821992E-2</v>
      </c>
      <c r="O22">
        <f t="shared" ca="1" si="2"/>
        <v>-7.6828586253652076E-2</v>
      </c>
      <c r="Q22" s="2">
        <f t="shared" si="3"/>
        <v>36416.914299999997</v>
      </c>
    </row>
    <row r="23" spans="1:17" x14ac:dyDescent="0.2">
      <c r="A23" s="9" t="s">
        <v>50</v>
      </c>
      <c r="B23" s="35" t="s">
        <v>30</v>
      </c>
      <c r="C23" s="9">
        <v>51704.43116</v>
      </c>
      <c r="D23" s="9">
        <v>2.7000000000000001E-3</v>
      </c>
      <c r="E23">
        <f t="shared" si="0"/>
        <v>50166.875545888361</v>
      </c>
      <c r="F23">
        <f t="shared" si="1"/>
        <v>50167</v>
      </c>
      <c r="G23">
        <f t="shared" si="4"/>
        <v>-6.5645300004689489E-2</v>
      </c>
      <c r="I23">
        <f>+G23</f>
        <v>-6.5645300004689489E-2</v>
      </c>
      <c r="O23">
        <f t="shared" ca="1" si="2"/>
        <v>-7.0555056506786951E-2</v>
      </c>
      <c r="Q23" s="2">
        <f t="shared" si="3"/>
        <v>36685.93116</v>
      </c>
    </row>
    <row r="24" spans="1:17" x14ac:dyDescent="0.2">
      <c r="A24" s="9" t="s">
        <v>31</v>
      </c>
      <c r="B24" s="36" t="s">
        <v>30</v>
      </c>
      <c r="C24" s="37">
        <v>51781.440199999997</v>
      </c>
      <c r="D24" s="37">
        <v>1.5E-3</v>
      </c>
      <c r="E24">
        <f t="shared" si="0"/>
        <v>50312.873685294144</v>
      </c>
      <c r="F24">
        <f t="shared" si="1"/>
        <v>50313</v>
      </c>
      <c r="G24">
        <f t="shared" si="4"/>
        <v>-6.6626700005144812E-2</v>
      </c>
      <c r="I24">
        <f>+G24</f>
        <v>-6.6626700005144812E-2</v>
      </c>
      <c r="O24">
        <f t="shared" ca="1" si="2"/>
        <v>-6.8759104853762909E-2</v>
      </c>
      <c r="Q24" s="2">
        <f t="shared" si="3"/>
        <v>36762.940199999997</v>
      </c>
    </row>
    <row r="25" spans="1:17" x14ac:dyDescent="0.2">
      <c r="A25" s="56" t="s">
        <v>85</v>
      </c>
      <c r="B25" s="58" t="s">
        <v>48</v>
      </c>
      <c r="C25" s="57">
        <v>52113.487000000001</v>
      </c>
      <c r="D25" s="15"/>
      <c r="E25">
        <f t="shared" si="0"/>
        <v>50942.386986533151</v>
      </c>
      <c r="F25">
        <f t="shared" si="1"/>
        <v>50942.5</v>
      </c>
      <c r="G25">
        <f t="shared" si="4"/>
        <v>-5.9610750002320856E-2</v>
      </c>
      <c r="J25">
        <f>+G25</f>
        <v>-5.9610750002320856E-2</v>
      </c>
      <c r="O25">
        <f t="shared" ca="1" si="2"/>
        <v>-6.1015600979936191E-2</v>
      </c>
      <c r="Q25" s="2">
        <f t="shared" si="3"/>
        <v>37094.987000000001</v>
      </c>
    </row>
    <row r="26" spans="1:17" x14ac:dyDescent="0.2">
      <c r="A26" s="9" t="s">
        <v>32</v>
      </c>
      <c r="B26" s="36"/>
      <c r="C26" s="9">
        <v>52144.595999999998</v>
      </c>
      <c r="D26" s="38">
        <v>1E-3</v>
      </c>
      <c r="E26">
        <f t="shared" si="0"/>
        <v>51001.365206736577</v>
      </c>
      <c r="F26">
        <f t="shared" si="1"/>
        <v>51001.5</v>
      </c>
      <c r="G26">
        <f t="shared" si="4"/>
        <v>-7.1098850006819703E-2</v>
      </c>
      <c r="I26">
        <f>+G26</f>
        <v>-7.1098850006819703E-2</v>
      </c>
      <c r="O26">
        <f t="shared" ca="1" si="2"/>
        <v>-6.0289839695494951E-2</v>
      </c>
      <c r="Q26" s="2">
        <f t="shared" si="3"/>
        <v>37126.095999999998</v>
      </c>
    </row>
    <row r="27" spans="1:17" x14ac:dyDescent="0.2">
      <c r="A27" s="9" t="s">
        <v>32</v>
      </c>
      <c r="B27" s="36"/>
      <c r="C27" s="38">
        <v>52196.565399999999</v>
      </c>
      <c r="D27" s="38">
        <v>1.8E-3</v>
      </c>
      <c r="E27">
        <f t="shared" si="0"/>
        <v>51099.891765515073</v>
      </c>
      <c r="F27">
        <f t="shared" si="1"/>
        <v>51100</v>
      </c>
      <c r="G27">
        <f t="shared" si="4"/>
        <v>-5.7090000009338837E-2</v>
      </c>
      <c r="I27">
        <f>+G27</f>
        <v>-5.7090000009338837E-2</v>
      </c>
      <c r="O27">
        <f t="shared" ca="1" si="2"/>
        <v>-5.9078187381639613E-2</v>
      </c>
      <c r="Q27" s="2">
        <f t="shared" si="3"/>
        <v>37178.065399999999</v>
      </c>
    </row>
    <row r="28" spans="1:17" x14ac:dyDescent="0.2">
      <c r="A28" s="56" t="s">
        <v>98</v>
      </c>
      <c r="B28" s="58" t="s">
        <v>30</v>
      </c>
      <c r="C28" s="57">
        <v>52277.268100000001</v>
      </c>
      <c r="D28" s="15"/>
      <c r="E28">
        <f t="shared" si="0"/>
        <v>51252.892556656261</v>
      </c>
      <c r="F28">
        <f t="shared" si="1"/>
        <v>51253</v>
      </c>
      <c r="G28">
        <f t="shared" si="4"/>
        <v>-5.6672700004128274E-2</v>
      </c>
      <c r="J28">
        <f>+G28</f>
        <v>-5.6672700004128274E-2</v>
      </c>
      <c r="O28">
        <f t="shared" ca="1" si="2"/>
        <v>-5.7196128457580153E-2</v>
      </c>
      <c r="Q28" s="2">
        <f t="shared" si="3"/>
        <v>37258.768100000001</v>
      </c>
    </row>
    <row r="29" spans="1:17" x14ac:dyDescent="0.2">
      <c r="A29" s="56" t="s">
        <v>102</v>
      </c>
      <c r="B29" s="58" t="s">
        <v>30</v>
      </c>
      <c r="C29" s="57">
        <v>52502.502</v>
      </c>
      <c r="D29" s="15"/>
      <c r="E29">
        <f t="shared" si="0"/>
        <v>51679.903857292004</v>
      </c>
      <c r="F29">
        <f t="shared" si="1"/>
        <v>51680</v>
      </c>
      <c r="G29">
        <f t="shared" si="4"/>
        <v>-5.071200000384124E-2</v>
      </c>
      <c r="J29">
        <f>+G29</f>
        <v>-5.071200000384124E-2</v>
      </c>
      <c r="O29">
        <f t="shared" ca="1" si="2"/>
        <v>-5.1943584924420527E-2</v>
      </c>
      <c r="Q29" s="2">
        <f t="shared" si="3"/>
        <v>37484.002</v>
      </c>
    </row>
    <row r="30" spans="1:17" x14ac:dyDescent="0.2">
      <c r="A30" s="9" t="s">
        <v>33</v>
      </c>
      <c r="B30" s="36" t="s">
        <v>30</v>
      </c>
      <c r="C30" s="37">
        <v>53310.597999999998</v>
      </c>
      <c r="D30" s="9">
        <v>2E-3</v>
      </c>
      <c r="E30">
        <f t="shared" si="0"/>
        <v>53211.938440001511</v>
      </c>
      <c r="F30">
        <f t="shared" si="1"/>
        <v>53212</v>
      </c>
      <c r="G30">
        <f t="shared" si="4"/>
        <v>-3.2470800004375633E-2</v>
      </c>
      <c r="I30">
        <f>+G30</f>
        <v>-3.2470800004375633E-2</v>
      </c>
      <c r="O30">
        <f t="shared" ca="1" si="2"/>
        <v>-3.3098393606386445E-2</v>
      </c>
      <c r="Q30" s="2">
        <f t="shared" si="3"/>
        <v>38292.097999999998</v>
      </c>
    </row>
    <row r="31" spans="1:17" x14ac:dyDescent="0.2">
      <c r="A31" s="12" t="s">
        <v>35</v>
      </c>
      <c r="B31" s="13" t="s">
        <v>30</v>
      </c>
      <c r="C31" s="14">
        <v>53343.294000000002</v>
      </c>
      <c r="D31" s="14">
        <v>5.0000000000000001E-3</v>
      </c>
      <c r="E31">
        <f t="shared" si="0"/>
        <v>53273.92538550833</v>
      </c>
      <c r="F31">
        <f t="shared" si="1"/>
        <v>53274</v>
      </c>
      <c r="G31">
        <f t="shared" si="4"/>
        <v>-3.9356600005703513E-2</v>
      </c>
      <c r="I31">
        <f>+G31</f>
        <v>-3.9356600005703513E-2</v>
      </c>
      <c r="O31">
        <f t="shared" ca="1" si="2"/>
        <v>-3.23357292057872E-2</v>
      </c>
      <c r="Q31" s="2">
        <f t="shared" si="3"/>
        <v>38324.794000000002</v>
      </c>
    </row>
    <row r="32" spans="1:17" x14ac:dyDescent="0.2">
      <c r="A32" s="56" t="s">
        <v>117</v>
      </c>
      <c r="B32" s="58" t="s">
        <v>48</v>
      </c>
      <c r="C32" s="57">
        <v>55041.518700000001</v>
      </c>
      <c r="D32" s="15"/>
      <c r="E32">
        <f t="shared" si="0"/>
        <v>56493.516832083355</v>
      </c>
      <c r="F32">
        <f t="shared" si="1"/>
        <v>56493.5</v>
      </c>
      <c r="G32">
        <f t="shared" si="4"/>
        <v>8.878349995939061E-3</v>
      </c>
      <c r="J32">
        <f>+G32</f>
        <v>8.878349995939061E-3</v>
      </c>
      <c r="O32">
        <f t="shared" ca="1" si="2"/>
        <v>7.2674649511388356E-3</v>
      </c>
      <c r="Q32" s="2">
        <f t="shared" si="3"/>
        <v>40023.018700000001</v>
      </c>
    </row>
    <row r="33" spans="1:17" x14ac:dyDescent="0.2">
      <c r="A33" s="9" t="s">
        <v>43</v>
      </c>
      <c r="B33" s="35" t="s">
        <v>30</v>
      </c>
      <c r="C33" s="9">
        <v>55127.758699999998</v>
      </c>
      <c r="D33" s="9">
        <v>1E-3</v>
      </c>
      <c r="E33">
        <f t="shared" si="0"/>
        <v>56657.015553043326</v>
      </c>
      <c r="F33">
        <f t="shared" si="1"/>
        <v>56657</v>
      </c>
      <c r="G33">
        <f t="shared" si="4"/>
        <v>8.2036999956471846E-3</v>
      </c>
      <c r="I33">
        <f>+G33</f>
        <v>8.2036999956471846E-3</v>
      </c>
      <c r="O33">
        <f t="shared" ca="1" si="2"/>
        <v>9.2786847817514229E-3</v>
      </c>
      <c r="Q33" s="2">
        <f t="shared" si="3"/>
        <v>40109.258699999998</v>
      </c>
    </row>
    <row r="34" spans="1:17" x14ac:dyDescent="0.2">
      <c r="A34" s="9" t="s">
        <v>49</v>
      </c>
      <c r="B34" s="35" t="s">
        <v>30</v>
      </c>
      <c r="C34" s="9">
        <v>55373.561900000001</v>
      </c>
      <c r="D34" s="9">
        <v>1E-4</v>
      </c>
      <c r="E34">
        <f t="shared" si="0"/>
        <v>57123.023308236603</v>
      </c>
      <c r="F34">
        <f t="shared" si="1"/>
        <v>57123</v>
      </c>
      <c r="G34">
        <f t="shared" si="4"/>
        <v>1.2294299995119218E-2</v>
      </c>
      <c r="I34">
        <f>+G34</f>
        <v>1.2294299995119218E-2</v>
      </c>
      <c r="O34">
        <f t="shared" ca="1" si="2"/>
        <v>1.5010968824965443E-2</v>
      </c>
      <c r="Q34" s="2">
        <f t="shared" si="3"/>
        <v>40355.061900000001</v>
      </c>
    </row>
    <row r="35" spans="1:17" x14ac:dyDescent="0.2">
      <c r="A35" s="12" t="s">
        <v>47</v>
      </c>
      <c r="B35" s="13" t="s">
        <v>48</v>
      </c>
      <c r="C35" s="14">
        <v>55477.745000000003</v>
      </c>
      <c r="D35" s="14">
        <v>3.0000000000000001E-3</v>
      </c>
      <c r="E35">
        <f t="shared" si="0"/>
        <v>57320.539583696307</v>
      </c>
      <c r="F35">
        <f t="shared" si="1"/>
        <v>57320.5</v>
      </c>
      <c r="G35">
        <f t="shared" si="4"/>
        <v>2.0879049996437971E-2</v>
      </c>
      <c r="I35">
        <f>+G35</f>
        <v>2.0879049996437971E-2</v>
      </c>
      <c r="O35">
        <f t="shared" ca="1" si="2"/>
        <v>1.7440423972035823E-2</v>
      </c>
      <c r="Q35" s="2">
        <f t="shared" si="3"/>
        <v>40459.245000000003</v>
      </c>
    </row>
    <row r="36" spans="1:17" x14ac:dyDescent="0.2">
      <c r="A36" s="39" t="s">
        <v>51</v>
      </c>
      <c r="B36" s="40" t="s">
        <v>30</v>
      </c>
      <c r="C36" s="41">
        <v>56135.508699999998</v>
      </c>
      <c r="D36" s="42">
        <v>5.0000000000000001E-4</v>
      </c>
      <c r="E36">
        <f t="shared" si="0"/>
        <v>58567.565599975271</v>
      </c>
      <c r="F36">
        <f t="shared" si="1"/>
        <v>58567.5</v>
      </c>
      <c r="G36">
        <f t="shared" si="4"/>
        <v>3.4601749990542885E-2</v>
      </c>
      <c r="K36">
        <f>+G36</f>
        <v>3.4601749990542885E-2</v>
      </c>
      <c r="O36">
        <f t="shared" ca="1" si="2"/>
        <v>3.2779819255057019E-2</v>
      </c>
      <c r="Q36" s="2">
        <f t="shared" si="3"/>
        <v>41117.008699999998</v>
      </c>
    </row>
    <row r="37" spans="1:17" x14ac:dyDescent="0.2">
      <c r="C37" s="15"/>
      <c r="D37" s="15"/>
    </row>
    <row r="38" spans="1:17" x14ac:dyDescent="0.2">
      <c r="C38" s="15"/>
      <c r="D38" s="15"/>
    </row>
    <row r="39" spans="1:17" x14ac:dyDescent="0.2">
      <c r="C39" s="15"/>
      <c r="D39" s="15"/>
    </row>
    <row r="40" spans="1:17" x14ac:dyDescent="0.2">
      <c r="C40" s="15"/>
      <c r="D40" s="15"/>
    </row>
    <row r="41" spans="1:17" x14ac:dyDescent="0.2">
      <c r="C41" s="15"/>
      <c r="D41" s="15"/>
    </row>
    <row r="42" spans="1:17" x14ac:dyDescent="0.2">
      <c r="C42" s="15"/>
      <c r="D42" s="15"/>
    </row>
    <row r="43" spans="1:17" x14ac:dyDescent="0.2">
      <c r="C43" s="15"/>
      <c r="D43" s="15"/>
    </row>
    <row r="44" spans="1:17" x14ac:dyDescent="0.2">
      <c r="C44" s="15"/>
      <c r="D44" s="15"/>
    </row>
    <row r="45" spans="1:17" x14ac:dyDescent="0.2">
      <c r="C45" s="15"/>
      <c r="D45" s="15"/>
    </row>
    <row r="46" spans="1:17" x14ac:dyDescent="0.2">
      <c r="C46" s="15"/>
      <c r="D46" s="15"/>
    </row>
    <row r="47" spans="1:17" x14ac:dyDescent="0.2">
      <c r="C47" s="15"/>
      <c r="D47" s="15"/>
    </row>
    <row r="48" spans="1:17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5"/>
  <sheetViews>
    <sheetView topLeftCell="A3" workbookViewId="0">
      <selection activeCell="A22" sqref="A22:C25"/>
    </sheetView>
  </sheetViews>
  <sheetFormatPr defaultRowHeight="12.75" x14ac:dyDescent="0.2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3" t="s">
        <v>52</v>
      </c>
      <c r="I1" s="44" t="s">
        <v>53</v>
      </c>
      <c r="J1" s="45" t="s">
        <v>54</v>
      </c>
    </row>
    <row r="2" spans="1:16" x14ac:dyDescent="0.2">
      <c r="I2" s="46" t="s">
        <v>55</v>
      </c>
      <c r="J2" s="47" t="s">
        <v>56</v>
      </c>
    </row>
    <row r="3" spans="1:16" x14ac:dyDescent="0.2">
      <c r="A3" s="48" t="s">
        <v>57</v>
      </c>
      <c r="I3" s="46" t="s">
        <v>58</v>
      </c>
      <c r="J3" s="47" t="s">
        <v>59</v>
      </c>
    </row>
    <row r="4" spans="1:16" x14ac:dyDescent="0.2">
      <c r="I4" s="46" t="s">
        <v>60</v>
      </c>
      <c r="J4" s="47" t="s">
        <v>59</v>
      </c>
    </row>
    <row r="5" spans="1:16" ht="13.5" thickBot="1" x14ac:dyDescent="0.25">
      <c r="I5" s="49" t="s">
        <v>61</v>
      </c>
      <c r="J5" s="50" t="s">
        <v>62</v>
      </c>
    </row>
    <row r="10" spans="1:16" ht="13.5" thickBot="1" x14ac:dyDescent="0.25"/>
    <row r="11" spans="1:16" ht="12.75" customHeight="1" thickBot="1" x14ac:dyDescent="0.25">
      <c r="A11" s="15" t="str">
        <f t="shared" ref="A11:A25" si="0">P11</f>
        <v>IBVS 5263 </v>
      </c>
      <c r="B11" s="20" t="str">
        <f t="shared" ref="B11:B25" si="1">IF(H11=INT(H11),"I","II")</f>
        <v>I</v>
      </c>
      <c r="C11" s="15">
        <f t="shared" ref="C11:C25" si="2">1*G11</f>
        <v>51435.414299999997</v>
      </c>
      <c r="D11" s="18" t="str">
        <f t="shared" ref="D11:D25" si="3">VLOOKUP(F11,I$1:J$5,2,FALSE)</f>
        <v>vis</v>
      </c>
      <c r="E11" s="51">
        <f>VLOOKUP(C11,A!C$21:E$973,3,FALSE)</f>
        <v>49656.858007313822</v>
      </c>
      <c r="F11" s="20" t="s">
        <v>61</v>
      </c>
      <c r="G11" s="18" t="str">
        <f t="shared" ref="G11:G25" si="4">MID(I11,3,LEN(I11)-3)</f>
        <v>51435.4143</v>
      </c>
      <c r="H11" s="15">
        <f t="shared" ref="H11:H25" si="5">1*K11</f>
        <v>49657</v>
      </c>
      <c r="I11" s="52" t="s">
        <v>63</v>
      </c>
      <c r="J11" s="53" t="s">
        <v>64</v>
      </c>
      <c r="K11" s="52">
        <v>49657</v>
      </c>
      <c r="L11" s="52" t="s">
        <v>65</v>
      </c>
      <c r="M11" s="53" t="s">
        <v>66</v>
      </c>
      <c r="N11" s="53" t="s">
        <v>67</v>
      </c>
      <c r="O11" s="54" t="s">
        <v>68</v>
      </c>
      <c r="P11" s="55" t="s">
        <v>69</v>
      </c>
    </row>
    <row r="12" spans="1:16" ht="12.75" customHeight="1" thickBot="1" x14ac:dyDescent="0.25">
      <c r="A12" s="15" t="str">
        <f t="shared" si="0"/>
        <v>OEJV 0074 </v>
      </c>
      <c r="B12" s="20" t="str">
        <f t="shared" si="1"/>
        <v>I</v>
      </c>
      <c r="C12" s="15">
        <f t="shared" si="2"/>
        <v>51704.43116</v>
      </c>
      <c r="D12" s="18" t="str">
        <f t="shared" si="3"/>
        <v>vis</v>
      </c>
      <c r="E12" s="51">
        <f>VLOOKUP(C12,A!C$21:E$973,3,FALSE)</f>
        <v>50166.875545888361</v>
      </c>
      <c r="F12" s="20" t="s">
        <v>61</v>
      </c>
      <c r="G12" s="18" t="str">
        <f t="shared" si="4"/>
        <v>51704.43116</v>
      </c>
      <c r="H12" s="15">
        <f t="shared" si="5"/>
        <v>50167</v>
      </c>
      <c r="I12" s="52" t="s">
        <v>70</v>
      </c>
      <c r="J12" s="53" t="s">
        <v>71</v>
      </c>
      <c r="K12" s="52">
        <v>50167</v>
      </c>
      <c r="L12" s="52" t="s">
        <v>72</v>
      </c>
      <c r="M12" s="53" t="s">
        <v>73</v>
      </c>
      <c r="N12" s="53" t="s">
        <v>74</v>
      </c>
      <c r="O12" s="54" t="s">
        <v>75</v>
      </c>
      <c r="P12" s="55" t="s">
        <v>76</v>
      </c>
    </row>
    <row r="13" spans="1:16" ht="12.75" customHeight="1" thickBot="1" x14ac:dyDescent="0.25">
      <c r="A13" s="15" t="str">
        <f t="shared" si="0"/>
        <v>IBVS 5287 </v>
      </c>
      <c r="B13" s="20" t="str">
        <f t="shared" si="1"/>
        <v>I</v>
      </c>
      <c r="C13" s="15">
        <f t="shared" si="2"/>
        <v>51781.440199999997</v>
      </c>
      <c r="D13" s="18" t="str">
        <f t="shared" si="3"/>
        <v>vis</v>
      </c>
      <c r="E13" s="51">
        <f>VLOOKUP(C13,A!C$21:E$973,3,FALSE)</f>
        <v>50312.873685294144</v>
      </c>
      <c r="F13" s="20" t="s">
        <v>61</v>
      </c>
      <c r="G13" s="18" t="str">
        <f t="shared" si="4"/>
        <v>51781.4402</v>
      </c>
      <c r="H13" s="15">
        <f t="shared" si="5"/>
        <v>50313</v>
      </c>
      <c r="I13" s="52" t="s">
        <v>77</v>
      </c>
      <c r="J13" s="53" t="s">
        <v>78</v>
      </c>
      <c r="K13" s="52">
        <v>50313</v>
      </c>
      <c r="L13" s="52" t="s">
        <v>79</v>
      </c>
      <c r="M13" s="53" t="s">
        <v>66</v>
      </c>
      <c r="N13" s="53" t="s">
        <v>67</v>
      </c>
      <c r="O13" s="54" t="s">
        <v>68</v>
      </c>
      <c r="P13" s="55" t="s">
        <v>80</v>
      </c>
    </row>
    <row r="14" spans="1:16" ht="12.75" customHeight="1" thickBot="1" x14ac:dyDescent="0.25">
      <c r="A14" s="15" t="str">
        <f t="shared" si="0"/>
        <v>BAVM 152 </v>
      </c>
      <c r="B14" s="20" t="str">
        <f t="shared" si="1"/>
        <v>II</v>
      </c>
      <c r="C14" s="15">
        <f t="shared" si="2"/>
        <v>52144.595999999998</v>
      </c>
      <c r="D14" s="18" t="str">
        <f t="shared" si="3"/>
        <v>vis</v>
      </c>
      <c r="E14" s="51">
        <f>VLOOKUP(C14,A!C$21:E$973,3,FALSE)</f>
        <v>51001.365206736577</v>
      </c>
      <c r="F14" s="20" t="s">
        <v>61</v>
      </c>
      <c r="G14" s="18" t="str">
        <f t="shared" si="4"/>
        <v>52144.596</v>
      </c>
      <c r="H14" s="15">
        <f t="shared" si="5"/>
        <v>51001.5</v>
      </c>
      <c r="I14" s="52" t="s">
        <v>86</v>
      </c>
      <c r="J14" s="53" t="s">
        <v>87</v>
      </c>
      <c r="K14" s="52">
        <v>51001.5</v>
      </c>
      <c r="L14" s="52" t="s">
        <v>88</v>
      </c>
      <c r="M14" s="53" t="s">
        <v>66</v>
      </c>
      <c r="N14" s="53" t="s">
        <v>74</v>
      </c>
      <c r="O14" s="54" t="s">
        <v>89</v>
      </c>
      <c r="P14" s="55" t="s">
        <v>90</v>
      </c>
    </row>
    <row r="15" spans="1:16" ht="12.75" customHeight="1" thickBot="1" x14ac:dyDescent="0.25">
      <c r="A15" s="15" t="str">
        <f t="shared" si="0"/>
        <v>BAVM 152 </v>
      </c>
      <c r="B15" s="20" t="str">
        <f t="shared" si="1"/>
        <v>I</v>
      </c>
      <c r="C15" s="15">
        <f t="shared" si="2"/>
        <v>52196.565399999999</v>
      </c>
      <c r="D15" s="18" t="str">
        <f t="shared" si="3"/>
        <v>vis</v>
      </c>
      <c r="E15" s="51">
        <f>VLOOKUP(C15,A!C$21:E$973,3,FALSE)</f>
        <v>51099.891765515073</v>
      </c>
      <c r="F15" s="20" t="s">
        <v>61</v>
      </c>
      <c r="G15" s="18" t="str">
        <f t="shared" si="4"/>
        <v>52196.5654</v>
      </c>
      <c r="H15" s="15">
        <f t="shared" si="5"/>
        <v>51100</v>
      </c>
      <c r="I15" s="52" t="s">
        <v>91</v>
      </c>
      <c r="J15" s="53" t="s">
        <v>92</v>
      </c>
      <c r="K15" s="52">
        <v>51100</v>
      </c>
      <c r="L15" s="52" t="s">
        <v>93</v>
      </c>
      <c r="M15" s="53" t="s">
        <v>66</v>
      </c>
      <c r="N15" s="53" t="s">
        <v>74</v>
      </c>
      <c r="O15" s="54" t="s">
        <v>89</v>
      </c>
      <c r="P15" s="55" t="s">
        <v>90</v>
      </c>
    </row>
    <row r="16" spans="1:16" ht="12.75" customHeight="1" thickBot="1" x14ac:dyDescent="0.25">
      <c r="A16" s="15" t="str">
        <f t="shared" si="0"/>
        <v>IBVS 5603 </v>
      </c>
      <c r="B16" s="20" t="str">
        <f t="shared" si="1"/>
        <v>I</v>
      </c>
      <c r="C16" s="15">
        <f t="shared" si="2"/>
        <v>53310.597999999998</v>
      </c>
      <c r="D16" s="18" t="str">
        <f t="shared" si="3"/>
        <v>vis</v>
      </c>
      <c r="E16" s="51">
        <f>VLOOKUP(C16,A!C$21:E$973,3,FALSE)</f>
        <v>53211.938440001511</v>
      </c>
      <c r="F16" s="20" t="s">
        <v>61</v>
      </c>
      <c r="G16" s="18" t="str">
        <f t="shared" si="4"/>
        <v>53310.598</v>
      </c>
      <c r="H16" s="15">
        <f t="shared" si="5"/>
        <v>53212</v>
      </c>
      <c r="I16" s="52" t="s">
        <v>103</v>
      </c>
      <c r="J16" s="53" t="s">
        <v>104</v>
      </c>
      <c r="K16" s="52">
        <v>53212</v>
      </c>
      <c r="L16" s="52" t="s">
        <v>105</v>
      </c>
      <c r="M16" s="53" t="s">
        <v>66</v>
      </c>
      <c r="N16" s="53" t="s">
        <v>67</v>
      </c>
      <c r="O16" s="54" t="s">
        <v>106</v>
      </c>
      <c r="P16" s="55" t="s">
        <v>107</v>
      </c>
    </row>
    <row r="17" spans="1:16" ht="12.75" customHeight="1" thickBot="1" x14ac:dyDescent="0.25">
      <c r="A17" s="15" t="str">
        <f t="shared" si="0"/>
        <v>IBVS 5653 </v>
      </c>
      <c r="B17" s="20" t="str">
        <f t="shared" si="1"/>
        <v>I</v>
      </c>
      <c r="C17" s="15">
        <f t="shared" si="2"/>
        <v>53343.294000000002</v>
      </c>
      <c r="D17" s="18" t="str">
        <f t="shared" si="3"/>
        <v>vis</v>
      </c>
      <c r="E17" s="51">
        <f>VLOOKUP(C17,A!C$21:E$973,3,FALSE)</f>
        <v>53273.92538550833</v>
      </c>
      <c r="F17" s="20" t="s">
        <v>61</v>
      </c>
      <c r="G17" s="18" t="str">
        <f t="shared" si="4"/>
        <v>53343.294</v>
      </c>
      <c r="H17" s="15">
        <f t="shared" si="5"/>
        <v>53274</v>
      </c>
      <c r="I17" s="52" t="s">
        <v>108</v>
      </c>
      <c r="J17" s="53" t="s">
        <v>109</v>
      </c>
      <c r="K17" s="52">
        <v>53274</v>
      </c>
      <c r="L17" s="52" t="s">
        <v>110</v>
      </c>
      <c r="M17" s="53" t="s">
        <v>66</v>
      </c>
      <c r="N17" s="53" t="s">
        <v>67</v>
      </c>
      <c r="O17" s="54" t="s">
        <v>111</v>
      </c>
      <c r="P17" s="55" t="s">
        <v>112</v>
      </c>
    </row>
    <row r="18" spans="1:16" ht="12.75" customHeight="1" thickBot="1" x14ac:dyDescent="0.25">
      <c r="A18" s="15" t="str">
        <f t="shared" si="0"/>
        <v>IBVS 5920 </v>
      </c>
      <c r="B18" s="20" t="str">
        <f t="shared" si="1"/>
        <v>I</v>
      </c>
      <c r="C18" s="15">
        <f t="shared" si="2"/>
        <v>55127.758699999998</v>
      </c>
      <c r="D18" s="18" t="str">
        <f t="shared" si="3"/>
        <v>vis</v>
      </c>
      <c r="E18" s="51">
        <f>VLOOKUP(C18,A!C$21:E$973,3,FALSE)</f>
        <v>56657.015553043326</v>
      </c>
      <c r="F18" s="20" t="s">
        <v>61</v>
      </c>
      <c r="G18" s="18" t="str">
        <f t="shared" si="4"/>
        <v>55127.7587</v>
      </c>
      <c r="H18" s="15">
        <f t="shared" si="5"/>
        <v>56657</v>
      </c>
      <c r="I18" s="52" t="s">
        <v>118</v>
      </c>
      <c r="J18" s="53" t="s">
        <v>119</v>
      </c>
      <c r="K18" s="52">
        <v>56657</v>
      </c>
      <c r="L18" s="52" t="s">
        <v>120</v>
      </c>
      <c r="M18" s="53" t="s">
        <v>73</v>
      </c>
      <c r="N18" s="53" t="s">
        <v>61</v>
      </c>
      <c r="O18" s="54" t="s">
        <v>84</v>
      </c>
      <c r="P18" s="55" t="s">
        <v>121</v>
      </c>
    </row>
    <row r="19" spans="1:16" ht="12.75" customHeight="1" thickBot="1" x14ac:dyDescent="0.25">
      <c r="A19" s="15" t="str">
        <f t="shared" si="0"/>
        <v>BAVM 220 </v>
      </c>
      <c r="B19" s="20" t="str">
        <f t="shared" si="1"/>
        <v>I</v>
      </c>
      <c r="C19" s="15">
        <f t="shared" si="2"/>
        <v>55373.561900000001</v>
      </c>
      <c r="D19" s="18" t="str">
        <f t="shared" si="3"/>
        <v>vis</v>
      </c>
      <c r="E19" s="51">
        <f>VLOOKUP(C19,A!C$21:E$973,3,FALSE)</f>
        <v>57123.023308236603</v>
      </c>
      <c r="F19" s="20" t="s">
        <v>61</v>
      </c>
      <c r="G19" s="18" t="str">
        <f t="shared" si="4"/>
        <v>55373.5619</v>
      </c>
      <c r="H19" s="15">
        <f t="shared" si="5"/>
        <v>57123</v>
      </c>
      <c r="I19" s="52" t="s">
        <v>122</v>
      </c>
      <c r="J19" s="53" t="s">
        <v>123</v>
      </c>
      <c r="K19" s="52">
        <v>57123</v>
      </c>
      <c r="L19" s="52" t="s">
        <v>124</v>
      </c>
      <c r="M19" s="53" t="s">
        <v>73</v>
      </c>
      <c r="N19" s="53" t="s">
        <v>74</v>
      </c>
      <c r="O19" s="54" t="s">
        <v>125</v>
      </c>
      <c r="P19" s="55" t="s">
        <v>126</v>
      </c>
    </row>
    <row r="20" spans="1:16" ht="12.75" customHeight="1" thickBot="1" x14ac:dyDescent="0.25">
      <c r="A20" s="15" t="str">
        <f t="shared" si="0"/>
        <v>IBVS 5960 </v>
      </c>
      <c r="B20" s="20" t="str">
        <f t="shared" si="1"/>
        <v>II</v>
      </c>
      <c r="C20" s="15">
        <f t="shared" si="2"/>
        <v>55477.745000000003</v>
      </c>
      <c r="D20" s="18" t="str">
        <f t="shared" si="3"/>
        <v>vis</v>
      </c>
      <c r="E20" s="51">
        <f>VLOOKUP(C20,A!C$21:E$973,3,FALSE)</f>
        <v>57320.539583696307</v>
      </c>
      <c r="F20" s="20" t="s">
        <v>61</v>
      </c>
      <c r="G20" s="18" t="str">
        <f t="shared" si="4"/>
        <v>55477.745</v>
      </c>
      <c r="H20" s="15">
        <f t="shared" si="5"/>
        <v>57320.5</v>
      </c>
      <c r="I20" s="52" t="s">
        <v>127</v>
      </c>
      <c r="J20" s="53" t="s">
        <v>128</v>
      </c>
      <c r="K20" s="52">
        <v>57320.5</v>
      </c>
      <c r="L20" s="52" t="s">
        <v>129</v>
      </c>
      <c r="M20" s="53" t="s">
        <v>73</v>
      </c>
      <c r="N20" s="53" t="s">
        <v>61</v>
      </c>
      <c r="O20" s="54" t="s">
        <v>84</v>
      </c>
      <c r="P20" s="55" t="s">
        <v>130</v>
      </c>
    </row>
    <row r="21" spans="1:16" ht="12.75" customHeight="1" thickBot="1" x14ac:dyDescent="0.25">
      <c r="A21" s="15" t="str">
        <f t="shared" si="0"/>
        <v>BAVM 234 </v>
      </c>
      <c r="B21" s="20" t="str">
        <f t="shared" si="1"/>
        <v>II</v>
      </c>
      <c r="C21" s="15">
        <f t="shared" si="2"/>
        <v>56135.508699999998</v>
      </c>
      <c r="D21" s="18" t="str">
        <f t="shared" si="3"/>
        <v>vis</v>
      </c>
      <c r="E21" s="51">
        <f>VLOOKUP(C21,A!C$21:E$973,3,FALSE)</f>
        <v>58567.565599975271</v>
      </c>
      <c r="F21" s="20" t="s">
        <v>61</v>
      </c>
      <c r="G21" s="18" t="str">
        <f t="shared" si="4"/>
        <v>56135.5087</v>
      </c>
      <c r="H21" s="15">
        <f t="shared" si="5"/>
        <v>58567.5</v>
      </c>
      <c r="I21" s="52" t="s">
        <v>131</v>
      </c>
      <c r="J21" s="53" t="s">
        <v>132</v>
      </c>
      <c r="K21" s="52">
        <v>58567.5</v>
      </c>
      <c r="L21" s="52" t="s">
        <v>133</v>
      </c>
      <c r="M21" s="53" t="s">
        <v>73</v>
      </c>
      <c r="N21" s="53" t="s">
        <v>74</v>
      </c>
      <c r="O21" s="54" t="s">
        <v>125</v>
      </c>
      <c r="P21" s="55" t="s">
        <v>134</v>
      </c>
    </row>
    <row r="22" spans="1:16" ht="12.75" customHeight="1" thickBot="1" x14ac:dyDescent="0.25">
      <c r="A22" s="15" t="str">
        <f t="shared" si="0"/>
        <v> BBS 126 </v>
      </c>
      <c r="B22" s="20" t="str">
        <f t="shared" si="1"/>
        <v>II</v>
      </c>
      <c r="C22" s="15">
        <f t="shared" si="2"/>
        <v>52113.487000000001</v>
      </c>
      <c r="D22" s="18" t="str">
        <f t="shared" si="3"/>
        <v>vis</v>
      </c>
      <c r="E22" s="51">
        <f>VLOOKUP(C22,A!C$21:E$973,3,FALSE)</f>
        <v>50942.386986533151</v>
      </c>
      <c r="F22" s="20" t="s">
        <v>61</v>
      </c>
      <c r="G22" s="18" t="str">
        <f t="shared" si="4"/>
        <v>52113.487</v>
      </c>
      <c r="H22" s="15">
        <f t="shared" si="5"/>
        <v>50942.5</v>
      </c>
      <c r="I22" s="52" t="s">
        <v>81</v>
      </c>
      <c r="J22" s="53" t="s">
        <v>82</v>
      </c>
      <c r="K22" s="52">
        <v>50942.5</v>
      </c>
      <c r="L22" s="52" t="s">
        <v>83</v>
      </c>
      <c r="M22" s="53" t="s">
        <v>66</v>
      </c>
      <c r="N22" s="53" t="s">
        <v>67</v>
      </c>
      <c r="O22" s="54" t="s">
        <v>84</v>
      </c>
      <c r="P22" s="54" t="s">
        <v>85</v>
      </c>
    </row>
    <row r="23" spans="1:16" ht="12.75" customHeight="1" thickBot="1" x14ac:dyDescent="0.25">
      <c r="A23" s="15" t="str">
        <f t="shared" si="0"/>
        <v> BBS 127 </v>
      </c>
      <c r="B23" s="20" t="str">
        <f t="shared" si="1"/>
        <v>I</v>
      </c>
      <c r="C23" s="15">
        <f t="shared" si="2"/>
        <v>52277.268100000001</v>
      </c>
      <c r="D23" s="18" t="str">
        <f t="shared" si="3"/>
        <v>vis</v>
      </c>
      <c r="E23" s="51">
        <f>VLOOKUP(C23,A!C$21:E$973,3,FALSE)</f>
        <v>51252.892556656261</v>
      </c>
      <c r="F23" s="20" t="s">
        <v>61</v>
      </c>
      <c r="G23" s="18" t="str">
        <f t="shared" si="4"/>
        <v>52277.2681</v>
      </c>
      <c r="H23" s="15">
        <f t="shared" si="5"/>
        <v>51253</v>
      </c>
      <c r="I23" s="52" t="s">
        <v>94</v>
      </c>
      <c r="J23" s="53" t="s">
        <v>95</v>
      </c>
      <c r="K23" s="52">
        <v>51253</v>
      </c>
      <c r="L23" s="52" t="s">
        <v>96</v>
      </c>
      <c r="M23" s="53" t="s">
        <v>66</v>
      </c>
      <c r="N23" s="53" t="s">
        <v>67</v>
      </c>
      <c r="O23" s="54" t="s">
        <v>97</v>
      </c>
      <c r="P23" s="54" t="s">
        <v>98</v>
      </c>
    </row>
    <row r="24" spans="1:16" ht="12.75" customHeight="1" thickBot="1" x14ac:dyDescent="0.25">
      <c r="A24" s="15" t="str">
        <f t="shared" si="0"/>
        <v> BBS 128 </v>
      </c>
      <c r="B24" s="20" t="str">
        <f t="shared" si="1"/>
        <v>I</v>
      </c>
      <c r="C24" s="15">
        <f t="shared" si="2"/>
        <v>52502.502</v>
      </c>
      <c r="D24" s="18" t="str">
        <f t="shared" si="3"/>
        <v>vis</v>
      </c>
      <c r="E24" s="51">
        <f>VLOOKUP(C24,A!C$21:E$973,3,FALSE)</f>
        <v>51679.903857292004</v>
      </c>
      <c r="F24" s="20" t="s">
        <v>61</v>
      </c>
      <c r="G24" s="18" t="str">
        <f t="shared" si="4"/>
        <v>52502.502</v>
      </c>
      <c r="H24" s="15">
        <f t="shared" si="5"/>
        <v>51680</v>
      </c>
      <c r="I24" s="52" t="s">
        <v>99</v>
      </c>
      <c r="J24" s="53" t="s">
        <v>100</v>
      </c>
      <c r="K24" s="52">
        <v>51680</v>
      </c>
      <c r="L24" s="52" t="s">
        <v>101</v>
      </c>
      <c r="M24" s="53" t="s">
        <v>66</v>
      </c>
      <c r="N24" s="53" t="s">
        <v>67</v>
      </c>
      <c r="O24" s="54" t="s">
        <v>84</v>
      </c>
      <c r="P24" s="54" t="s">
        <v>102</v>
      </c>
    </row>
    <row r="25" spans="1:16" ht="12.75" customHeight="1" thickBot="1" x14ac:dyDescent="0.25">
      <c r="A25" s="15" t="str">
        <f t="shared" si="0"/>
        <v>BAVM 212 </v>
      </c>
      <c r="B25" s="20" t="str">
        <f t="shared" si="1"/>
        <v>II</v>
      </c>
      <c r="C25" s="15">
        <f t="shared" si="2"/>
        <v>55041.518700000001</v>
      </c>
      <c r="D25" s="18" t="str">
        <f t="shared" si="3"/>
        <v>vis</v>
      </c>
      <c r="E25" s="51">
        <f>VLOOKUP(C25,A!C$21:E$973,3,FALSE)</f>
        <v>56493.516832083355</v>
      </c>
      <c r="F25" s="20" t="s">
        <v>61</v>
      </c>
      <c r="G25" s="18" t="str">
        <f t="shared" si="4"/>
        <v>55041.5187</v>
      </c>
      <c r="H25" s="15">
        <f t="shared" si="5"/>
        <v>56493.5</v>
      </c>
      <c r="I25" s="52" t="s">
        <v>113</v>
      </c>
      <c r="J25" s="53" t="s">
        <v>114</v>
      </c>
      <c r="K25" s="52">
        <v>56493.5</v>
      </c>
      <c r="L25" s="52" t="s">
        <v>115</v>
      </c>
      <c r="M25" s="53" t="s">
        <v>73</v>
      </c>
      <c r="N25" s="53" t="s">
        <v>74</v>
      </c>
      <c r="O25" s="54" t="s">
        <v>116</v>
      </c>
      <c r="P25" s="55" t="s">
        <v>117</v>
      </c>
    </row>
    <row r="26" spans="1:16" x14ac:dyDescent="0.2">
      <c r="B26" s="20"/>
      <c r="E26" s="51"/>
      <c r="F26" s="20"/>
    </row>
    <row r="27" spans="1:16" x14ac:dyDescent="0.2">
      <c r="B27" s="20"/>
      <c r="E27" s="51"/>
      <c r="F27" s="20"/>
    </row>
    <row r="28" spans="1:16" x14ac:dyDescent="0.2">
      <c r="B28" s="20"/>
      <c r="E28" s="51"/>
      <c r="F28" s="20"/>
    </row>
    <row r="29" spans="1:16" x14ac:dyDescent="0.2">
      <c r="B29" s="20"/>
      <c r="E29" s="51"/>
      <c r="F29" s="20"/>
    </row>
    <row r="30" spans="1:16" x14ac:dyDescent="0.2">
      <c r="B30" s="20"/>
      <c r="E30" s="51"/>
      <c r="F30" s="20"/>
    </row>
    <row r="31" spans="1:16" x14ac:dyDescent="0.2">
      <c r="B31" s="20"/>
      <c r="E31" s="51"/>
      <c r="F31" s="20"/>
    </row>
    <row r="32" spans="1:16" x14ac:dyDescent="0.2">
      <c r="B32" s="20"/>
      <c r="E32" s="51"/>
      <c r="F32" s="20"/>
    </row>
    <row r="33" spans="2:6" x14ac:dyDescent="0.2">
      <c r="B33" s="20"/>
      <c r="E33" s="51"/>
      <c r="F33" s="20"/>
    </row>
    <row r="34" spans="2:6" x14ac:dyDescent="0.2">
      <c r="B34" s="20"/>
      <c r="E34" s="51"/>
      <c r="F34" s="20"/>
    </row>
    <row r="35" spans="2:6" x14ac:dyDescent="0.2">
      <c r="B35" s="20"/>
      <c r="E35" s="51"/>
      <c r="F35" s="20"/>
    </row>
    <row r="36" spans="2:6" x14ac:dyDescent="0.2">
      <c r="B36" s="20"/>
      <c r="E36" s="51"/>
      <c r="F36" s="20"/>
    </row>
    <row r="37" spans="2:6" x14ac:dyDescent="0.2">
      <c r="B37" s="20"/>
      <c r="E37" s="51"/>
      <c r="F37" s="20"/>
    </row>
    <row r="38" spans="2:6" x14ac:dyDescent="0.2">
      <c r="B38" s="20"/>
      <c r="F38" s="20"/>
    </row>
    <row r="39" spans="2:6" x14ac:dyDescent="0.2">
      <c r="B39" s="20"/>
      <c r="F39" s="20"/>
    </row>
    <row r="40" spans="2:6" x14ac:dyDescent="0.2">
      <c r="B40" s="20"/>
      <c r="F40" s="20"/>
    </row>
    <row r="41" spans="2:6" x14ac:dyDescent="0.2">
      <c r="B41" s="20"/>
      <c r="F41" s="20"/>
    </row>
    <row r="42" spans="2:6" x14ac:dyDescent="0.2">
      <c r="B42" s="20"/>
      <c r="F42" s="20"/>
    </row>
    <row r="43" spans="2:6" x14ac:dyDescent="0.2">
      <c r="B43" s="20"/>
      <c r="F43" s="20"/>
    </row>
    <row r="44" spans="2:6" x14ac:dyDescent="0.2">
      <c r="B44" s="20"/>
      <c r="F44" s="20"/>
    </row>
    <row r="45" spans="2:6" x14ac:dyDescent="0.2">
      <c r="B45" s="20"/>
      <c r="F45" s="20"/>
    </row>
    <row r="46" spans="2:6" x14ac:dyDescent="0.2">
      <c r="B46" s="20"/>
      <c r="F46" s="20"/>
    </row>
    <row r="47" spans="2:6" x14ac:dyDescent="0.2">
      <c r="B47" s="20"/>
      <c r="F47" s="20"/>
    </row>
    <row r="48" spans="2:6" x14ac:dyDescent="0.2">
      <c r="B48" s="20"/>
      <c r="F48" s="20"/>
    </row>
    <row r="49" spans="2:6" x14ac:dyDescent="0.2">
      <c r="B49" s="20"/>
      <c r="F49" s="20"/>
    </row>
    <row r="50" spans="2:6" x14ac:dyDescent="0.2">
      <c r="B50" s="20"/>
      <c r="F50" s="20"/>
    </row>
    <row r="51" spans="2:6" x14ac:dyDescent="0.2">
      <c r="B51" s="20"/>
      <c r="F51" s="20"/>
    </row>
    <row r="52" spans="2:6" x14ac:dyDescent="0.2">
      <c r="B52" s="20"/>
      <c r="F52" s="20"/>
    </row>
    <row r="53" spans="2:6" x14ac:dyDescent="0.2">
      <c r="B53" s="20"/>
      <c r="F53" s="20"/>
    </row>
    <row r="54" spans="2:6" x14ac:dyDescent="0.2">
      <c r="B54" s="20"/>
      <c r="F54" s="20"/>
    </row>
    <row r="55" spans="2:6" x14ac:dyDescent="0.2">
      <c r="B55" s="20"/>
      <c r="F55" s="20"/>
    </row>
    <row r="56" spans="2:6" x14ac:dyDescent="0.2">
      <c r="B56" s="20"/>
      <c r="F56" s="20"/>
    </row>
    <row r="57" spans="2:6" x14ac:dyDescent="0.2">
      <c r="B57" s="20"/>
      <c r="F57" s="20"/>
    </row>
    <row r="58" spans="2:6" x14ac:dyDescent="0.2">
      <c r="B58" s="20"/>
      <c r="F58" s="20"/>
    </row>
    <row r="59" spans="2:6" x14ac:dyDescent="0.2">
      <c r="B59" s="20"/>
      <c r="F59" s="20"/>
    </row>
    <row r="60" spans="2:6" x14ac:dyDescent="0.2">
      <c r="B60" s="20"/>
      <c r="F60" s="20"/>
    </row>
    <row r="61" spans="2:6" x14ac:dyDescent="0.2">
      <c r="B61" s="20"/>
      <c r="F61" s="20"/>
    </row>
    <row r="62" spans="2:6" x14ac:dyDescent="0.2">
      <c r="B62" s="20"/>
      <c r="F62" s="20"/>
    </row>
    <row r="63" spans="2:6" x14ac:dyDescent="0.2">
      <c r="B63" s="20"/>
      <c r="F63" s="20"/>
    </row>
    <row r="64" spans="2:6" x14ac:dyDescent="0.2">
      <c r="B64" s="20"/>
      <c r="F64" s="20"/>
    </row>
    <row r="65" spans="2:6" x14ac:dyDescent="0.2">
      <c r="B65" s="20"/>
      <c r="F65" s="20"/>
    </row>
    <row r="66" spans="2:6" x14ac:dyDescent="0.2">
      <c r="B66" s="20"/>
      <c r="F66" s="20"/>
    </row>
    <row r="67" spans="2:6" x14ac:dyDescent="0.2">
      <c r="B67" s="20"/>
      <c r="F67" s="20"/>
    </row>
    <row r="68" spans="2:6" x14ac:dyDescent="0.2">
      <c r="B68" s="20"/>
      <c r="F68" s="20"/>
    </row>
    <row r="69" spans="2:6" x14ac:dyDescent="0.2">
      <c r="B69" s="20"/>
      <c r="F69" s="20"/>
    </row>
    <row r="70" spans="2:6" x14ac:dyDescent="0.2">
      <c r="B70" s="20"/>
      <c r="F70" s="20"/>
    </row>
    <row r="71" spans="2:6" x14ac:dyDescent="0.2">
      <c r="B71" s="20"/>
      <c r="F71" s="20"/>
    </row>
    <row r="72" spans="2:6" x14ac:dyDescent="0.2">
      <c r="B72" s="20"/>
      <c r="F72" s="20"/>
    </row>
    <row r="73" spans="2:6" x14ac:dyDescent="0.2">
      <c r="B73" s="20"/>
      <c r="F73" s="20"/>
    </row>
    <row r="74" spans="2:6" x14ac:dyDescent="0.2">
      <c r="B74" s="20"/>
      <c r="F74" s="20"/>
    </row>
    <row r="75" spans="2:6" x14ac:dyDescent="0.2">
      <c r="B75" s="20"/>
      <c r="F75" s="20"/>
    </row>
    <row r="76" spans="2:6" x14ac:dyDescent="0.2">
      <c r="B76" s="20"/>
      <c r="F76" s="20"/>
    </row>
    <row r="77" spans="2:6" x14ac:dyDescent="0.2">
      <c r="B77" s="20"/>
      <c r="F77" s="20"/>
    </row>
    <row r="78" spans="2:6" x14ac:dyDescent="0.2">
      <c r="B78" s="20"/>
      <c r="F78" s="20"/>
    </row>
    <row r="79" spans="2:6" x14ac:dyDescent="0.2">
      <c r="B79" s="20"/>
      <c r="F79" s="20"/>
    </row>
    <row r="80" spans="2: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</sheetData>
  <phoneticPr fontId="8" type="noConversion"/>
  <hyperlinks>
    <hyperlink ref="P11" r:id="rId1" display="http://www.konkoly.hu/cgi-bin/IBVS?5263"/>
    <hyperlink ref="P12" r:id="rId2" display="http://var.astro.cz/oejv/issues/oejv0074.pdf"/>
    <hyperlink ref="P13" r:id="rId3" display="http://www.konkoly.hu/cgi-bin/IBVS?5287"/>
    <hyperlink ref="P14" r:id="rId4" display="http://www.bav-astro.de/sfs/BAVM_link.php?BAVMnr=152"/>
    <hyperlink ref="P15" r:id="rId5" display="http://www.bav-astro.de/sfs/BAVM_link.php?BAVMnr=152"/>
    <hyperlink ref="P16" r:id="rId6" display="http://www.konkoly.hu/cgi-bin/IBVS?5603"/>
    <hyperlink ref="P17" r:id="rId7" display="http://www.konkoly.hu/cgi-bin/IBVS?5653"/>
    <hyperlink ref="P25" r:id="rId8" display="http://www.bav-astro.de/sfs/BAVM_link.php?BAVMnr=212"/>
    <hyperlink ref="P18" r:id="rId9" display="http://www.konkoly.hu/cgi-bin/IBVS?5920"/>
    <hyperlink ref="P19" r:id="rId10" display="http://www.bav-astro.de/sfs/BAVM_link.php?BAVMnr=220"/>
    <hyperlink ref="P20" r:id="rId11" display="http://www.konkoly.hu/cgi-bin/IBVS?5960"/>
    <hyperlink ref="P21" r:id="rId12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2024-02-17T02:39:58Z</dcterms:modified>
</cp:coreProperties>
</file>